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240" windowWidth="5550" windowHeight="11325" tabRatio="772" firstSheet="4" activeTab="5"/>
  </bookViews>
  <sheets>
    <sheet name="1. Presidenca" sheetId="105" r:id="rId1"/>
    <sheet name="2. Kuvendi" sheetId="74" r:id="rId2"/>
    <sheet name="18. SHISH" sheetId="75" r:id="rId3"/>
    <sheet name="20. Drejtoria e Arkivave" sheetId="76" r:id="rId4"/>
    <sheet name="22. Akademia e Shkencave" sheetId="77" r:id="rId5"/>
    <sheet name="24-KLSH" sheetId="107" r:id="rId6"/>
    <sheet name="29. ZABGJ" sheetId="78" r:id="rId7"/>
    <sheet name="30. Gjykata Kushtetuese" sheetId="79" r:id="rId8"/>
    <sheet name="50. Instat" sheetId="73" r:id="rId9"/>
    <sheet name="55. Magjistratura" sheetId="80" r:id="rId10"/>
    <sheet name="57. Qendra e Kinematografise" sheetId="81" r:id="rId11"/>
    <sheet name="63. Komisioneri Publik" sheetId="82" r:id="rId12"/>
    <sheet name="63. KLD" sheetId="83" r:id="rId13"/>
    <sheet name="63. KPK" sheetId="84" r:id="rId14"/>
    <sheet name="63. KPA" sheetId="85" r:id="rId15"/>
    <sheet name="66. Avokati i Popullit" sheetId="101" r:id="rId16"/>
    <sheet name="67. KMSHC" sheetId="86" r:id="rId17"/>
    <sheet name="76. ILDKPKI" sheetId="87" r:id="rId18"/>
    <sheet name="77. Autoriteti i Konkurrences" sheetId="88" r:id="rId19"/>
    <sheet name="87-DAP" sheetId="106" r:id="rId20"/>
    <sheet name="87. Komiteti i Kulteve" sheetId="102" r:id="rId21"/>
    <sheet name="87. Inspektoriati Qendror" sheetId="90" r:id="rId22"/>
    <sheet name="87. DSIK" sheetId="89" r:id="rId23"/>
    <sheet name="87. APP" sheetId="103" r:id="rId24"/>
    <sheet name="87. Agjencia e Auditimit" sheetId="91" r:id="rId25"/>
    <sheet name="87. ADISA" sheetId="92" r:id="rId26"/>
    <sheet name="87. ASIG" sheetId="93" r:id="rId27"/>
    <sheet name="87. AZHT" sheetId="94" r:id="rId28"/>
    <sheet name="87. AKCESK" sheetId="95" r:id="rId29"/>
    <sheet name="87. ASPA" sheetId="96" r:id="rId30"/>
    <sheet name="90. KPP" sheetId="97" r:id="rId31"/>
    <sheet name="91. Kom. Mbro. nga Diskriminimi" sheetId="98" r:id="rId32"/>
    <sheet name="92. ISKK" sheetId="99" r:id="rId33"/>
    <sheet name="95. AIDSSH" sheetId="100" r:id="rId34"/>
  </sheets>
  <externalReferences>
    <externalReference r:id="rId35"/>
    <externalReference r:id="rId36"/>
    <externalReference r:id="rId37"/>
    <externalReference r:id="rId38"/>
    <externalReference r:id="rId39"/>
  </externalReferences>
  <definedNames>
    <definedName name="OLE_LINK1" localSheetId="10">'57. Qendra e Kinematografise'!#REF!</definedName>
    <definedName name="_xlnm.Print_Area" localSheetId="0">'1. Presidenca'!$A$1:$E$213</definedName>
    <definedName name="_xlnm.Print_Area" localSheetId="1">'2. Kuvendi'!$A$1:$E$846</definedName>
    <definedName name="_xlnm.Print_Area" localSheetId="3">'20. Drejtoria e Arkivave'!$A$1:$E$208</definedName>
    <definedName name="_xlnm.Print_Area" localSheetId="6">'29. ZABGJ'!$A$1:$E$416</definedName>
    <definedName name="_xlnm.Print_Area" localSheetId="7">'30. Gjykata Kushtetuese'!$A$1:$E$247</definedName>
    <definedName name="_xlnm.Print_Area" localSheetId="9">'55. Magjistratura'!$A$1:$E$399</definedName>
    <definedName name="_xlnm.Print_Area" localSheetId="10">'57. Qendra e Kinematografise'!$A$1:$E$431</definedName>
    <definedName name="_xlnm.Print_Area" localSheetId="12">'63. KLD'!$A$1:$E$410</definedName>
    <definedName name="_xlnm.Print_Area" localSheetId="14">'63. KPA'!$A$1:$E$253</definedName>
    <definedName name="_xlnm.Print_Area" localSheetId="13">'63. KPK'!$A$1:$E$512</definedName>
    <definedName name="_xlnm.Print_Area" localSheetId="16">'67. KMSHC'!$A$1:$E$189</definedName>
    <definedName name="_xlnm.Print_Area" localSheetId="18">'77. Autoriteti i Konkurrences'!$A$1:$E$300</definedName>
    <definedName name="_xlnm.Print_Area" localSheetId="24">'87. Agjencia e Auditimit'!$A$1:$E$241</definedName>
    <definedName name="_xlnm.Print_Area" localSheetId="28">'87. AKCESK'!$A$1:$E$316</definedName>
    <definedName name="_xlnm.Print_Area" localSheetId="22">'87. DSIK'!$A$1:$E$547</definedName>
    <definedName name="_xlnm.Print_Area" localSheetId="20">'87. Komiteti i Kulteve'!$A$1:$E$338</definedName>
    <definedName name="_xlnm.Print_Area" localSheetId="19">'87-DAP'!$A$1:$E$344</definedName>
    <definedName name="_xlnm.Print_Area" localSheetId="30">'90. KPP'!$A$1:$E$109</definedName>
    <definedName name="_xlnm.Print_Area" localSheetId="33">'95. AIDSSH'!$A$1:$E$148</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62" i="107" l="1"/>
  <c r="D162" i="107"/>
  <c r="C162" i="107"/>
  <c r="E161" i="107"/>
  <c r="D161" i="107"/>
  <c r="C161" i="107"/>
  <c r="C159" i="107"/>
  <c r="E157" i="107"/>
  <c r="D157" i="107"/>
  <c r="C157" i="107"/>
  <c r="E155" i="107"/>
  <c r="D155" i="107"/>
  <c r="C155" i="107"/>
  <c r="E153" i="107"/>
  <c r="D153" i="107"/>
  <c r="C153" i="107"/>
  <c r="E151" i="107"/>
  <c r="D151" i="107"/>
  <c r="C151" i="107"/>
  <c r="E149" i="107"/>
  <c r="D149" i="107"/>
  <c r="C149" i="107"/>
  <c r="B148" i="107"/>
  <c r="B162" i="107" s="1"/>
  <c r="E145" i="107"/>
  <c r="D145" i="107"/>
  <c r="C145" i="107"/>
  <c r="B145" i="107"/>
  <c r="E138" i="107"/>
  <c r="D138" i="107"/>
  <c r="C138" i="107"/>
  <c r="E137" i="107"/>
  <c r="D137" i="107"/>
  <c r="C137" i="107"/>
  <c r="E136" i="107"/>
  <c r="D136" i="107"/>
  <c r="E139" i="107" s="1"/>
  <c r="C136" i="107"/>
  <c r="B136" i="107"/>
  <c r="C139" i="107" s="1"/>
  <c r="E127" i="107"/>
  <c r="D127" i="107"/>
  <c r="C127" i="107"/>
  <c r="B127" i="107"/>
  <c r="C121" i="107"/>
  <c r="C120" i="107"/>
  <c r="C119" i="107"/>
  <c r="E107" i="107"/>
  <c r="D107" i="107"/>
  <c r="C107" i="107"/>
  <c r="B107" i="107"/>
  <c r="E100" i="107"/>
  <c r="D100" i="107"/>
  <c r="C100" i="107"/>
  <c r="E99" i="107"/>
  <c r="D99" i="107"/>
  <c r="C99" i="107"/>
  <c r="E98" i="107"/>
  <c r="D98" i="107"/>
  <c r="E101" i="107" s="1"/>
  <c r="C98" i="107"/>
  <c r="B98" i="107"/>
  <c r="C101" i="107" s="1"/>
  <c r="E86" i="107"/>
  <c r="D86" i="107"/>
  <c r="C86" i="107"/>
  <c r="B86" i="107"/>
  <c r="D79" i="107"/>
  <c r="C79" i="107"/>
  <c r="E78" i="107"/>
  <c r="D78" i="107"/>
  <c r="C78" i="107"/>
  <c r="C77" i="107"/>
  <c r="D80" i="107" s="1"/>
  <c r="E66" i="107"/>
  <c r="D66" i="107"/>
  <c r="C66" i="107"/>
  <c r="B66" i="107"/>
  <c r="E58" i="107"/>
  <c r="D58" i="107"/>
  <c r="C58" i="107"/>
  <c r="E57" i="107"/>
  <c r="D57" i="107"/>
  <c r="C57" i="107"/>
  <c r="E47" i="107"/>
  <c r="D47" i="107"/>
  <c r="C47" i="107"/>
  <c r="B46" i="107"/>
  <c r="B47" i="107" s="1"/>
  <c r="E37" i="107"/>
  <c r="D37" i="107"/>
  <c r="C37" i="107"/>
  <c r="E36" i="107"/>
  <c r="D36" i="107"/>
  <c r="C36" i="107"/>
  <c r="E35" i="107"/>
  <c r="E38" i="107" s="1"/>
  <c r="D35" i="107"/>
  <c r="C35" i="107"/>
  <c r="D38" i="107" s="1"/>
  <c r="B35" i="107"/>
  <c r="C38" i="107" l="1"/>
  <c r="D101" i="107"/>
  <c r="D139" i="107"/>
  <c r="E340" i="106" l="1"/>
  <c r="D340" i="106"/>
  <c r="E341" i="106" s="1"/>
  <c r="C340" i="106"/>
  <c r="B340" i="106"/>
  <c r="C341" i="106" s="1"/>
  <c r="E338" i="106"/>
  <c r="D338" i="106"/>
  <c r="C338" i="106"/>
  <c r="B338" i="106"/>
  <c r="E336" i="106"/>
  <c r="D336" i="106"/>
  <c r="C336" i="106"/>
  <c r="B336" i="106"/>
  <c r="E334" i="106"/>
  <c r="E335" i="106" s="1"/>
  <c r="D334" i="106"/>
  <c r="C334" i="106"/>
  <c r="D335" i="106" s="1"/>
  <c r="B334" i="106"/>
  <c r="E332" i="106"/>
  <c r="D332" i="106"/>
  <c r="C332" i="106"/>
  <c r="B332" i="106"/>
  <c r="E330" i="106"/>
  <c r="D330" i="106"/>
  <c r="C330" i="106"/>
  <c r="B330" i="106"/>
  <c r="E328" i="106"/>
  <c r="D328" i="106"/>
  <c r="E329" i="106" s="1"/>
  <c r="C328" i="106"/>
  <c r="B328" i="106"/>
  <c r="C329" i="106" s="1"/>
  <c r="E326" i="106"/>
  <c r="E327" i="106" s="1"/>
  <c r="D326" i="106"/>
  <c r="C326" i="106"/>
  <c r="D327" i="106" s="1"/>
  <c r="B326" i="106"/>
  <c r="B325" i="106"/>
  <c r="E324" i="106"/>
  <c r="E325" i="106" s="1"/>
  <c r="D324" i="106"/>
  <c r="D325" i="106" s="1"/>
  <c r="C324" i="106"/>
  <c r="C325" i="106" s="1"/>
  <c r="B324" i="106"/>
  <c r="E321" i="106"/>
  <c r="D321" i="106"/>
  <c r="C321" i="106"/>
  <c r="B321" i="106"/>
  <c r="E319" i="106"/>
  <c r="D319" i="106"/>
  <c r="C319" i="106"/>
  <c r="B319" i="106"/>
  <c r="E312" i="106"/>
  <c r="D312" i="106"/>
  <c r="C312" i="106"/>
  <c r="E311" i="106"/>
  <c r="D311" i="106"/>
  <c r="C311" i="106"/>
  <c r="E310" i="106"/>
  <c r="E313" i="106" s="1"/>
  <c r="D310" i="106"/>
  <c r="D313" i="106" s="1"/>
  <c r="C310" i="106"/>
  <c r="C313" i="106" s="1"/>
  <c r="B310" i="106"/>
  <c r="E299" i="106"/>
  <c r="D299" i="106"/>
  <c r="C299" i="106"/>
  <c r="B299" i="106"/>
  <c r="E292" i="106"/>
  <c r="D292" i="106"/>
  <c r="C292" i="106"/>
  <c r="E291" i="106"/>
  <c r="D291" i="106"/>
  <c r="C291" i="106"/>
  <c r="E290" i="106"/>
  <c r="E293" i="106" s="1"/>
  <c r="D290" i="106"/>
  <c r="D293" i="106" s="1"/>
  <c r="C290" i="106"/>
  <c r="C293" i="106" s="1"/>
  <c r="B290" i="106"/>
  <c r="E278" i="106"/>
  <c r="E279" i="106" s="1"/>
  <c r="D278" i="106"/>
  <c r="D279" i="106" s="1"/>
  <c r="C278" i="106"/>
  <c r="C279" i="106" s="1"/>
  <c r="B278" i="106"/>
  <c r="B279" i="106" s="1"/>
  <c r="E266" i="106"/>
  <c r="D266" i="106"/>
  <c r="C266" i="106"/>
  <c r="E265" i="106"/>
  <c r="D265" i="106"/>
  <c r="C265" i="106"/>
  <c r="E264" i="106"/>
  <c r="E267" i="106" s="1"/>
  <c r="D264" i="106"/>
  <c r="D267" i="106" s="1"/>
  <c r="C264" i="106"/>
  <c r="C267" i="106" s="1"/>
  <c r="B264" i="106"/>
  <c r="E255" i="106"/>
  <c r="E256" i="106" s="1"/>
  <c r="D255" i="106"/>
  <c r="D256" i="106" s="1"/>
  <c r="C255" i="106"/>
  <c r="C256" i="106" s="1"/>
  <c r="B255" i="106"/>
  <c r="B256" i="106" s="1"/>
  <c r="E241" i="106"/>
  <c r="D241" i="106"/>
  <c r="C241" i="106"/>
  <c r="E240" i="106"/>
  <c r="D240" i="106"/>
  <c r="C240" i="106"/>
  <c r="E239" i="106"/>
  <c r="E242" i="106" s="1"/>
  <c r="D239" i="106"/>
  <c r="D242" i="106" s="1"/>
  <c r="C239" i="106"/>
  <c r="C242" i="106" s="1"/>
  <c r="B239" i="106"/>
  <c r="E226" i="106"/>
  <c r="E227" i="106" s="1"/>
  <c r="D226" i="106"/>
  <c r="D227" i="106" s="1"/>
  <c r="C226" i="106"/>
  <c r="C227" i="106" s="1"/>
  <c r="B226" i="106"/>
  <c r="B227" i="106" s="1"/>
  <c r="E212" i="106"/>
  <c r="D212" i="106"/>
  <c r="C212" i="106"/>
  <c r="E211" i="106"/>
  <c r="D211" i="106"/>
  <c r="C211" i="106"/>
  <c r="E210" i="106"/>
  <c r="E213" i="106" s="1"/>
  <c r="D210" i="106"/>
  <c r="D213" i="106" s="1"/>
  <c r="C210" i="106"/>
  <c r="C213" i="106" s="1"/>
  <c r="B210" i="106"/>
  <c r="E197" i="106"/>
  <c r="E198" i="106" s="1"/>
  <c r="D197" i="106"/>
  <c r="D198" i="106" s="1"/>
  <c r="C197" i="106"/>
  <c r="C198" i="106" s="1"/>
  <c r="B197" i="106"/>
  <c r="B198" i="106" s="1"/>
  <c r="E185" i="106"/>
  <c r="D185" i="106"/>
  <c r="C185" i="106"/>
  <c r="E184" i="106"/>
  <c r="D184" i="106"/>
  <c r="C184" i="106"/>
  <c r="E183" i="106"/>
  <c r="E186" i="106" s="1"/>
  <c r="D183" i="106"/>
  <c r="D186" i="106" s="1"/>
  <c r="C183" i="106"/>
  <c r="C186" i="106" s="1"/>
  <c r="B183" i="106"/>
  <c r="E174" i="106"/>
  <c r="E175" i="106" s="1"/>
  <c r="D174" i="106"/>
  <c r="D175" i="106" s="1"/>
  <c r="C174" i="106"/>
  <c r="C175" i="106" s="1"/>
  <c r="B174" i="106"/>
  <c r="B175" i="106" s="1"/>
  <c r="E162" i="106"/>
  <c r="D162" i="106"/>
  <c r="C162" i="106"/>
  <c r="E161" i="106"/>
  <c r="D161" i="106"/>
  <c r="C161" i="106"/>
  <c r="E160" i="106"/>
  <c r="E163" i="106" s="1"/>
  <c r="D160" i="106"/>
  <c r="D163" i="106" s="1"/>
  <c r="C160" i="106"/>
  <c r="C163" i="106" s="1"/>
  <c r="B160" i="106"/>
  <c r="E151" i="106"/>
  <c r="E152" i="106" s="1"/>
  <c r="D151" i="106"/>
  <c r="D152" i="106" s="1"/>
  <c r="C151" i="106"/>
  <c r="C152" i="106" s="1"/>
  <c r="B151" i="106"/>
  <c r="B152" i="106" s="1"/>
  <c r="E137" i="106"/>
  <c r="D137" i="106"/>
  <c r="C137" i="106"/>
  <c r="E136" i="106"/>
  <c r="D136" i="106"/>
  <c r="C136" i="106"/>
  <c r="E135" i="106"/>
  <c r="E138" i="106" s="1"/>
  <c r="D135" i="106"/>
  <c r="D138" i="106" s="1"/>
  <c r="C135" i="106"/>
  <c r="C138" i="106" s="1"/>
  <c r="B135" i="106"/>
  <c r="E122" i="106"/>
  <c r="E123" i="106" s="1"/>
  <c r="D122" i="106"/>
  <c r="D123" i="106" s="1"/>
  <c r="C122" i="106"/>
  <c r="C123" i="106" s="1"/>
  <c r="B122" i="106"/>
  <c r="B123" i="106" s="1"/>
  <c r="E108" i="106"/>
  <c r="D108" i="106"/>
  <c r="C108" i="106"/>
  <c r="E107" i="106"/>
  <c r="D107" i="106"/>
  <c r="C107" i="106"/>
  <c r="E106" i="106"/>
  <c r="E109" i="106" s="1"/>
  <c r="D106" i="106"/>
  <c r="D109" i="106" s="1"/>
  <c r="C106" i="106"/>
  <c r="C109" i="106" s="1"/>
  <c r="B106" i="106"/>
  <c r="E93" i="106"/>
  <c r="E94" i="106" s="1"/>
  <c r="D93" i="106"/>
  <c r="D94" i="106" s="1"/>
  <c r="C93" i="106"/>
  <c r="C94" i="106" s="1"/>
  <c r="B93" i="106"/>
  <c r="B94" i="106" s="1"/>
  <c r="E81" i="106"/>
  <c r="D81" i="106"/>
  <c r="C81" i="106"/>
  <c r="E80" i="106"/>
  <c r="D80" i="106"/>
  <c r="C80" i="106"/>
  <c r="E79" i="106"/>
  <c r="E82" i="106" s="1"/>
  <c r="D79" i="106"/>
  <c r="D82" i="106" s="1"/>
  <c r="C79" i="106"/>
  <c r="C82" i="106" s="1"/>
  <c r="B79" i="106"/>
  <c r="E70" i="106"/>
  <c r="E71" i="106" s="1"/>
  <c r="D70" i="106"/>
  <c r="D71" i="106" s="1"/>
  <c r="C70" i="106"/>
  <c r="C71" i="106" s="1"/>
  <c r="B70" i="106"/>
  <c r="B71" i="106" s="1"/>
  <c r="E58" i="106"/>
  <c r="D58" i="106"/>
  <c r="C58" i="106"/>
  <c r="E57" i="106"/>
  <c r="D57" i="106"/>
  <c r="C57" i="106"/>
  <c r="E56" i="106"/>
  <c r="E59" i="106" s="1"/>
  <c r="D56" i="106"/>
  <c r="D59" i="106" s="1"/>
  <c r="C56" i="106"/>
  <c r="C59" i="106" s="1"/>
  <c r="B56" i="106"/>
  <c r="E47" i="106"/>
  <c r="E48" i="106" s="1"/>
  <c r="D47" i="106"/>
  <c r="D322" i="106" s="1"/>
  <c r="C47" i="106"/>
  <c r="C48" i="106" s="1"/>
  <c r="B47" i="106"/>
  <c r="B322" i="106" s="1"/>
  <c r="B342" i="106" s="1"/>
  <c r="E35" i="106"/>
  <c r="D35" i="106"/>
  <c r="C35" i="106"/>
  <c r="E34" i="106"/>
  <c r="D34" i="106"/>
  <c r="C34" i="106"/>
  <c r="E33" i="106"/>
  <c r="E36" i="106" s="1"/>
  <c r="D33" i="106"/>
  <c r="D36" i="106" s="1"/>
  <c r="C33" i="106"/>
  <c r="C36" i="106" s="1"/>
  <c r="B33" i="106"/>
  <c r="B28" i="106"/>
  <c r="B27" i="106"/>
  <c r="B26" i="106"/>
  <c r="A23" i="106"/>
  <c r="A22" i="106"/>
  <c r="A21" i="106"/>
  <c r="B19" i="106"/>
  <c r="B18" i="106"/>
  <c r="B12" i="106"/>
  <c r="B11" i="106"/>
  <c r="D342" i="106" l="1"/>
  <c r="B48" i="106"/>
  <c r="D48" i="106"/>
  <c r="C322" i="106"/>
  <c r="E322" i="106"/>
  <c r="C327" i="106"/>
  <c r="D329" i="106"/>
  <c r="C335" i="106"/>
  <c r="D341" i="106"/>
  <c r="C342" i="106" l="1"/>
  <c r="C323" i="106"/>
  <c r="E342" i="106"/>
  <c r="E323" i="106"/>
  <c r="D323" i="106"/>
  <c r="E207" i="105" l="1"/>
  <c r="D207" i="105"/>
  <c r="D208" i="105" s="1"/>
  <c r="C207" i="105"/>
  <c r="B207" i="105"/>
  <c r="C208" i="105" s="1"/>
  <c r="E205" i="105"/>
  <c r="E206" i="105" s="1"/>
  <c r="D205" i="105"/>
  <c r="C205" i="105"/>
  <c r="C206" i="105" s="1"/>
  <c r="B205" i="105"/>
  <c r="E203" i="105"/>
  <c r="D203" i="105"/>
  <c r="D204" i="105" s="1"/>
  <c r="C203" i="105"/>
  <c r="B203" i="105"/>
  <c r="E198" i="105"/>
  <c r="E209" i="105" s="1"/>
  <c r="D198" i="105"/>
  <c r="D209" i="105" s="1"/>
  <c r="C198" i="105"/>
  <c r="C209" i="105" s="1"/>
  <c r="B198" i="105"/>
  <c r="B200" i="105" s="1"/>
  <c r="E191" i="105"/>
  <c r="D191" i="105"/>
  <c r="C191" i="105"/>
  <c r="E190" i="105"/>
  <c r="D190" i="105"/>
  <c r="C190" i="105"/>
  <c r="E189" i="105"/>
  <c r="D189" i="105"/>
  <c r="D192" i="105" s="1"/>
  <c r="C189" i="105"/>
  <c r="B189" i="105"/>
  <c r="C192" i="105" s="1"/>
  <c r="E180" i="105"/>
  <c r="D180" i="105"/>
  <c r="C180" i="105"/>
  <c r="B180" i="105"/>
  <c r="E173" i="105"/>
  <c r="D173" i="105"/>
  <c r="C173" i="105"/>
  <c r="E172" i="105"/>
  <c r="D172" i="105"/>
  <c r="C172" i="105"/>
  <c r="E171" i="105"/>
  <c r="E174" i="105" s="1"/>
  <c r="D171" i="105"/>
  <c r="C171" i="105"/>
  <c r="C174" i="105" s="1"/>
  <c r="B171" i="105"/>
  <c r="E162" i="105"/>
  <c r="D162" i="105"/>
  <c r="C162" i="105"/>
  <c r="B162" i="105"/>
  <c r="B209" i="105" s="1"/>
  <c r="E155" i="105"/>
  <c r="D155" i="105"/>
  <c r="C155" i="105"/>
  <c r="E154" i="105"/>
  <c r="D154" i="105"/>
  <c r="C154" i="105"/>
  <c r="E153" i="105"/>
  <c r="D153" i="105"/>
  <c r="D156" i="105" s="1"/>
  <c r="C153" i="105"/>
  <c r="B153" i="105"/>
  <c r="C156" i="105" s="1"/>
  <c r="E141" i="105"/>
  <c r="D141" i="105"/>
  <c r="C141" i="105"/>
  <c r="B141" i="105"/>
  <c r="E134" i="105"/>
  <c r="D134" i="105"/>
  <c r="C134" i="105"/>
  <c r="E133" i="105"/>
  <c r="D133" i="105"/>
  <c r="C133" i="105"/>
  <c r="E132" i="105"/>
  <c r="E135" i="105" s="1"/>
  <c r="D132" i="105"/>
  <c r="C132" i="105"/>
  <c r="C135" i="105" s="1"/>
  <c r="B132" i="105"/>
  <c r="E120" i="105"/>
  <c r="D120" i="105"/>
  <c r="C120" i="105"/>
  <c r="B120" i="105"/>
  <c r="E113" i="105"/>
  <c r="D113" i="105"/>
  <c r="C113" i="105"/>
  <c r="E112" i="105"/>
  <c r="D112" i="105"/>
  <c r="C112" i="105"/>
  <c r="E111" i="105"/>
  <c r="D111" i="105"/>
  <c r="D114" i="105" s="1"/>
  <c r="C111" i="105"/>
  <c r="B111" i="105"/>
  <c r="C114" i="105" s="1"/>
  <c r="E99" i="105"/>
  <c r="E100" i="105" s="1"/>
  <c r="D99" i="105"/>
  <c r="D100" i="105" s="1"/>
  <c r="C99" i="105"/>
  <c r="C100" i="105" s="1"/>
  <c r="B99" i="105"/>
  <c r="B100" i="105" s="1"/>
  <c r="E91" i="105"/>
  <c r="D91" i="105"/>
  <c r="C91" i="105"/>
  <c r="E90" i="105"/>
  <c r="D90" i="105"/>
  <c r="C90" i="105"/>
  <c r="E89" i="105"/>
  <c r="E92" i="105" s="1"/>
  <c r="D89" i="105"/>
  <c r="C89" i="105"/>
  <c r="C92" i="105" s="1"/>
  <c r="B89" i="105"/>
  <c r="E74" i="105"/>
  <c r="E75" i="105" s="1"/>
  <c r="D74" i="105"/>
  <c r="D75" i="105" s="1"/>
  <c r="C74" i="105"/>
  <c r="C75" i="105" s="1"/>
  <c r="B74" i="105"/>
  <c r="B75" i="105" s="1"/>
  <c r="E66" i="105"/>
  <c r="D66" i="105"/>
  <c r="C66" i="105"/>
  <c r="E65" i="105"/>
  <c r="D65" i="105"/>
  <c r="C65" i="105"/>
  <c r="E64" i="105"/>
  <c r="D64" i="105"/>
  <c r="D67" i="105" s="1"/>
  <c r="C64" i="105"/>
  <c r="B64" i="105"/>
  <c r="C67" i="105" s="1"/>
  <c r="E49" i="105"/>
  <c r="E50" i="105" s="1"/>
  <c r="D49" i="105"/>
  <c r="D50" i="105" s="1"/>
  <c r="C49" i="105"/>
  <c r="C50" i="105" s="1"/>
  <c r="B49" i="105"/>
  <c r="B50" i="105" s="1"/>
  <c r="E41" i="105"/>
  <c r="D41" i="105"/>
  <c r="C41" i="105"/>
  <c r="E40" i="105"/>
  <c r="D40" i="105"/>
  <c r="C40" i="105"/>
  <c r="E39" i="105"/>
  <c r="E42" i="105" s="1"/>
  <c r="D39" i="105"/>
  <c r="C39" i="105"/>
  <c r="C42" i="105" s="1"/>
  <c r="B39" i="105"/>
  <c r="C210" i="105" l="1"/>
  <c r="C201" i="105"/>
  <c r="E210" i="105"/>
  <c r="E201" i="105"/>
  <c r="D210" i="105"/>
  <c r="B201" i="105"/>
  <c r="B211" i="105" s="1"/>
  <c r="E67" i="105"/>
  <c r="E114" i="105"/>
  <c r="D135" i="105"/>
  <c r="E156" i="105"/>
  <c r="D174" i="105"/>
  <c r="E192" i="105"/>
  <c r="C200" i="105"/>
  <c r="E200" i="105"/>
  <c r="C204" i="105"/>
  <c r="E204" i="105"/>
  <c r="D206" i="105"/>
  <c r="E208" i="105"/>
  <c r="D42" i="105"/>
  <c r="D92" i="105"/>
  <c r="D200" i="105"/>
  <c r="D201" i="105"/>
  <c r="D211" i="105" l="1"/>
  <c r="D202" i="105"/>
  <c r="E211" i="105"/>
  <c r="E202" i="105"/>
  <c r="C211" i="105"/>
  <c r="C202" i="105"/>
  <c r="B37" i="103" l="1"/>
  <c r="C37" i="103"/>
  <c r="D37" i="103"/>
  <c r="D40" i="103" s="1"/>
  <c r="E37" i="103"/>
  <c r="C38" i="103"/>
  <c r="D38" i="103"/>
  <c r="E38" i="103"/>
  <c r="C39" i="103"/>
  <c r="D39" i="103"/>
  <c r="E39" i="103"/>
  <c r="C40" i="103"/>
  <c r="E40" i="103"/>
  <c r="B51" i="103"/>
  <c r="C51" i="103"/>
  <c r="D51" i="103"/>
  <c r="E51" i="103"/>
  <c r="B52" i="103"/>
  <c r="C52" i="103"/>
  <c r="D52" i="103"/>
  <c r="E52" i="103"/>
  <c r="B63" i="103"/>
  <c r="C63" i="103"/>
  <c r="C66" i="103" s="1"/>
  <c r="D63" i="103"/>
  <c r="E63" i="103"/>
  <c r="E66" i="103" s="1"/>
  <c r="C64" i="103"/>
  <c r="D64" i="103"/>
  <c r="E64" i="103"/>
  <c r="C65" i="103"/>
  <c r="D65" i="103"/>
  <c r="E65" i="103"/>
  <c r="D66" i="103"/>
  <c r="B72" i="103"/>
  <c r="C72" i="103"/>
  <c r="D72" i="103"/>
  <c r="E72" i="103"/>
  <c r="B89" i="103"/>
  <c r="C89" i="103"/>
  <c r="D89" i="103"/>
  <c r="D92" i="103" s="1"/>
  <c r="E89" i="103"/>
  <c r="C90" i="103"/>
  <c r="D90" i="103"/>
  <c r="E90" i="103"/>
  <c r="C91" i="103"/>
  <c r="D91" i="103"/>
  <c r="E91" i="103"/>
  <c r="C92" i="103"/>
  <c r="E92" i="103"/>
  <c r="B103" i="103"/>
  <c r="C103" i="103"/>
  <c r="D103" i="103"/>
  <c r="E103" i="103"/>
  <c r="B104" i="103"/>
  <c r="C104" i="103"/>
  <c r="D104" i="103"/>
  <c r="E104" i="103"/>
  <c r="B120" i="103"/>
  <c r="C120" i="103"/>
  <c r="C123" i="103" s="1"/>
  <c r="D120" i="103"/>
  <c r="E120" i="103"/>
  <c r="E123" i="103" s="1"/>
  <c r="C121" i="103"/>
  <c r="D121" i="103"/>
  <c r="E121" i="103"/>
  <c r="C122" i="103"/>
  <c r="D122" i="103"/>
  <c r="E122" i="103"/>
  <c r="D123" i="103"/>
  <c r="B136" i="103"/>
  <c r="C136" i="103"/>
  <c r="D136" i="103"/>
  <c r="E136" i="103"/>
  <c r="B137" i="103"/>
  <c r="C137" i="103"/>
  <c r="D137" i="103"/>
  <c r="E137" i="103"/>
  <c r="B139" i="103"/>
  <c r="C139" i="103"/>
  <c r="D139" i="103"/>
  <c r="E139" i="103"/>
  <c r="B142" i="103"/>
  <c r="C142" i="103"/>
  <c r="C140" i="103" s="1"/>
  <c r="D142" i="103"/>
  <c r="E142" i="103"/>
  <c r="E140" i="103" s="1"/>
  <c r="D143" i="103"/>
  <c r="B144" i="103"/>
  <c r="B140" i="103" s="1"/>
  <c r="B160" i="103" s="1"/>
  <c r="C144" i="103"/>
  <c r="D144" i="103"/>
  <c r="D145" i="103" s="1"/>
  <c r="E144" i="103"/>
  <c r="C145" i="103"/>
  <c r="E145" i="103"/>
  <c r="B146" i="103"/>
  <c r="C146" i="103"/>
  <c r="C147" i="103" s="1"/>
  <c r="D146" i="103"/>
  <c r="E146" i="103"/>
  <c r="E147" i="103" s="1"/>
  <c r="D147" i="103"/>
  <c r="B148" i="103"/>
  <c r="C148" i="103"/>
  <c r="D148" i="103"/>
  <c r="D149" i="103" s="1"/>
  <c r="E148" i="103"/>
  <c r="C149" i="103"/>
  <c r="E149" i="103"/>
  <c r="B150" i="103"/>
  <c r="C150" i="103"/>
  <c r="C151" i="103" s="1"/>
  <c r="D150" i="103"/>
  <c r="E150" i="103"/>
  <c r="E151" i="103" s="1"/>
  <c r="D151" i="103"/>
  <c r="B152" i="103"/>
  <c r="C152" i="103"/>
  <c r="D152" i="103"/>
  <c r="D153" i="103" s="1"/>
  <c r="E152" i="103"/>
  <c r="C153" i="103"/>
  <c r="E153" i="103"/>
  <c r="B154" i="103"/>
  <c r="C154" i="103"/>
  <c r="C155" i="103" s="1"/>
  <c r="D154" i="103"/>
  <c r="E154" i="103"/>
  <c r="E155" i="103" s="1"/>
  <c r="D155" i="103"/>
  <c r="B156" i="103"/>
  <c r="C156" i="103"/>
  <c r="D156" i="103"/>
  <c r="D157" i="103" s="1"/>
  <c r="E156" i="103"/>
  <c r="C157" i="103"/>
  <c r="E157" i="103"/>
  <c r="B158" i="103"/>
  <c r="C158" i="103"/>
  <c r="C159" i="103" s="1"/>
  <c r="D158" i="103"/>
  <c r="E158" i="103"/>
  <c r="E159" i="103" s="1"/>
  <c r="D159" i="103"/>
  <c r="E160" i="103" l="1"/>
  <c r="C160" i="103"/>
  <c r="C141" i="103"/>
  <c r="D140" i="103"/>
  <c r="E143" i="103"/>
  <c r="C143" i="103"/>
  <c r="D160" i="103" l="1"/>
  <c r="D141" i="103"/>
  <c r="E141" i="103"/>
  <c r="B38" i="102"/>
  <c r="B54" i="102" s="1"/>
  <c r="D38" i="102"/>
  <c r="D54" i="102" s="1"/>
  <c r="B39" i="102"/>
  <c r="D39" i="102"/>
  <c r="C40" i="102"/>
  <c r="D40" i="102"/>
  <c r="E40" i="102"/>
  <c r="B53" i="102"/>
  <c r="C53" i="102"/>
  <c r="C38" i="102" s="1"/>
  <c r="D53" i="102"/>
  <c r="E53" i="102"/>
  <c r="E38" i="102" s="1"/>
  <c r="C61" i="102"/>
  <c r="C77" i="102" s="1"/>
  <c r="E61" i="102"/>
  <c r="E77" i="102" s="1"/>
  <c r="C62" i="102"/>
  <c r="E62" i="102"/>
  <c r="C63" i="102"/>
  <c r="D63" i="102"/>
  <c r="E63" i="102"/>
  <c r="B76" i="102"/>
  <c r="B61" i="102" s="1"/>
  <c r="C76" i="102"/>
  <c r="D76" i="102"/>
  <c r="D61" i="102" s="1"/>
  <c r="E76" i="102"/>
  <c r="C86" i="102"/>
  <c r="D86" i="102"/>
  <c r="E86" i="102"/>
  <c r="B99" i="102"/>
  <c r="C99" i="102"/>
  <c r="C84" i="102" s="1"/>
  <c r="D99" i="102"/>
  <c r="D84" i="102" s="1"/>
  <c r="E99" i="102"/>
  <c r="E84" i="102" s="1"/>
  <c r="B100" i="102"/>
  <c r="B111" i="102"/>
  <c r="C111" i="102"/>
  <c r="C114" i="102" s="1"/>
  <c r="D111" i="102"/>
  <c r="E111" i="102"/>
  <c r="E114" i="102" s="1"/>
  <c r="C112" i="102"/>
  <c r="D112" i="102"/>
  <c r="E112" i="102"/>
  <c r="C113" i="102"/>
  <c r="D113" i="102"/>
  <c r="E113" i="102"/>
  <c r="D114" i="102"/>
  <c r="B120" i="102"/>
  <c r="C120" i="102"/>
  <c r="D120" i="102"/>
  <c r="E120" i="102"/>
  <c r="B132" i="102"/>
  <c r="C132" i="102"/>
  <c r="D132" i="102"/>
  <c r="D135" i="102" s="1"/>
  <c r="E132" i="102"/>
  <c r="C133" i="102"/>
  <c r="D133" i="102"/>
  <c r="E133" i="102"/>
  <c r="C134" i="102"/>
  <c r="D134" i="102"/>
  <c r="E134" i="102"/>
  <c r="C135" i="102"/>
  <c r="E135" i="102"/>
  <c r="B141" i="102"/>
  <c r="C141" i="102"/>
  <c r="D141" i="102"/>
  <c r="E141" i="102"/>
  <c r="B152" i="102"/>
  <c r="C152" i="102"/>
  <c r="C155" i="102" s="1"/>
  <c r="D152" i="102"/>
  <c r="E152" i="102"/>
  <c r="E155" i="102" s="1"/>
  <c r="C153" i="102"/>
  <c r="D153" i="102"/>
  <c r="E153" i="102"/>
  <c r="C154" i="102"/>
  <c r="D154" i="102"/>
  <c r="E154" i="102"/>
  <c r="D155" i="102"/>
  <c r="B161" i="102"/>
  <c r="C161" i="102"/>
  <c r="D161" i="102"/>
  <c r="E161" i="102"/>
  <c r="B170" i="102"/>
  <c r="C170" i="102"/>
  <c r="D170" i="102"/>
  <c r="D173" i="102" s="1"/>
  <c r="E170" i="102"/>
  <c r="C171" i="102"/>
  <c r="D171" i="102"/>
  <c r="E171" i="102"/>
  <c r="C172" i="102"/>
  <c r="D172" i="102"/>
  <c r="E172" i="102"/>
  <c r="C173" i="102"/>
  <c r="E173" i="102"/>
  <c r="B179" i="102"/>
  <c r="C179" i="102"/>
  <c r="D179" i="102"/>
  <c r="E179" i="102"/>
  <c r="B196" i="102"/>
  <c r="C196" i="102"/>
  <c r="C199" i="102" s="1"/>
  <c r="D196" i="102"/>
  <c r="E196" i="102"/>
  <c r="E199" i="102" s="1"/>
  <c r="C197" i="102"/>
  <c r="D197" i="102"/>
  <c r="E197" i="102"/>
  <c r="C198" i="102"/>
  <c r="D198" i="102"/>
  <c r="E198" i="102"/>
  <c r="D199" i="102"/>
  <c r="B212" i="102"/>
  <c r="C212" i="102"/>
  <c r="D212" i="102"/>
  <c r="D213" i="102" s="1"/>
  <c r="E212" i="102"/>
  <c r="B213" i="102"/>
  <c r="C213" i="102"/>
  <c r="E213" i="102"/>
  <c r="B221" i="102"/>
  <c r="C221" i="102"/>
  <c r="D221" i="102"/>
  <c r="D224" i="102" s="1"/>
  <c r="E221" i="102"/>
  <c r="C222" i="102"/>
  <c r="D222" i="102"/>
  <c r="E222" i="102"/>
  <c r="C223" i="102"/>
  <c r="D223" i="102"/>
  <c r="E223" i="102"/>
  <c r="C224" i="102"/>
  <c r="E224" i="102"/>
  <c r="B235" i="102"/>
  <c r="C235" i="102"/>
  <c r="D235" i="102"/>
  <c r="E235" i="102"/>
  <c r="B236" i="102"/>
  <c r="C236" i="102"/>
  <c r="D236" i="102"/>
  <c r="E236" i="102"/>
  <c r="B247" i="102"/>
  <c r="C247" i="102"/>
  <c r="C250" i="102" s="1"/>
  <c r="D247" i="102"/>
  <c r="E247" i="102"/>
  <c r="E250" i="102" s="1"/>
  <c r="C248" i="102"/>
  <c r="D248" i="102"/>
  <c r="E248" i="102"/>
  <c r="C249" i="102"/>
  <c r="D249" i="102"/>
  <c r="E249" i="102"/>
  <c r="D250" i="102"/>
  <c r="B256" i="102"/>
  <c r="C256" i="102"/>
  <c r="D256" i="102"/>
  <c r="E256" i="102"/>
  <c r="B265" i="102"/>
  <c r="C265" i="102"/>
  <c r="D265" i="102"/>
  <c r="D268" i="102" s="1"/>
  <c r="E265" i="102"/>
  <c r="C266" i="102"/>
  <c r="D266" i="102"/>
  <c r="E266" i="102"/>
  <c r="C267" i="102"/>
  <c r="D267" i="102"/>
  <c r="E267" i="102"/>
  <c r="C268" i="102"/>
  <c r="E268" i="102"/>
  <c r="B274" i="102"/>
  <c r="C274" i="102"/>
  <c r="D274" i="102"/>
  <c r="E274" i="102"/>
  <c r="B285" i="102"/>
  <c r="C285" i="102"/>
  <c r="C288" i="102" s="1"/>
  <c r="D285" i="102"/>
  <c r="E285" i="102"/>
  <c r="E288" i="102" s="1"/>
  <c r="C286" i="102"/>
  <c r="D286" i="102"/>
  <c r="E286" i="102"/>
  <c r="C287" i="102"/>
  <c r="D287" i="102"/>
  <c r="E287" i="102"/>
  <c r="D288" i="102"/>
  <c r="B294" i="102"/>
  <c r="C294" i="102"/>
  <c r="D294" i="102"/>
  <c r="E294" i="102"/>
  <c r="B303" i="102"/>
  <c r="C303" i="102"/>
  <c r="D303" i="102"/>
  <c r="D306" i="102" s="1"/>
  <c r="E303" i="102"/>
  <c r="C304" i="102"/>
  <c r="D304" i="102"/>
  <c r="E304" i="102"/>
  <c r="C305" i="102"/>
  <c r="D305" i="102"/>
  <c r="E305" i="102"/>
  <c r="C306" i="102"/>
  <c r="E306" i="102"/>
  <c r="B312" i="102"/>
  <c r="C312" i="102"/>
  <c r="D312" i="102"/>
  <c r="E312" i="102"/>
  <c r="B317" i="102"/>
  <c r="B315" i="102" s="1"/>
  <c r="C317" i="102"/>
  <c r="D317" i="102"/>
  <c r="D315" i="102" s="1"/>
  <c r="E317" i="102"/>
  <c r="C318" i="102"/>
  <c r="E318" i="102"/>
  <c r="B319" i="102"/>
  <c r="C319" i="102"/>
  <c r="C315" i="102" s="1"/>
  <c r="D319" i="102"/>
  <c r="E319" i="102"/>
  <c r="E320" i="102" s="1"/>
  <c r="D320" i="102"/>
  <c r="B321" i="102"/>
  <c r="C321" i="102"/>
  <c r="D321" i="102"/>
  <c r="D322" i="102" s="1"/>
  <c r="E321" i="102"/>
  <c r="C322" i="102"/>
  <c r="E322" i="102"/>
  <c r="C324" i="102"/>
  <c r="D324" i="102"/>
  <c r="E324" i="102"/>
  <c r="B325" i="102"/>
  <c r="C325" i="102"/>
  <c r="D325" i="102"/>
  <c r="D326" i="102" s="1"/>
  <c r="E325" i="102"/>
  <c r="C326" i="102"/>
  <c r="E326" i="102"/>
  <c r="B327" i="102"/>
  <c r="C327" i="102"/>
  <c r="C328" i="102" s="1"/>
  <c r="D327" i="102"/>
  <c r="E327" i="102"/>
  <c r="E328" i="102" s="1"/>
  <c r="D328" i="102"/>
  <c r="B329" i="102"/>
  <c r="C329" i="102"/>
  <c r="D329" i="102"/>
  <c r="D330" i="102" s="1"/>
  <c r="E329" i="102"/>
  <c r="C330" i="102"/>
  <c r="E330" i="102"/>
  <c r="B331" i="102"/>
  <c r="C331" i="102"/>
  <c r="C332" i="102" s="1"/>
  <c r="D331" i="102"/>
  <c r="E331" i="102"/>
  <c r="E332" i="102" s="1"/>
  <c r="D332" i="102"/>
  <c r="B333" i="102"/>
  <c r="C333" i="102"/>
  <c r="D333" i="102"/>
  <c r="D334" i="102" s="1"/>
  <c r="E333" i="102"/>
  <c r="C334" i="102"/>
  <c r="E334" i="102"/>
  <c r="D316" i="102" l="1"/>
  <c r="B335" i="102"/>
  <c r="E100" i="102"/>
  <c r="E85" i="102"/>
  <c r="E87" i="102"/>
  <c r="C100" i="102"/>
  <c r="C85" i="102"/>
  <c r="C88" i="102" s="1"/>
  <c r="C87" i="102"/>
  <c r="E64" i="102"/>
  <c r="D77" i="102"/>
  <c r="D62" i="102"/>
  <c r="D65" i="102" s="1"/>
  <c r="D64" i="102"/>
  <c r="D314" i="102"/>
  <c r="D335" i="102" s="1"/>
  <c r="C64" i="102"/>
  <c r="B77" i="102"/>
  <c r="B62" i="102"/>
  <c r="C65" i="102" s="1"/>
  <c r="B314" i="102"/>
  <c r="E65" i="102"/>
  <c r="E54" i="102"/>
  <c r="E39" i="102"/>
  <c r="E42" i="102" s="1"/>
  <c r="E41" i="102"/>
  <c r="E314" i="102"/>
  <c r="D41" i="102"/>
  <c r="C54" i="102"/>
  <c r="C314" i="102"/>
  <c r="C39" i="102"/>
  <c r="C42" i="102" s="1"/>
  <c r="C41" i="102"/>
  <c r="C316" i="102"/>
  <c r="C335" i="102"/>
  <c r="D85" i="102"/>
  <c r="D88" i="102" s="1"/>
  <c r="D87" i="102"/>
  <c r="D100" i="102"/>
  <c r="D42" i="102"/>
  <c r="E315" i="102"/>
  <c r="C320" i="102"/>
  <c r="D318" i="102"/>
  <c r="B36" i="101"/>
  <c r="C36" i="101"/>
  <c r="D36" i="101"/>
  <c r="D39" i="101" s="1"/>
  <c r="E36" i="101"/>
  <c r="C37" i="101"/>
  <c r="D37" i="101"/>
  <c r="E37" i="101"/>
  <c r="C38" i="101"/>
  <c r="D38" i="101"/>
  <c r="E38" i="101"/>
  <c r="C39" i="101"/>
  <c r="E39" i="101"/>
  <c r="B50" i="101"/>
  <c r="C50" i="101"/>
  <c r="D50" i="101"/>
  <c r="E50" i="101"/>
  <c r="B51" i="101"/>
  <c r="C51" i="101"/>
  <c r="D51" i="101"/>
  <c r="E51" i="101"/>
  <c r="B62" i="101"/>
  <c r="C62" i="101"/>
  <c r="C65" i="101" s="1"/>
  <c r="D62" i="101"/>
  <c r="E62" i="101"/>
  <c r="E65" i="101" s="1"/>
  <c r="C63" i="101"/>
  <c r="D63" i="101"/>
  <c r="E63" i="101"/>
  <c r="C64" i="101"/>
  <c r="D64" i="101"/>
  <c r="E64" i="101"/>
  <c r="D65" i="101"/>
  <c r="B71" i="101"/>
  <c r="C71" i="101"/>
  <c r="D71" i="101"/>
  <c r="E71" i="101"/>
  <c r="C80" i="101"/>
  <c r="C83" i="101" s="1"/>
  <c r="D80" i="101"/>
  <c r="E80" i="101"/>
  <c r="E83" i="101" s="1"/>
  <c r="C81" i="101"/>
  <c r="D81" i="101"/>
  <c r="E81" i="101"/>
  <c r="C82" i="101"/>
  <c r="D82" i="101"/>
  <c r="E82" i="101"/>
  <c r="D83" i="101"/>
  <c r="B89" i="101"/>
  <c r="C89" i="101"/>
  <c r="D89" i="101"/>
  <c r="E89" i="101"/>
  <c r="B100" i="101"/>
  <c r="C100" i="101"/>
  <c r="D100" i="101"/>
  <c r="D103" i="101" s="1"/>
  <c r="E100" i="101"/>
  <c r="C101" i="101"/>
  <c r="D101" i="101"/>
  <c r="E101" i="101"/>
  <c r="C102" i="101"/>
  <c r="D102" i="101"/>
  <c r="E102" i="101"/>
  <c r="C103" i="101"/>
  <c r="E103" i="101"/>
  <c r="B109" i="101"/>
  <c r="C109" i="101"/>
  <c r="D109" i="101"/>
  <c r="E109" i="101"/>
  <c r="B111" i="101"/>
  <c r="C111" i="101"/>
  <c r="D111" i="101"/>
  <c r="E111" i="101"/>
  <c r="B114" i="101"/>
  <c r="B112" i="101" s="1"/>
  <c r="B132" i="101" s="1"/>
  <c r="C114" i="101"/>
  <c r="D114" i="101"/>
  <c r="D112" i="101" s="1"/>
  <c r="E114" i="101"/>
  <c r="C115" i="101"/>
  <c r="E115" i="101"/>
  <c r="B116" i="101"/>
  <c r="C116" i="101"/>
  <c r="C112" i="101" s="1"/>
  <c r="D116" i="101"/>
  <c r="E116" i="101"/>
  <c r="E117" i="101" s="1"/>
  <c r="D117" i="101"/>
  <c r="B118" i="101"/>
  <c r="C118" i="101"/>
  <c r="D118" i="101"/>
  <c r="D119" i="101" s="1"/>
  <c r="E118" i="101"/>
  <c r="C119" i="101"/>
  <c r="E119" i="101"/>
  <c r="B120" i="101"/>
  <c r="C120" i="101"/>
  <c r="C121" i="101" s="1"/>
  <c r="D120" i="101"/>
  <c r="E120" i="101"/>
  <c r="E121" i="101" s="1"/>
  <c r="D121" i="101"/>
  <c r="B122" i="101"/>
  <c r="C122" i="101"/>
  <c r="D122" i="101"/>
  <c r="D123" i="101" s="1"/>
  <c r="E122" i="101"/>
  <c r="C123" i="101"/>
  <c r="E123" i="101"/>
  <c r="B124" i="101"/>
  <c r="C124" i="101"/>
  <c r="C125" i="101" s="1"/>
  <c r="D124" i="101"/>
  <c r="E124" i="101"/>
  <c r="E125" i="101" s="1"/>
  <c r="D125" i="101"/>
  <c r="B126" i="101"/>
  <c r="C126" i="101"/>
  <c r="D126" i="101"/>
  <c r="D127" i="101" s="1"/>
  <c r="E126" i="101"/>
  <c r="C127" i="101"/>
  <c r="E127" i="101"/>
  <c r="B128" i="101"/>
  <c r="C128" i="101"/>
  <c r="C129" i="101" s="1"/>
  <c r="D128" i="101"/>
  <c r="E128" i="101"/>
  <c r="E129" i="101" s="1"/>
  <c r="D129" i="101"/>
  <c r="B130" i="101"/>
  <c r="C130" i="101"/>
  <c r="D130" i="101"/>
  <c r="D131" i="101" s="1"/>
  <c r="E130" i="101"/>
  <c r="C131" i="101"/>
  <c r="E131" i="101"/>
  <c r="E88" i="102" l="1"/>
  <c r="E335" i="102"/>
  <c r="E316" i="102"/>
  <c r="C113" i="101"/>
  <c r="C132" i="101"/>
  <c r="D132" i="101"/>
  <c r="D113" i="101"/>
  <c r="E112" i="101"/>
  <c r="C117" i="101"/>
  <c r="D115" i="101"/>
  <c r="B24" i="100"/>
  <c r="B39" i="100"/>
  <c r="C39" i="100"/>
  <c r="C42" i="100" s="1"/>
  <c r="D39" i="100"/>
  <c r="E39" i="100"/>
  <c r="E42" i="100" s="1"/>
  <c r="C40" i="100"/>
  <c r="D40" i="100"/>
  <c r="E40" i="100"/>
  <c r="C41" i="100"/>
  <c r="D41" i="100"/>
  <c r="E41" i="100"/>
  <c r="D42" i="100"/>
  <c r="B46" i="100"/>
  <c r="B47" i="100"/>
  <c r="B48" i="100"/>
  <c r="B53" i="100" s="1"/>
  <c r="B54" i="100" s="1"/>
  <c r="C53" i="100"/>
  <c r="D53" i="100"/>
  <c r="E53" i="100"/>
  <c r="C54" i="100"/>
  <c r="D54" i="100"/>
  <c r="E54" i="100"/>
  <c r="B61" i="100"/>
  <c r="B62" i="100"/>
  <c r="C62" i="100"/>
  <c r="D62" i="100"/>
  <c r="D65" i="100" s="1"/>
  <c r="E62" i="100"/>
  <c r="C63" i="100"/>
  <c r="D63" i="100"/>
  <c r="E63" i="100"/>
  <c r="C64" i="100"/>
  <c r="D64" i="100"/>
  <c r="E64" i="100"/>
  <c r="C65" i="100"/>
  <c r="E65" i="100"/>
  <c r="B70" i="100"/>
  <c r="C70" i="100"/>
  <c r="C76" i="100" s="1"/>
  <c r="C77" i="100" s="1"/>
  <c r="D70" i="100"/>
  <c r="E70" i="100"/>
  <c r="E76" i="100" s="1"/>
  <c r="E77" i="100" s="1"/>
  <c r="B71" i="100"/>
  <c r="B76" i="100"/>
  <c r="D76" i="100"/>
  <c r="B77" i="100"/>
  <c r="D77" i="100"/>
  <c r="B83" i="100"/>
  <c r="B85" i="100" s="1"/>
  <c r="C88" i="100" s="1"/>
  <c r="B84" i="100"/>
  <c r="C85" i="100"/>
  <c r="D85" i="100"/>
  <c r="D88" i="100" s="1"/>
  <c r="E85" i="100"/>
  <c r="C86" i="100"/>
  <c r="D86" i="100"/>
  <c r="E86" i="100"/>
  <c r="C87" i="100"/>
  <c r="D87" i="100"/>
  <c r="E87" i="100"/>
  <c r="E88" i="100"/>
  <c r="B94" i="100"/>
  <c r="B99" i="100"/>
  <c r="C99" i="100"/>
  <c r="D99" i="100"/>
  <c r="E99" i="100"/>
  <c r="B100" i="100"/>
  <c r="C100" i="100"/>
  <c r="D100" i="100"/>
  <c r="E100" i="100"/>
  <c r="B111" i="100"/>
  <c r="C111" i="100"/>
  <c r="D111" i="100"/>
  <c r="D114" i="100" s="1"/>
  <c r="E111" i="100"/>
  <c r="C112" i="100"/>
  <c r="D112" i="100"/>
  <c r="E112" i="100"/>
  <c r="C113" i="100"/>
  <c r="D113" i="100"/>
  <c r="E113" i="100"/>
  <c r="C114" i="100"/>
  <c r="E114" i="100"/>
  <c r="B120" i="100"/>
  <c r="C120" i="100"/>
  <c r="D120" i="100"/>
  <c r="E120" i="100"/>
  <c r="B125" i="100"/>
  <c r="C125" i="100"/>
  <c r="D125" i="100"/>
  <c r="E125" i="100"/>
  <c r="B128" i="100"/>
  <c r="B126" i="100" s="1"/>
  <c r="B146" i="100" s="1"/>
  <c r="C128" i="100"/>
  <c r="D128" i="100"/>
  <c r="D126" i="100" s="1"/>
  <c r="E128" i="100"/>
  <c r="C129" i="100"/>
  <c r="E129" i="100"/>
  <c r="B130" i="100"/>
  <c r="C130" i="100"/>
  <c r="C126" i="100" s="1"/>
  <c r="D130" i="100"/>
  <c r="E130" i="100"/>
  <c r="E131" i="100" s="1"/>
  <c r="D131" i="100"/>
  <c r="B132" i="100"/>
  <c r="C132" i="100"/>
  <c r="D132" i="100"/>
  <c r="D133" i="100" s="1"/>
  <c r="E132" i="100"/>
  <c r="C133" i="100"/>
  <c r="E133" i="100"/>
  <c r="B134" i="100"/>
  <c r="C134" i="100"/>
  <c r="C135" i="100" s="1"/>
  <c r="D134" i="100"/>
  <c r="E134" i="100"/>
  <c r="E135" i="100" s="1"/>
  <c r="D135" i="100"/>
  <c r="B136" i="100"/>
  <c r="C136" i="100"/>
  <c r="D136" i="100"/>
  <c r="D137" i="100" s="1"/>
  <c r="E136" i="100"/>
  <c r="C137" i="100"/>
  <c r="E137" i="100"/>
  <c r="B138" i="100"/>
  <c r="C138" i="100"/>
  <c r="C139" i="100" s="1"/>
  <c r="D138" i="100"/>
  <c r="E138" i="100"/>
  <c r="E139" i="100" s="1"/>
  <c r="D139" i="100"/>
  <c r="B140" i="100"/>
  <c r="C140" i="100"/>
  <c r="D140" i="100"/>
  <c r="D141" i="100" s="1"/>
  <c r="E140" i="100"/>
  <c r="C141" i="100"/>
  <c r="E141" i="100"/>
  <c r="B142" i="100"/>
  <c r="C142" i="100"/>
  <c r="C143" i="100" s="1"/>
  <c r="D142" i="100"/>
  <c r="E142" i="100"/>
  <c r="E143" i="100" s="1"/>
  <c r="D143" i="100"/>
  <c r="B144" i="100"/>
  <c r="C144" i="100"/>
  <c r="D144" i="100"/>
  <c r="D145" i="100" s="1"/>
  <c r="E144" i="100"/>
  <c r="C145" i="100"/>
  <c r="E145" i="100"/>
  <c r="E113" i="101" l="1"/>
  <c r="E132" i="101"/>
  <c r="D146" i="100"/>
  <c r="D127" i="100"/>
  <c r="C146" i="100"/>
  <c r="C127" i="100"/>
  <c r="E126" i="100"/>
  <c r="C131" i="100"/>
  <c r="D129" i="100"/>
  <c r="B31" i="99"/>
  <c r="C31" i="99"/>
  <c r="D31" i="99"/>
  <c r="D34" i="99" s="1"/>
  <c r="E31" i="99"/>
  <c r="C32" i="99"/>
  <c r="C46" i="99" s="1"/>
  <c r="D32" i="99"/>
  <c r="E32" i="99"/>
  <c r="E46" i="99" s="1"/>
  <c r="C33" i="99"/>
  <c r="D33" i="99"/>
  <c r="E33" i="99"/>
  <c r="C34" i="99"/>
  <c r="E34" i="99"/>
  <c r="D46" i="99"/>
  <c r="B59" i="99"/>
  <c r="B131" i="99" s="1"/>
  <c r="B154" i="99" s="1"/>
  <c r="C59" i="99"/>
  <c r="D59" i="99"/>
  <c r="D131" i="99" s="1"/>
  <c r="E59" i="99"/>
  <c r="B63" i="99"/>
  <c r="C63" i="99"/>
  <c r="D63" i="99"/>
  <c r="E63" i="99"/>
  <c r="B74" i="99"/>
  <c r="C74" i="99"/>
  <c r="D74" i="99"/>
  <c r="D77" i="99" s="1"/>
  <c r="E74" i="99"/>
  <c r="C75" i="99"/>
  <c r="D75" i="99"/>
  <c r="E75" i="99"/>
  <c r="C76" i="99"/>
  <c r="D76" i="99"/>
  <c r="E76" i="99"/>
  <c r="C77" i="99"/>
  <c r="E77" i="99"/>
  <c r="B83" i="99"/>
  <c r="C83" i="99"/>
  <c r="D83" i="99"/>
  <c r="E83" i="99"/>
  <c r="B95" i="99"/>
  <c r="C95" i="99"/>
  <c r="C98" i="99" s="1"/>
  <c r="D95" i="99"/>
  <c r="E95" i="99"/>
  <c r="E98" i="99" s="1"/>
  <c r="C96" i="99"/>
  <c r="D96" i="99"/>
  <c r="E96" i="99"/>
  <c r="C97" i="99"/>
  <c r="D97" i="99"/>
  <c r="E97" i="99"/>
  <c r="D98" i="99"/>
  <c r="B104" i="99"/>
  <c r="C104" i="99"/>
  <c r="D104" i="99"/>
  <c r="E104" i="99"/>
  <c r="B116" i="99"/>
  <c r="C116" i="99"/>
  <c r="D116" i="99"/>
  <c r="D119" i="99" s="1"/>
  <c r="E116" i="99"/>
  <c r="C117" i="99"/>
  <c r="D117" i="99"/>
  <c r="E117" i="99"/>
  <c r="C118" i="99"/>
  <c r="D118" i="99"/>
  <c r="E118" i="99"/>
  <c r="C119" i="99"/>
  <c r="E119" i="99"/>
  <c r="B125" i="99"/>
  <c r="C125" i="99"/>
  <c r="D125" i="99"/>
  <c r="E125" i="99"/>
  <c r="B130" i="99"/>
  <c r="C130" i="99"/>
  <c r="D130" i="99"/>
  <c r="E130" i="99"/>
  <c r="C131" i="99"/>
  <c r="C132" i="99" s="1"/>
  <c r="E131" i="99"/>
  <c r="E132" i="99" s="1"/>
  <c r="B133" i="99"/>
  <c r="C133" i="99"/>
  <c r="D133" i="99"/>
  <c r="D134" i="99" s="1"/>
  <c r="E133" i="99"/>
  <c r="C134" i="99"/>
  <c r="E134" i="99"/>
  <c r="B135" i="99"/>
  <c r="C135" i="99"/>
  <c r="C136" i="99" s="1"/>
  <c r="D135" i="99"/>
  <c r="E135" i="99"/>
  <c r="E136" i="99" s="1"/>
  <c r="D136" i="99"/>
  <c r="B137" i="99"/>
  <c r="C137" i="99"/>
  <c r="D137" i="99"/>
  <c r="D138" i="99" s="1"/>
  <c r="E137" i="99"/>
  <c r="C138" i="99"/>
  <c r="E138" i="99"/>
  <c r="B139" i="99"/>
  <c r="C139" i="99"/>
  <c r="D139" i="99"/>
  <c r="E139" i="99"/>
  <c r="B141" i="99"/>
  <c r="C141" i="99"/>
  <c r="D141" i="99"/>
  <c r="E141" i="99"/>
  <c r="B143" i="99"/>
  <c r="C143" i="99"/>
  <c r="D143" i="99"/>
  <c r="E143" i="99"/>
  <c r="B145" i="99"/>
  <c r="C145" i="99"/>
  <c r="D145" i="99"/>
  <c r="E145" i="99"/>
  <c r="B147" i="99"/>
  <c r="C147" i="99"/>
  <c r="D147" i="99"/>
  <c r="E147" i="99"/>
  <c r="B149" i="99"/>
  <c r="C149" i="99"/>
  <c r="C150" i="99" s="1"/>
  <c r="D149" i="99"/>
  <c r="E149" i="99"/>
  <c r="E150" i="99" s="1"/>
  <c r="D150" i="99"/>
  <c r="B39" i="98"/>
  <c r="C39" i="98"/>
  <c r="D39" i="98"/>
  <c r="D42" i="98" s="1"/>
  <c r="E39" i="98"/>
  <c r="C40" i="98"/>
  <c r="D40" i="98"/>
  <c r="E40" i="98"/>
  <c r="C41" i="98"/>
  <c r="D41" i="98"/>
  <c r="E41" i="98"/>
  <c r="C42" i="98"/>
  <c r="E42" i="98"/>
  <c r="B53" i="98"/>
  <c r="C53" i="98"/>
  <c r="D53" i="98"/>
  <c r="E53" i="98"/>
  <c r="B54" i="98"/>
  <c r="C54" i="98"/>
  <c r="D54" i="98"/>
  <c r="E54" i="98"/>
  <c r="B62" i="98"/>
  <c r="C62" i="98"/>
  <c r="C65" i="98" s="1"/>
  <c r="D62" i="98"/>
  <c r="E62" i="98"/>
  <c r="E65" i="98" s="1"/>
  <c r="C63" i="98"/>
  <c r="D63" i="98"/>
  <c r="E63" i="98"/>
  <c r="C64" i="98"/>
  <c r="D64" i="98"/>
  <c r="E64" i="98"/>
  <c r="D65" i="98"/>
  <c r="B76" i="98"/>
  <c r="C76" i="98"/>
  <c r="D76" i="98"/>
  <c r="E76" i="98"/>
  <c r="B77" i="98"/>
  <c r="C77" i="98"/>
  <c r="D77" i="98"/>
  <c r="E77" i="98"/>
  <c r="B88" i="98"/>
  <c r="C88" i="98"/>
  <c r="D88" i="98"/>
  <c r="D91" i="98" s="1"/>
  <c r="E88" i="98"/>
  <c r="C89" i="98"/>
  <c r="D89" i="98"/>
  <c r="E89" i="98"/>
  <c r="C90" i="98"/>
  <c r="D90" i="98"/>
  <c r="E90" i="98"/>
  <c r="C91" i="98"/>
  <c r="E91" i="98"/>
  <c r="B97" i="98"/>
  <c r="C97" i="98"/>
  <c r="D97" i="98"/>
  <c r="E97" i="98"/>
  <c r="B109" i="98"/>
  <c r="C109" i="98"/>
  <c r="C112" i="98" s="1"/>
  <c r="D109" i="98"/>
  <c r="E109" i="98"/>
  <c r="E112" i="98" s="1"/>
  <c r="C110" i="98"/>
  <c r="D110" i="98"/>
  <c r="E110" i="98"/>
  <c r="C111" i="98"/>
  <c r="D111" i="98"/>
  <c r="E111" i="98"/>
  <c r="D112" i="98"/>
  <c r="B118" i="98"/>
  <c r="C118" i="98"/>
  <c r="D118" i="98"/>
  <c r="E118" i="98"/>
  <c r="B129" i="98"/>
  <c r="C129" i="98"/>
  <c r="D129" i="98"/>
  <c r="D132" i="98" s="1"/>
  <c r="E129" i="98"/>
  <c r="C130" i="98"/>
  <c r="D130" i="98"/>
  <c r="E130" i="98"/>
  <c r="C131" i="98"/>
  <c r="D131" i="98"/>
  <c r="E131" i="98"/>
  <c r="C132" i="98"/>
  <c r="E132" i="98"/>
  <c r="B138" i="98"/>
  <c r="C138" i="98"/>
  <c r="D138" i="98"/>
  <c r="E138" i="98"/>
  <c r="B147" i="98"/>
  <c r="C147" i="98"/>
  <c r="C150" i="98" s="1"/>
  <c r="D147" i="98"/>
  <c r="E147" i="98"/>
  <c r="E150" i="98" s="1"/>
  <c r="C148" i="98"/>
  <c r="D148" i="98"/>
  <c r="E148" i="98"/>
  <c r="C149" i="98"/>
  <c r="D149" i="98"/>
  <c r="E149" i="98"/>
  <c r="D150" i="98"/>
  <c r="B156" i="98"/>
  <c r="C156" i="98"/>
  <c r="D156" i="98"/>
  <c r="E156" i="98"/>
  <c r="B173" i="98"/>
  <c r="C173" i="98"/>
  <c r="D173" i="98"/>
  <c r="D176" i="98" s="1"/>
  <c r="E173" i="98"/>
  <c r="C174" i="98"/>
  <c r="D174" i="98"/>
  <c r="E174" i="98"/>
  <c r="C175" i="98"/>
  <c r="D175" i="98"/>
  <c r="E175" i="98"/>
  <c r="C176" i="98"/>
  <c r="E176" i="98"/>
  <c r="B187" i="98"/>
  <c r="C187" i="98"/>
  <c r="D187" i="98"/>
  <c r="E187" i="98"/>
  <c r="B188" i="98"/>
  <c r="C188" i="98"/>
  <c r="D188" i="98"/>
  <c r="E188" i="98"/>
  <c r="B196" i="98"/>
  <c r="C196" i="98"/>
  <c r="C199" i="98" s="1"/>
  <c r="D196" i="98"/>
  <c r="E196" i="98"/>
  <c r="E199" i="98" s="1"/>
  <c r="C197" i="98"/>
  <c r="D197" i="98"/>
  <c r="E197" i="98"/>
  <c r="C198" i="98"/>
  <c r="D198" i="98"/>
  <c r="E198" i="98"/>
  <c r="D199" i="98"/>
  <c r="B210" i="98"/>
  <c r="C210" i="98"/>
  <c r="D210" i="98"/>
  <c r="E210" i="98"/>
  <c r="B211" i="98"/>
  <c r="C211" i="98"/>
  <c r="D211" i="98"/>
  <c r="E211" i="98"/>
  <c r="B222" i="98"/>
  <c r="C222" i="98"/>
  <c r="D222" i="98"/>
  <c r="D225" i="98" s="1"/>
  <c r="E222" i="98"/>
  <c r="C223" i="98"/>
  <c r="D223" i="98"/>
  <c r="E223" i="98"/>
  <c r="C224" i="98"/>
  <c r="D224" i="98"/>
  <c r="E224" i="98"/>
  <c r="C225" i="98"/>
  <c r="E225" i="98"/>
  <c r="B231" i="98"/>
  <c r="C231" i="98"/>
  <c r="D231" i="98"/>
  <c r="E231" i="98"/>
  <c r="B240" i="98"/>
  <c r="C240" i="98"/>
  <c r="C243" i="98" s="1"/>
  <c r="D240" i="98"/>
  <c r="E240" i="98"/>
  <c r="E243" i="98" s="1"/>
  <c r="C241" i="98"/>
  <c r="D241" i="98"/>
  <c r="E241" i="98"/>
  <c r="C242" i="98"/>
  <c r="D242" i="98"/>
  <c r="E242" i="98"/>
  <c r="D243" i="98"/>
  <c r="B249" i="98"/>
  <c r="C249" i="98"/>
  <c r="D249" i="98"/>
  <c r="E249" i="98"/>
  <c r="B260" i="98"/>
  <c r="C260" i="98"/>
  <c r="D260" i="98"/>
  <c r="D263" i="98" s="1"/>
  <c r="E260" i="98"/>
  <c r="C261" i="98"/>
  <c r="D261" i="98"/>
  <c r="E261" i="98"/>
  <c r="C262" i="98"/>
  <c r="D262" i="98"/>
  <c r="E262" i="98"/>
  <c r="C263" i="98"/>
  <c r="E263" i="98"/>
  <c r="B269" i="98"/>
  <c r="C269" i="98"/>
  <c r="D269" i="98"/>
  <c r="E269" i="98"/>
  <c r="B278" i="98"/>
  <c r="C278" i="98"/>
  <c r="C281" i="98" s="1"/>
  <c r="D278" i="98"/>
  <c r="E278" i="98"/>
  <c r="E281" i="98" s="1"/>
  <c r="C279" i="98"/>
  <c r="D279" i="98"/>
  <c r="E279" i="98"/>
  <c r="C280" i="98"/>
  <c r="D280" i="98"/>
  <c r="E280" i="98"/>
  <c r="D281" i="98"/>
  <c r="B287" i="98"/>
  <c r="C287" i="98"/>
  <c r="D287" i="98"/>
  <c r="E287" i="98"/>
  <c r="B296" i="98"/>
  <c r="C296" i="98"/>
  <c r="D296" i="98"/>
  <c r="D299" i="98" s="1"/>
  <c r="E296" i="98"/>
  <c r="C297" i="98"/>
  <c r="D297" i="98"/>
  <c r="E297" i="98"/>
  <c r="C298" i="98"/>
  <c r="D298" i="98"/>
  <c r="E298" i="98"/>
  <c r="C299" i="98"/>
  <c r="E299" i="98"/>
  <c r="B305" i="98"/>
  <c r="C305" i="98"/>
  <c r="D305" i="98"/>
  <c r="E305" i="98"/>
  <c r="B307" i="98"/>
  <c r="C307" i="98"/>
  <c r="D307" i="98"/>
  <c r="E307" i="98"/>
  <c r="B310" i="98"/>
  <c r="B308" i="98" s="1"/>
  <c r="B328" i="98" s="1"/>
  <c r="C310" i="98"/>
  <c r="D310" i="98"/>
  <c r="D308" i="98" s="1"/>
  <c r="E310" i="98"/>
  <c r="C311" i="98"/>
  <c r="E311" i="98"/>
  <c r="B312" i="98"/>
  <c r="C312" i="98"/>
  <c r="C308" i="98" s="1"/>
  <c r="D312" i="98"/>
  <c r="E312" i="98"/>
  <c r="E308" i="98" s="1"/>
  <c r="D313" i="98"/>
  <c r="B314" i="98"/>
  <c r="C314" i="98"/>
  <c r="D314" i="98"/>
  <c r="D315" i="98" s="1"/>
  <c r="E314" i="98"/>
  <c r="C315" i="98"/>
  <c r="E315" i="98"/>
  <c r="B316" i="98"/>
  <c r="C316" i="98"/>
  <c r="C317" i="98" s="1"/>
  <c r="D316" i="98"/>
  <c r="E316" i="98"/>
  <c r="E317" i="98" s="1"/>
  <c r="D317" i="98"/>
  <c r="B318" i="98"/>
  <c r="C318" i="98"/>
  <c r="D318" i="98"/>
  <c r="D319" i="98" s="1"/>
  <c r="E318" i="98"/>
  <c r="C319" i="98"/>
  <c r="E319" i="98"/>
  <c r="B320" i="98"/>
  <c r="C320" i="98"/>
  <c r="C321" i="98" s="1"/>
  <c r="D320" i="98"/>
  <c r="E320" i="98"/>
  <c r="E321" i="98" s="1"/>
  <c r="D321" i="98"/>
  <c r="B322" i="98"/>
  <c r="C322" i="98"/>
  <c r="D322" i="98"/>
  <c r="D323" i="98" s="1"/>
  <c r="E322" i="98"/>
  <c r="C323" i="98"/>
  <c r="E323" i="98"/>
  <c r="B324" i="98"/>
  <c r="C324" i="98"/>
  <c r="C325" i="98" s="1"/>
  <c r="D324" i="98"/>
  <c r="E324" i="98"/>
  <c r="E325" i="98" s="1"/>
  <c r="D325" i="98"/>
  <c r="B326" i="98"/>
  <c r="C326" i="98"/>
  <c r="D326" i="98"/>
  <c r="D327" i="98" s="1"/>
  <c r="E326" i="98"/>
  <c r="C327" i="98"/>
  <c r="E127" i="100" l="1"/>
  <c r="E146" i="100"/>
  <c r="D132" i="99"/>
  <c r="D154" i="99"/>
  <c r="E154" i="99"/>
  <c r="C154" i="99"/>
  <c r="D328" i="98"/>
  <c r="D309" i="98"/>
  <c r="E328" i="98"/>
  <c r="E309" i="98"/>
  <c r="C309" i="98"/>
  <c r="C328" i="98"/>
  <c r="E327" i="98"/>
  <c r="E313" i="98"/>
  <c r="C313" i="98"/>
  <c r="D311" i="98"/>
  <c r="B35" i="97" l="1"/>
  <c r="C35" i="97"/>
  <c r="D35" i="97"/>
  <c r="D38" i="97" s="1"/>
  <c r="E35" i="97"/>
  <c r="C36" i="97"/>
  <c r="D36" i="97"/>
  <c r="E36" i="97"/>
  <c r="C37" i="97"/>
  <c r="D37" i="97"/>
  <c r="E37" i="97"/>
  <c r="C38" i="97"/>
  <c r="E38" i="97"/>
  <c r="B48" i="97"/>
  <c r="C48" i="97"/>
  <c r="D48" i="97"/>
  <c r="E48" i="97"/>
  <c r="B59" i="97"/>
  <c r="C59" i="97"/>
  <c r="C62" i="97" s="1"/>
  <c r="D59" i="97"/>
  <c r="E59" i="97"/>
  <c r="E62" i="97" s="1"/>
  <c r="C60" i="97"/>
  <c r="D60" i="97"/>
  <c r="E60" i="97"/>
  <c r="C61" i="97"/>
  <c r="D61" i="97"/>
  <c r="E61" i="97"/>
  <c r="D62" i="97"/>
  <c r="B68" i="97"/>
  <c r="C68" i="97"/>
  <c r="D68" i="97"/>
  <c r="E68" i="97"/>
  <c r="B82" i="97"/>
  <c r="C82" i="97"/>
  <c r="D82" i="97"/>
  <c r="D85" i="97" s="1"/>
  <c r="E82" i="97"/>
  <c r="C83" i="97"/>
  <c r="D83" i="97"/>
  <c r="E83" i="97"/>
  <c r="C84" i="97"/>
  <c r="D84" i="97"/>
  <c r="E84" i="97"/>
  <c r="C85" i="97"/>
  <c r="E85" i="97"/>
  <c r="B91" i="97"/>
  <c r="C91" i="97"/>
  <c r="D91" i="97"/>
  <c r="E91" i="97"/>
  <c r="C98" i="97"/>
  <c r="D98" i="97"/>
  <c r="C100" i="97"/>
  <c r="D100" i="97"/>
  <c r="E100" i="97"/>
  <c r="C102" i="97"/>
  <c r="D102" i="97"/>
  <c r="C104" i="97"/>
  <c r="D104" i="97"/>
  <c r="E104" i="97"/>
  <c r="B42" i="96" l="1"/>
  <c r="C42" i="96"/>
  <c r="D42" i="96"/>
  <c r="D45" i="96" s="1"/>
  <c r="E42" i="96"/>
  <c r="C43" i="96"/>
  <c r="D43" i="96"/>
  <c r="E43" i="96"/>
  <c r="C44" i="96"/>
  <c r="D44" i="96"/>
  <c r="E44" i="96"/>
  <c r="C45" i="96"/>
  <c r="E45" i="96"/>
  <c r="B56" i="96"/>
  <c r="C56" i="96"/>
  <c r="D56" i="96"/>
  <c r="E56" i="96"/>
  <c r="B57" i="96"/>
  <c r="C57" i="96"/>
  <c r="D57" i="96"/>
  <c r="E57" i="96"/>
  <c r="B65" i="96"/>
  <c r="C65" i="96"/>
  <c r="C68" i="96" s="1"/>
  <c r="D65" i="96"/>
  <c r="E65" i="96"/>
  <c r="E68" i="96" s="1"/>
  <c r="C66" i="96"/>
  <c r="D66" i="96"/>
  <c r="E66" i="96"/>
  <c r="C67" i="96"/>
  <c r="D67" i="96"/>
  <c r="E67" i="96"/>
  <c r="D68" i="96"/>
  <c r="B79" i="96"/>
  <c r="C79" i="96"/>
  <c r="D79" i="96"/>
  <c r="E79" i="96"/>
  <c r="B80" i="96"/>
  <c r="C80" i="96"/>
  <c r="D80" i="96"/>
  <c r="E80" i="96"/>
  <c r="B91" i="96"/>
  <c r="C91" i="96"/>
  <c r="D91" i="96"/>
  <c r="D94" i="96" s="1"/>
  <c r="E91" i="96"/>
  <c r="C92" i="96"/>
  <c r="D92" i="96"/>
  <c r="E92" i="96"/>
  <c r="C93" i="96"/>
  <c r="D93" i="96"/>
  <c r="E93" i="96"/>
  <c r="C94" i="96"/>
  <c r="E94" i="96"/>
  <c r="B100" i="96"/>
  <c r="C100" i="96"/>
  <c r="D100" i="96"/>
  <c r="E100" i="96"/>
  <c r="B112" i="96"/>
  <c r="C112" i="96"/>
  <c r="C115" i="96" s="1"/>
  <c r="D112" i="96"/>
  <c r="E112" i="96"/>
  <c r="E115" i="96" s="1"/>
  <c r="C113" i="96"/>
  <c r="D113" i="96"/>
  <c r="E113" i="96"/>
  <c r="C114" i="96"/>
  <c r="D114" i="96"/>
  <c r="E114" i="96"/>
  <c r="D115" i="96"/>
  <c r="B121" i="96"/>
  <c r="C121" i="96"/>
  <c r="D121" i="96"/>
  <c r="E121" i="96"/>
  <c r="B132" i="96"/>
  <c r="C132" i="96"/>
  <c r="D132" i="96"/>
  <c r="D135" i="96" s="1"/>
  <c r="E132" i="96"/>
  <c r="C133" i="96"/>
  <c r="D133" i="96"/>
  <c r="E133" i="96"/>
  <c r="C134" i="96"/>
  <c r="D134" i="96"/>
  <c r="E134" i="96"/>
  <c r="C135" i="96"/>
  <c r="E135" i="96"/>
  <c r="B141" i="96"/>
  <c r="C141" i="96"/>
  <c r="D141" i="96"/>
  <c r="E141" i="96"/>
  <c r="B150" i="96"/>
  <c r="C150" i="96"/>
  <c r="C153" i="96" s="1"/>
  <c r="D150" i="96"/>
  <c r="E150" i="96"/>
  <c r="E153" i="96" s="1"/>
  <c r="C151" i="96"/>
  <c r="D151" i="96"/>
  <c r="E151" i="96"/>
  <c r="C152" i="96"/>
  <c r="D152" i="96"/>
  <c r="E152" i="96"/>
  <c r="D153" i="96"/>
  <c r="B159" i="96"/>
  <c r="C159" i="96"/>
  <c r="D159" i="96"/>
  <c r="E159" i="96"/>
  <c r="B176" i="96"/>
  <c r="C176" i="96"/>
  <c r="D176" i="96"/>
  <c r="D179" i="96" s="1"/>
  <c r="E176" i="96"/>
  <c r="C177" i="96"/>
  <c r="D177" i="96"/>
  <c r="E177" i="96"/>
  <c r="C178" i="96"/>
  <c r="D178" i="96"/>
  <c r="E178" i="96"/>
  <c r="C179" i="96"/>
  <c r="E179" i="96"/>
  <c r="B192" i="96"/>
  <c r="C192" i="96"/>
  <c r="D192" i="96"/>
  <c r="E192" i="96"/>
  <c r="B193" i="96"/>
  <c r="C193" i="96"/>
  <c r="D193" i="96"/>
  <c r="E193" i="96"/>
  <c r="B201" i="96"/>
  <c r="C201" i="96"/>
  <c r="C204" i="96" s="1"/>
  <c r="D201" i="96"/>
  <c r="E201" i="96"/>
  <c r="E204" i="96" s="1"/>
  <c r="C202" i="96"/>
  <c r="D202" i="96"/>
  <c r="E202" i="96"/>
  <c r="C203" i="96"/>
  <c r="D203" i="96"/>
  <c r="E203" i="96"/>
  <c r="D204" i="96"/>
  <c r="B215" i="96"/>
  <c r="C215" i="96"/>
  <c r="D215" i="96"/>
  <c r="E215" i="96"/>
  <c r="B216" i="96"/>
  <c r="C216" i="96"/>
  <c r="D216" i="96"/>
  <c r="E216" i="96"/>
  <c r="B227" i="96"/>
  <c r="C227" i="96"/>
  <c r="D227" i="96"/>
  <c r="D230" i="96" s="1"/>
  <c r="E227" i="96"/>
  <c r="C228" i="96"/>
  <c r="D228" i="96"/>
  <c r="E228" i="96"/>
  <c r="C229" i="96"/>
  <c r="D229" i="96"/>
  <c r="E229" i="96"/>
  <c r="C230" i="96"/>
  <c r="E230" i="96"/>
  <c r="B236" i="96"/>
  <c r="C236" i="96"/>
  <c r="D236" i="96"/>
  <c r="E236" i="96"/>
  <c r="B245" i="96"/>
  <c r="C245" i="96"/>
  <c r="C248" i="96" s="1"/>
  <c r="D245" i="96"/>
  <c r="E245" i="96"/>
  <c r="E248" i="96" s="1"/>
  <c r="C246" i="96"/>
  <c r="D246" i="96"/>
  <c r="E246" i="96"/>
  <c r="C247" i="96"/>
  <c r="D247" i="96"/>
  <c r="E247" i="96"/>
  <c r="D248" i="96"/>
  <c r="B254" i="96"/>
  <c r="C254" i="96"/>
  <c r="D254" i="96"/>
  <c r="E254" i="96"/>
  <c r="B265" i="96"/>
  <c r="C265" i="96"/>
  <c r="D265" i="96"/>
  <c r="D268" i="96" s="1"/>
  <c r="E265" i="96"/>
  <c r="C266" i="96"/>
  <c r="D266" i="96"/>
  <c r="E266" i="96"/>
  <c r="C267" i="96"/>
  <c r="D267" i="96"/>
  <c r="E267" i="96"/>
  <c r="C268" i="96"/>
  <c r="E268" i="96"/>
  <c r="B274" i="96"/>
  <c r="C274" i="96"/>
  <c r="D274" i="96"/>
  <c r="E274" i="96"/>
  <c r="B283" i="96"/>
  <c r="C283" i="96"/>
  <c r="C286" i="96" s="1"/>
  <c r="D283" i="96"/>
  <c r="E283" i="96"/>
  <c r="E286" i="96" s="1"/>
  <c r="C284" i="96"/>
  <c r="D284" i="96"/>
  <c r="E284" i="96"/>
  <c r="C285" i="96"/>
  <c r="D285" i="96"/>
  <c r="E285" i="96"/>
  <c r="D286" i="96"/>
  <c r="B292" i="96"/>
  <c r="C292" i="96"/>
  <c r="D292" i="96"/>
  <c r="E292" i="96"/>
  <c r="B294" i="96"/>
  <c r="C294" i="96"/>
  <c r="D294" i="96"/>
  <c r="E294" i="96"/>
  <c r="B297" i="96"/>
  <c r="C297" i="96"/>
  <c r="C295" i="96" s="1"/>
  <c r="D297" i="96"/>
  <c r="E297" i="96"/>
  <c r="E295" i="96" s="1"/>
  <c r="D298" i="96"/>
  <c r="B299" i="96"/>
  <c r="B295" i="96" s="1"/>
  <c r="B315" i="96" s="1"/>
  <c r="C299" i="96"/>
  <c r="D299" i="96"/>
  <c r="D300" i="96" s="1"/>
  <c r="E299" i="96"/>
  <c r="C300" i="96"/>
  <c r="E300" i="96"/>
  <c r="B301" i="96"/>
  <c r="C301" i="96"/>
  <c r="C302" i="96" s="1"/>
  <c r="D301" i="96"/>
  <c r="E301" i="96"/>
  <c r="E302" i="96" s="1"/>
  <c r="D302" i="96"/>
  <c r="B303" i="96"/>
  <c r="C303" i="96"/>
  <c r="D303" i="96"/>
  <c r="D304" i="96" s="1"/>
  <c r="E303" i="96"/>
  <c r="C304" i="96"/>
  <c r="E304" i="96"/>
  <c r="B305" i="96"/>
  <c r="C305" i="96"/>
  <c r="C306" i="96" s="1"/>
  <c r="D305" i="96"/>
  <c r="E305" i="96"/>
  <c r="E306" i="96" s="1"/>
  <c r="D306" i="96"/>
  <c r="B307" i="96"/>
  <c r="C307" i="96"/>
  <c r="D307" i="96"/>
  <c r="D308" i="96" s="1"/>
  <c r="E307" i="96"/>
  <c r="C308" i="96"/>
  <c r="E308" i="96"/>
  <c r="B309" i="96"/>
  <c r="C309" i="96"/>
  <c r="C310" i="96" s="1"/>
  <c r="D309" i="96"/>
  <c r="E309" i="96"/>
  <c r="E310" i="96" s="1"/>
  <c r="D310" i="96"/>
  <c r="B311" i="96"/>
  <c r="C311" i="96"/>
  <c r="D311" i="96"/>
  <c r="E312" i="96" s="1"/>
  <c r="E311" i="96"/>
  <c r="C312" i="96"/>
  <c r="B313" i="96"/>
  <c r="C313" i="96"/>
  <c r="C314" i="96" s="1"/>
  <c r="D313" i="96"/>
  <c r="E313" i="96"/>
  <c r="E314" i="96" s="1"/>
  <c r="D314" i="96"/>
  <c r="E315" i="96" l="1"/>
  <c r="C315" i="96"/>
  <c r="C296" i="96"/>
  <c r="D295" i="96"/>
  <c r="D312" i="96"/>
  <c r="E298" i="96"/>
  <c r="C298" i="96"/>
  <c r="L32" i="95"/>
  <c r="L33" i="95"/>
  <c r="L34" i="95"/>
  <c r="B41" i="95"/>
  <c r="C41" i="95"/>
  <c r="C44" i="95" s="1"/>
  <c r="D41" i="95"/>
  <c r="E41" i="95"/>
  <c r="E44" i="95" s="1"/>
  <c r="C42" i="95"/>
  <c r="D42" i="95"/>
  <c r="E42" i="95"/>
  <c r="C43" i="95"/>
  <c r="D43" i="95"/>
  <c r="E43" i="95"/>
  <c r="D44" i="95"/>
  <c r="J44" i="95"/>
  <c r="M44" i="95"/>
  <c r="M45" i="95"/>
  <c r="M46" i="95"/>
  <c r="K48" i="95"/>
  <c r="L48" i="95"/>
  <c r="M48" i="95"/>
  <c r="B55" i="95"/>
  <c r="C55" i="95"/>
  <c r="D55" i="95"/>
  <c r="E55" i="95"/>
  <c r="B56" i="95"/>
  <c r="C56" i="95"/>
  <c r="D56" i="95"/>
  <c r="E56" i="95"/>
  <c r="B64" i="95"/>
  <c r="C64" i="95"/>
  <c r="C67" i="95" s="1"/>
  <c r="D64" i="95"/>
  <c r="E64" i="95"/>
  <c r="E67" i="95" s="1"/>
  <c r="C65" i="95"/>
  <c r="D65" i="95"/>
  <c r="E65" i="95"/>
  <c r="C66" i="95"/>
  <c r="D66" i="95"/>
  <c r="E66" i="95"/>
  <c r="D67" i="95"/>
  <c r="B78" i="95"/>
  <c r="C78" i="95"/>
  <c r="D78" i="95"/>
  <c r="E78" i="95"/>
  <c r="B79" i="95"/>
  <c r="C79" i="95"/>
  <c r="D79" i="95"/>
  <c r="E79" i="95"/>
  <c r="B90" i="95"/>
  <c r="C90" i="95"/>
  <c r="D90" i="95"/>
  <c r="D93" i="95" s="1"/>
  <c r="E90" i="95"/>
  <c r="C91" i="95"/>
  <c r="D91" i="95"/>
  <c r="E91" i="95"/>
  <c r="C92" i="95"/>
  <c r="D92" i="95"/>
  <c r="E92" i="95"/>
  <c r="C93" i="95"/>
  <c r="E93" i="95"/>
  <c r="B99" i="95"/>
  <c r="C99" i="95"/>
  <c r="D99" i="95"/>
  <c r="E99" i="95"/>
  <c r="B111" i="95"/>
  <c r="C111" i="95"/>
  <c r="C114" i="95" s="1"/>
  <c r="D111" i="95"/>
  <c r="E111" i="95"/>
  <c r="E114" i="95" s="1"/>
  <c r="C112" i="95"/>
  <c r="D112" i="95"/>
  <c r="E112" i="95"/>
  <c r="C113" i="95"/>
  <c r="D113" i="95"/>
  <c r="E113" i="95"/>
  <c r="D114" i="95"/>
  <c r="B120" i="95"/>
  <c r="C120" i="95"/>
  <c r="D120" i="95"/>
  <c r="E120" i="95"/>
  <c r="B131" i="95"/>
  <c r="C131" i="95"/>
  <c r="D131" i="95"/>
  <c r="D134" i="95" s="1"/>
  <c r="E131" i="95"/>
  <c r="C132" i="95"/>
  <c r="D132" i="95"/>
  <c r="E132" i="95"/>
  <c r="C133" i="95"/>
  <c r="D133" i="95"/>
  <c r="E133" i="95"/>
  <c r="C134" i="95"/>
  <c r="E134" i="95"/>
  <c r="B140" i="95"/>
  <c r="C140" i="95"/>
  <c r="D140" i="95"/>
  <c r="E140" i="95"/>
  <c r="B149" i="95"/>
  <c r="C149" i="95"/>
  <c r="C152" i="95" s="1"/>
  <c r="D149" i="95"/>
  <c r="E149" i="95"/>
  <c r="E152" i="95" s="1"/>
  <c r="C150" i="95"/>
  <c r="D150" i="95"/>
  <c r="E150" i="95"/>
  <c r="C151" i="95"/>
  <c r="D151" i="95"/>
  <c r="E151" i="95"/>
  <c r="D152" i="95"/>
  <c r="B158" i="95"/>
  <c r="C158" i="95"/>
  <c r="D158" i="95"/>
  <c r="E158" i="95"/>
  <c r="B175" i="95"/>
  <c r="C175" i="95"/>
  <c r="D175" i="95"/>
  <c r="D178" i="95" s="1"/>
  <c r="E175" i="95"/>
  <c r="C176" i="95"/>
  <c r="D176" i="95"/>
  <c r="E176" i="95"/>
  <c r="C177" i="95"/>
  <c r="D177" i="95"/>
  <c r="E177" i="95"/>
  <c r="C178" i="95"/>
  <c r="E178" i="95"/>
  <c r="B191" i="95"/>
  <c r="C191" i="95"/>
  <c r="D191" i="95"/>
  <c r="E191" i="95"/>
  <c r="B192" i="95"/>
  <c r="C192" i="95"/>
  <c r="D192" i="95"/>
  <c r="E192" i="95"/>
  <c r="B200" i="95"/>
  <c r="C200" i="95"/>
  <c r="C203" i="95" s="1"/>
  <c r="D200" i="95"/>
  <c r="E200" i="95"/>
  <c r="E203" i="95" s="1"/>
  <c r="C201" i="95"/>
  <c r="D201" i="95"/>
  <c r="E201" i="95"/>
  <c r="C202" i="95"/>
  <c r="D202" i="95"/>
  <c r="E202" i="95"/>
  <c r="D203" i="95"/>
  <c r="B214" i="95"/>
  <c r="C214" i="95"/>
  <c r="D214" i="95"/>
  <c r="E214" i="95"/>
  <c r="B215" i="95"/>
  <c r="C215" i="95"/>
  <c r="D215" i="95"/>
  <c r="E215" i="95"/>
  <c r="B226" i="95"/>
  <c r="C226" i="95"/>
  <c r="D226" i="95"/>
  <c r="D229" i="95" s="1"/>
  <c r="E226" i="95"/>
  <c r="C227" i="95"/>
  <c r="D227" i="95"/>
  <c r="E227" i="95"/>
  <c r="C228" i="95"/>
  <c r="D228" i="95"/>
  <c r="E228" i="95"/>
  <c r="C229" i="95"/>
  <c r="E229" i="95"/>
  <c r="B235" i="95"/>
  <c r="C235" i="95"/>
  <c r="D235" i="95"/>
  <c r="E235" i="95"/>
  <c r="B244" i="95"/>
  <c r="C244" i="95"/>
  <c r="C247" i="95" s="1"/>
  <c r="D244" i="95"/>
  <c r="E244" i="95"/>
  <c r="E247" i="95" s="1"/>
  <c r="C245" i="95"/>
  <c r="D245" i="95"/>
  <c r="E245" i="95"/>
  <c r="C246" i="95"/>
  <c r="D246" i="95"/>
  <c r="E246" i="95"/>
  <c r="D247" i="95"/>
  <c r="B253" i="95"/>
  <c r="C253" i="95"/>
  <c r="D253" i="95"/>
  <c r="E253" i="95"/>
  <c r="B264" i="95"/>
  <c r="C264" i="95"/>
  <c r="D264" i="95"/>
  <c r="D267" i="95" s="1"/>
  <c r="E264" i="95"/>
  <c r="C265" i="95"/>
  <c r="D265" i="95"/>
  <c r="E265" i="95"/>
  <c r="C266" i="95"/>
  <c r="D266" i="95"/>
  <c r="E266" i="95"/>
  <c r="C267" i="95"/>
  <c r="E267" i="95"/>
  <c r="B273" i="95"/>
  <c r="C273" i="95"/>
  <c r="D273" i="95"/>
  <c r="E273" i="95"/>
  <c r="B282" i="95"/>
  <c r="C282" i="95"/>
  <c r="C285" i="95" s="1"/>
  <c r="D282" i="95"/>
  <c r="E282" i="95"/>
  <c r="E285" i="95" s="1"/>
  <c r="C283" i="95"/>
  <c r="D283" i="95"/>
  <c r="E283" i="95"/>
  <c r="C284" i="95"/>
  <c r="D284" i="95"/>
  <c r="E284" i="95"/>
  <c r="D285" i="95"/>
  <c r="B291" i="95"/>
  <c r="C291" i="95"/>
  <c r="D291" i="95"/>
  <c r="E291" i="95"/>
  <c r="B293" i="95"/>
  <c r="C293" i="95"/>
  <c r="D293" i="95"/>
  <c r="E293" i="95"/>
  <c r="B296" i="95"/>
  <c r="C296" i="95"/>
  <c r="C294" i="95" s="1"/>
  <c r="D296" i="95"/>
  <c r="E296" i="95"/>
  <c r="E294" i="95" s="1"/>
  <c r="D297" i="95"/>
  <c r="B298" i="95"/>
  <c r="B294" i="95" s="1"/>
  <c r="B314" i="95" s="1"/>
  <c r="C298" i="95"/>
  <c r="D298" i="95"/>
  <c r="D294" i="95" s="1"/>
  <c r="E298" i="95"/>
  <c r="C299" i="95"/>
  <c r="E299" i="95"/>
  <c r="B300" i="95"/>
  <c r="C300" i="95"/>
  <c r="C301" i="95" s="1"/>
  <c r="D300" i="95"/>
  <c r="E300" i="95"/>
  <c r="E301" i="95" s="1"/>
  <c r="D301" i="95"/>
  <c r="B302" i="95"/>
  <c r="C302" i="95"/>
  <c r="D302" i="95"/>
  <c r="D303" i="95" s="1"/>
  <c r="E302" i="95"/>
  <c r="C303" i="95"/>
  <c r="E303" i="95"/>
  <c r="B304" i="95"/>
  <c r="C304" i="95"/>
  <c r="C305" i="95" s="1"/>
  <c r="D304" i="95"/>
  <c r="E304" i="95"/>
  <c r="E305" i="95" s="1"/>
  <c r="D305" i="95"/>
  <c r="B306" i="95"/>
  <c r="C306" i="95"/>
  <c r="D306" i="95"/>
  <c r="D307" i="95" s="1"/>
  <c r="E306" i="95"/>
  <c r="C307" i="95"/>
  <c r="E307" i="95"/>
  <c r="B308" i="95"/>
  <c r="C308" i="95"/>
  <c r="C309" i="95" s="1"/>
  <c r="D308" i="95"/>
  <c r="E308" i="95"/>
  <c r="E309" i="95" s="1"/>
  <c r="D309" i="95"/>
  <c r="B310" i="95"/>
  <c r="C310" i="95"/>
  <c r="D310" i="95"/>
  <c r="D311" i="95" s="1"/>
  <c r="E310" i="95"/>
  <c r="C311" i="95"/>
  <c r="E311" i="95"/>
  <c r="B312" i="95"/>
  <c r="C312" i="95"/>
  <c r="C313" i="95" s="1"/>
  <c r="D312" i="95"/>
  <c r="E312" i="95"/>
  <c r="E313" i="95" s="1"/>
  <c r="D313" i="95"/>
  <c r="D315" i="96" l="1"/>
  <c r="D296" i="96"/>
  <c r="E296" i="96"/>
  <c r="D295" i="95"/>
  <c r="D314" i="95"/>
  <c r="E314" i="95"/>
  <c r="E295" i="95"/>
  <c r="C314" i="95"/>
  <c r="C295" i="95"/>
  <c r="D299" i="95"/>
  <c r="E297" i="95"/>
  <c r="C297" i="95"/>
  <c r="B33" i="94" l="1"/>
  <c r="B47" i="94"/>
  <c r="C47" i="94"/>
  <c r="C50" i="94" s="1"/>
  <c r="D47" i="94"/>
  <c r="E47" i="94"/>
  <c r="E50" i="94" s="1"/>
  <c r="C48" i="94"/>
  <c r="D48" i="94"/>
  <c r="E48" i="94"/>
  <c r="C49" i="94"/>
  <c r="D49" i="94"/>
  <c r="E49" i="94"/>
  <c r="D50" i="94"/>
  <c r="B61" i="94"/>
  <c r="C61" i="94"/>
  <c r="D61" i="94"/>
  <c r="E61" i="94"/>
  <c r="B62" i="94"/>
  <c r="C62" i="94"/>
  <c r="D62" i="94"/>
  <c r="E62" i="94"/>
  <c r="B73" i="94"/>
  <c r="C73" i="94"/>
  <c r="D73" i="94"/>
  <c r="D76" i="94" s="1"/>
  <c r="E73" i="94"/>
  <c r="C74" i="94"/>
  <c r="D74" i="94"/>
  <c r="E74" i="94"/>
  <c r="C75" i="94"/>
  <c r="D75" i="94"/>
  <c r="E75" i="94"/>
  <c r="C76" i="94"/>
  <c r="E76" i="94"/>
  <c r="B82" i="94"/>
  <c r="C82" i="94"/>
  <c r="D82" i="94"/>
  <c r="E82" i="94"/>
  <c r="B87" i="94"/>
  <c r="C87" i="94"/>
  <c r="D87" i="94"/>
  <c r="E87" i="94"/>
  <c r="B90" i="94"/>
  <c r="B88" i="94" s="1"/>
  <c r="B108" i="94" s="1"/>
  <c r="C90" i="94"/>
  <c r="D90" i="94"/>
  <c r="D88" i="94" s="1"/>
  <c r="E90" i="94"/>
  <c r="C91" i="94"/>
  <c r="E91" i="94"/>
  <c r="B92" i="94"/>
  <c r="C92" i="94"/>
  <c r="C88" i="94" s="1"/>
  <c r="D92" i="94"/>
  <c r="E92" i="94"/>
  <c r="E93" i="94" s="1"/>
  <c r="D93" i="94"/>
  <c r="B94" i="94"/>
  <c r="C94" i="94"/>
  <c r="D94" i="94"/>
  <c r="D95" i="94" s="1"/>
  <c r="E94" i="94"/>
  <c r="C95" i="94"/>
  <c r="E95" i="94"/>
  <c r="B96" i="94"/>
  <c r="C96" i="94"/>
  <c r="C97" i="94" s="1"/>
  <c r="D96" i="94"/>
  <c r="E96" i="94"/>
  <c r="E97" i="94" s="1"/>
  <c r="D97" i="94"/>
  <c r="B98" i="94"/>
  <c r="C98" i="94"/>
  <c r="D98" i="94"/>
  <c r="D99" i="94" s="1"/>
  <c r="E98" i="94"/>
  <c r="C99" i="94"/>
  <c r="E99" i="94"/>
  <c r="B100" i="94"/>
  <c r="C100" i="94"/>
  <c r="C101" i="94" s="1"/>
  <c r="D100" i="94"/>
  <c r="E100" i="94"/>
  <c r="E101" i="94" s="1"/>
  <c r="D101" i="94"/>
  <c r="B102" i="94"/>
  <c r="C102" i="94"/>
  <c r="D102" i="94"/>
  <c r="D103" i="94" s="1"/>
  <c r="E102" i="94"/>
  <c r="C103" i="94"/>
  <c r="E103" i="94"/>
  <c r="B104" i="94"/>
  <c r="C104" i="94"/>
  <c r="C105" i="94" s="1"/>
  <c r="D104" i="94"/>
  <c r="E104" i="94"/>
  <c r="E105" i="94" s="1"/>
  <c r="D105" i="94"/>
  <c r="B106" i="94"/>
  <c r="C106" i="94"/>
  <c r="D106" i="94"/>
  <c r="D107" i="94" s="1"/>
  <c r="E106" i="94"/>
  <c r="C107" i="94"/>
  <c r="E107" i="94"/>
  <c r="D108" i="94" l="1"/>
  <c r="D89" i="94"/>
  <c r="C108" i="94"/>
  <c r="C89" i="94"/>
  <c r="E88" i="94"/>
  <c r="C93" i="94"/>
  <c r="D91" i="94"/>
  <c r="B38" i="93"/>
  <c r="C38" i="93"/>
  <c r="D38" i="93"/>
  <c r="D41" i="93" s="1"/>
  <c r="E38" i="93"/>
  <c r="C39" i="93"/>
  <c r="D39" i="93"/>
  <c r="E39" i="93"/>
  <c r="C40" i="93"/>
  <c r="D40" i="93"/>
  <c r="E40" i="93"/>
  <c r="C41" i="93"/>
  <c r="E41" i="93"/>
  <c r="B48" i="93"/>
  <c r="C48" i="93"/>
  <c r="D48" i="93"/>
  <c r="E48" i="93"/>
  <c r="B66" i="93"/>
  <c r="C66" i="93"/>
  <c r="D66" i="93"/>
  <c r="E66" i="93"/>
  <c r="B70" i="93"/>
  <c r="C70" i="93"/>
  <c r="D70" i="93"/>
  <c r="E70" i="93"/>
  <c r="B81" i="93"/>
  <c r="C81" i="93"/>
  <c r="C84" i="93" s="1"/>
  <c r="D81" i="93"/>
  <c r="E81" i="93"/>
  <c r="E84" i="93" s="1"/>
  <c r="C82" i="93"/>
  <c r="D82" i="93"/>
  <c r="E82" i="93"/>
  <c r="C83" i="93"/>
  <c r="D83" i="93"/>
  <c r="E83" i="93"/>
  <c r="D84" i="93"/>
  <c r="B90" i="93"/>
  <c r="C90" i="93"/>
  <c r="D90" i="93"/>
  <c r="E90" i="93"/>
  <c r="B102" i="93"/>
  <c r="C102" i="93"/>
  <c r="D102" i="93"/>
  <c r="D105" i="93" s="1"/>
  <c r="E102" i="93"/>
  <c r="C103" i="93"/>
  <c r="D103" i="93"/>
  <c r="E103" i="93"/>
  <c r="C104" i="93"/>
  <c r="D104" i="93"/>
  <c r="E104" i="93"/>
  <c r="C105" i="93"/>
  <c r="E105" i="93"/>
  <c r="B111" i="93"/>
  <c r="C111" i="93"/>
  <c r="D111" i="93"/>
  <c r="E111" i="93"/>
  <c r="C125" i="93"/>
  <c r="D125" i="93"/>
  <c r="D128" i="93" s="1"/>
  <c r="E125" i="93"/>
  <c r="C126" i="93"/>
  <c r="D126" i="93"/>
  <c r="E126" i="93"/>
  <c r="C127" i="93"/>
  <c r="D127" i="93"/>
  <c r="E127" i="93"/>
  <c r="C128" i="93"/>
  <c r="E128" i="93"/>
  <c r="B134" i="93"/>
  <c r="C134" i="93"/>
  <c r="D134" i="93"/>
  <c r="E153" i="93"/>
  <c r="E188" i="93" s="1"/>
  <c r="B154" i="93"/>
  <c r="C155" i="93"/>
  <c r="D155" i="93"/>
  <c r="E155" i="93"/>
  <c r="B163" i="93"/>
  <c r="C163" i="93"/>
  <c r="D163" i="93"/>
  <c r="E163" i="93"/>
  <c r="B166" i="93"/>
  <c r="C166" i="93"/>
  <c r="D166" i="93"/>
  <c r="E166" i="93"/>
  <c r="B184" i="93"/>
  <c r="C184" i="93"/>
  <c r="C153" i="93" s="1"/>
  <c r="D184" i="93"/>
  <c r="D153" i="93" s="1"/>
  <c r="E184" i="93"/>
  <c r="B188" i="93"/>
  <c r="B199" i="93"/>
  <c r="C199" i="93"/>
  <c r="D199" i="93"/>
  <c r="D202" i="93" s="1"/>
  <c r="E199" i="93"/>
  <c r="C200" i="93"/>
  <c r="D200" i="93"/>
  <c r="E200" i="93"/>
  <c r="C201" i="93"/>
  <c r="D201" i="93"/>
  <c r="E201" i="93"/>
  <c r="C202" i="93"/>
  <c r="E202" i="93"/>
  <c r="B208" i="93"/>
  <c r="C208" i="93"/>
  <c r="D208" i="93"/>
  <c r="E208" i="93"/>
  <c r="B222" i="93"/>
  <c r="C222" i="93"/>
  <c r="C225" i="93" s="1"/>
  <c r="D222" i="93"/>
  <c r="E222" i="93"/>
  <c r="E225" i="93" s="1"/>
  <c r="C223" i="93"/>
  <c r="D223" i="93"/>
  <c r="E223" i="93"/>
  <c r="C224" i="93"/>
  <c r="D224" i="93"/>
  <c r="E224" i="93"/>
  <c r="D225" i="93"/>
  <c r="B231" i="93"/>
  <c r="C231" i="93"/>
  <c r="D231" i="93"/>
  <c r="B243" i="93"/>
  <c r="C243" i="93"/>
  <c r="C246" i="93" s="1"/>
  <c r="D243" i="93"/>
  <c r="E243" i="93"/>
  <c r="E246" i="93" s="1"/>
  <c r="C244" i="93"/>
  <c r="D244" i="93"/>
  <c r="E244" i="93"/>
  <c r="C245" i="93"/>
  <c r="D245" i="93"/>
  <c r="E245" i="93"/>
  <c r="D246" i="93"/>
  <c r="B252" i="93"/>
  <c r="C252" i="93"/>
  <c r="D252" i="93"/>
  <c r="E252" i="93"/>
  <c r="B264" i="93"/>
  <c r="C264" i="93"/>
  <c r="D264" i="93"/>
  <c r="D267" i="93" s="1"/>
  <c r="E264" i="93"/>
  <c r="C265" i="93"/>
  <c r="D265" i="93"/>
  <c r="E265" i="93"/>
  <c r="C266" i="93"/>
  <c r="D266" i="93"/>
  <c r="E266" i="93"/>
  <c r="C267" i="93"/>
  <c r="E267" i="93"/>
  <c r="B273" i="93"/>
  <c r="C273" i="93"/>
  <c r="D273" i="93"/>
  <c r="E273" i="93"/>
  <c r="B289" i="93"/>
  <c r="C289" i="93"/>
  <c r="C292" i="93" s="1"/>
  <c r="D289" i="93"/>
  <c r="E289" i="93"/>
  <c r="E292" i="93" s="1"/>
  <c r="C290" i="93"/>
  <c r="D290" i="93"/>
  <c r="E290" i="93"/>
  <c r="C291" i="93"/>
  <c r="D291" i="93"/>
  <c r="E291" i="93"/>
  <c r="D292" i="93"/>
  <c r="B317" i="93"/>
  <c r="C317" i="93"/>
  <c r="D317" i="93"/>
  <c r="E317" i="93"/>
  <c r="B321" i="93"/>
  <c r="C321" i="93"/>
  <c r="D321" i="93"/>
  <c r="E321" i="93"/>
  <c r="B328" i="93"/>
  <c r="B361" i="93" s="1"/>
  <c r="B329" i="93"/>
  <c r="C330" i="93"/>
  <c r="D330" i="93"/>
  <c r="E330" i="93"/>
  <c r="B357" i="93"/>
  <c r="C357" i="93"/>
  <c r="C328" i="93" s="1"/>
  <c r="D357" i="93"/>
  <c r="D328" i="93" s="1"/>
  <c r="E357" i="93"/>
  <c r="E328" i="93" s="1"/>
  <c r="C375" i="93"/>
  <c r="C410" i="93" s="1"/>
  <c r="E375" i="93"/>
  <c r="E410" i="93" s="1"/>
  <c r="C376" i="93"/>
  <c r="E376" i="93"/>
  <c r="C377" i="93"/>
  <c r="D377" i="93"/>
  <c r="E377" i="93"/>
  <c r="B385" i="93"/>
  <c r="B388" i="93"/>
  <c r="B406" i="93"/>
  <c r="B375" i="93" s="1"/>
  <c r="C406" i="93"/>
  <c r="D406" i="93"/>
  <c r="D375" i="93" s="1"/>
  <c r="E406" i="93"/>
  <c r="B421" i="93"/>
  <c r="C421" i="93"/>
  <c r="D421" i="93"/>
  <c r="D424" i="93" s="1"/>
  <c r="E421" i="93"/>
  <c r="C422" i="93"/>
  <c r="D422" i="93"/>
  <c r="E422" i="93"/>
  <c r="C423" i="93"/>
  <c r="D423" i="93"/>
  <c r="E423" i="93"/>
  <c r="C424" i="93"/>
  <c r="E424" i="93"/>
  <c r="B430" i="93"/>
  <c r="C430" i="93"/>
  <c r="D430" i="93"/>
  <c r="E430" i="93"/>
  <c r="B442" i="93"/>
  <c r="C442" i="93"/>
  <c r="C445" i="93" s="1"/>
  <c r="D442" i="93"/>
  <c r="E442" i="93"/>
  <c r="E445" i="93" s="1"/>
  <c r="C443" i="93"/>
  <c r="D443" i="93"/>
  <c r="E443" i="93"/>
  <c r="C444" i="93"/>
  <c r="D444" i="93"/>
  <c r="E444" i="93"/>
  <c r="D445" i="93"/>
  <c r="B451" i="93"/>
  <c r="C451" i="93"/>
  <c r="D451" i="93"/>
  <c r="E451" i="93"/>
  <c r="B463" i="93"/>
  <c r="C463" i="93"/>
  <c r="D463" i="93"/>
  <c r="D466" i="93" s="1"/>
  <c r="E463" i="93"/>
  <c r="C464" i="93"/>
  <c r="D464" i="93"/>
  <c r="E464" i="93"/>
  <c r="C465" i="93"/>
  <c r="D465" i="93"/>
  <c r="E465" i="93"/>
  <c r="C466" i="93"/>
  <c r="E466" i="93"/>
  <c r="B472" i="93"/>
  <c r="C472" i="93"/>
  <c r="D472" i="93"/>
  <c r="E472" i="93"/>
  <c r="B480" i="93"/>
  <c r="B478" i="93" s="1"/>
  <c r="C480" i="93"/>
  <c r="D480" i="93"/>
  <c r="D481" i="93" s="1"/>
  <c r="E480" i="93"/>
  <c r="C481" i="93"/>
  <c r="E481" i="93"/>
  <c r="B482" i="93"/>
  <c r="C482" i="93"/>
  <c r="C478" i="93" s="1"/>
  <c r="D482" i="93"/>
  <c r="E482" i="93"/>
  <c r="E483" i="93" s="1"/>
  <c r="D483" i="93"/>
  <c r="B484" i="93"/>
  <c r="C484" i="93"/>
  <c r="D484" i="93"/>
  <c r="D485" i="93" s="1"/>
  <c r="E484" i="93"/>
  <c r="C485" i="93"/>
  <c r="E485" i="93"/>
  <c r="B486" i="93"/>
  <c r="C486" i="93"/>
  <c r="C487" i="93" s="1"/>
  <c r="D486" i="93"/>
  <c r="E486" i="93"/>
  <c r="E487" i="93" s="1"/>
  <c r="D487" i="93"/>
  <c r="C489" i="93"/>
  <c r="D489" i="93"/>
  <c r="E489" i="93"/>
  <c r="B490" i="93"/>
  <c r="C490" i="93"/>
  <c r="C491" i="93" s="1"/>
  <c r="D490" i="93"/>
  <c r="E490" i="93"/>
  <c r="E491" i="93" s="1"/>
  <c r="D491" i="93"/>
  <c r="C493" i="93"/>
  <c r="D493" i="93"/>
  <c r="E493" i="93"/>
  <c r="B494" i="93"/>
  <c r="C494" i="93"/>
  <c r="C495" i="93" s="1"/>
  <c r="D494" i="93"/>
  <c r="E494" i="93"/>
  <c r="E495" i="93" s="1"/>
  <c r="D495" i="93"/>
  <c r="B496" i="93"/>
  <c r="C496" i="93"/>
  <c r="D496" i="93"/>
  <c r="D497" i="93" s="1"/>
  <c r="E496" i="93"/>
  <c r="C497" i="93"/>
  <c r="E497" i="93"/>
  <c r="E89" i="94" l="1"/>
  <c r="E108" i="94"/>
  <c r="D361" i="93"/>
  <c r="D329" i="93"/>
  <c r="C188" i="93"/>
  <c r="C154" i="93"/>
  <c r="C157" i="93" s="1"/>
  <c r="C156" i="93"/>
  <c r="E154" i="93"/>
  <c r="B501" i="93"/>
  <c r="E156" i="93"/>
  <c r="D188" i="93"/>
  <c r="D154" i="93"/>
  <c r="D157" i="93" s="1"/>
  <c r="D156" i="93"/>
  <c r="D477" i="93"/>
  <c r="D478" i="93" s="1"/>
  <c r="C479" i="93"/>
  <c r="E378" i="93"/>
  <c r="D410" i="93"/>
  <c r="D376" i="93"/>
  <c r="D379" i="93" s="1"/>
  <c r="D378" i="93"/>
  <c r="C378" i="93"/>
  <c r="B410" i="93"/>
  <c r="B376" i="93"/>
  <c r="C379" i="93" s="1"/>
  <c r="B477" i="93"/>
  <c r="E379" i="93"/>
  <c r="E361" i="93"/>
  <c r="E477" i="93"/>
  <c r="E478" i="93" s="1"/>
  <c r="E329" i="93"/>
  <c r="E332" i="93" s="1"/>
  <c r="E331" i="93"/>
  <c r="D331" i="93"/>
  <c r="C361" i="93"/>
  <c r="C477" i="93"/>
  <c r="C501" i="93" s="1"/>
  <c r="C329" i="93"/>
  <c r="C332" i="93" s="1"/>
  <c r="C331" i="93"/>
  <c r="E157" i="93"/>
  <c r="C483" i="93"/>
  <c r="E501" i="93" l="1"/>
  <c r="E479" i="93"/>
  <c r="D332" i="93"/>
  <c r="D479" i="93"/>
  <c r="D501" i="93"/>
  <c r="B43" i="92" l="1"/>
  <c r="C43" i="92"/>
  <c r="D43" i="92"/>
  <c r="D46" i="92" s="1"/>
  <c r="E43" i="92"/>
  <c r="C44" i="92"/>
  <c r="D44" i="92"/>
  <c r="E44" i="92"/>
  <c r="C45" i="92"/>
  <c r="D45" i="92"/>
  <c r="E45" i="92"/>
  <c r="C46" i="92"/>
  <c r="E46" i="92"/>
  <c r="C50" i="92"/>
  <c r="D50" i="92"/>
  <c r="E50" i="92"/>
  <c r="C51" i="92"/>
  <c r="C57" i="92" s="1"/>
  <c r="C58" i="92" s="1"/>
  <c r="D51" i="92"/>
  <c r="E51" i="92"/>
  <c r="E57" i="92" s="1"/>
  <c r="E58" i="92" s="1"/>
  <c r="C52" i="92"/>
  <c r="D52" i="92"/>
  <c r="E52" i="92"/>
  <c r="B57" i="92"/>
  <c r="D57" i="92"/>
  <c r="B58" i="92"/>
  <c r="D58" i="92"/>
  <c r="B66" i="92"/>
  <c r="C66" i="92"/>
  <c r="D66" i="92"/>
  <c r="D69" i="92" s="1"/>
  <c r="E66" i="92"/>
  <c r="C67" i="92"/>
  <c r="D67" i="92"/>
  <c r="E67" i="92"/>
  <c r="C68" i="92"/>
  <c r="D68" i="92"/>
  <c r="E68" i="92"/>
  <c r="C69" i="92"/>
  <c r="E69" i="92"/>
  <c r="B80" i="92"/>
  <c r="C80" i="92"/>
  <c r="D80" i="92"/>
  <c r="E80" i="92"/>
  <c r="B81" i="92"/>
  <c r="C81" i="92"/>
  <c r="D81" i="92"/>
  <c r="E81" i="92"/>
  <c r="B92" i="92"/>
  <c r="C92" i="92"/>
  <c r="C95" i="92" s="1"/>
  <c r="D92" i="92"/>
  <c r="E92" i="92"/>
  <c r="E95" i="92" s="1"/>
  <c r="C93" i="92"/>
  <c r="D93" i="92"/>
  <c r="E93" i="92"/>
  <c r="C94" i="92"/>
  <c r="D94" i="92"/>
  <c r="E94" i="92"/>
  <c r="D95" i="92"/>
  <c r="B101" i="92"/>
  <c r="C101" i="92"/>
  <c r="D101" i="92"/>
  <c r="E101" i="92"/>
  <c r="B112" i="92"/>
  <c r="C112" i="92"/>
  <c r="D112" i="92"/>
  <c r="D115" i="92" s="1"/>
  <c r="E112" i="92"/>
  <c r="C113" i="92"/>
  <c r="D113" i="92"/>
  <c r="E113" i="92"/>
  <c r="C114" i="92"/>
  <c r="D114" i="92"/>
  <c r="E114" i="92"/>
  <c r="C115" i="92"/>
  <c r="E115" i="92"/>
  <c r="B121" i="92"/>
  <c r="C121" i="92"/>
  <c r="D121" i="92"/>
  <c r="E121" i="92"/>
  <c r="B131" i="92"/>
  <c r="B132" i="92"/>
  <c r="C132" i="92"/>
  <c r="D132" i="92"/>
  <c r="D135" i="92" s="1"/>
  <c r="E132" i="92"/>
  <c r="C133" i="92"/>
  <c r="D133" i="92"/>
  <c r="E133" i="92"/>
  <c r="C134" i="92"/>
  <c r="D134" i="92"/>
  <c r="E134" i="92"/>
  <c r="C135" i="92"/>
  <c r="E135" i="92"/>
  <c r="B141" i="92"/>
  <c r="C141" i="92"/>
  <c r="D141" i="92"/>
  <c r="E141" i="92"/>
  <c r="C150" i="92"/>
  <c r="D150" i="92"/>
  <c r="E153" i="92" s="1"/>
  <c r="E150" i="92"/>
  <c r="D151" i="92"/>
  <c r="E151" i="92"/>
  <c r="D152" i="92"/>
  <c r="E152" i="92"/>
  <c r="D153" i="92"/>
  <c r="B159" i="92"/>
  <c r="C159" i="92"/>
  <c r="D159" i="92"/>
  <c r="E159" i="92"/>
  <c r="B176" i="92"/>
  <c r="C176" i="92"/>
  <c r="D176" i="92"/>
  <c r="D179" i="92" s="1"/>
  <c r="E176" i="92"/>
  <c r="C177" i="92"/>
  <c r="D177" i="92"/>
  <c r="E177" i="92"/>
  <c r="C178" i="92"/>
  <c r="D178" i="92"/>
  <c r="E178" i="92"/>
  <c r="C179" i="92"/>
  <c r="E179" i="92"/>
  <c r="B192" i="92"/>
  <c r="C192" i="92"/>
  <c r="D192" i="92"/>
  <c r="E192" i="92"/>
  <c r="B193" i="92"/>
  <c r="C193" i="92"/>
  <c r="D193" i="92"/>
  <c r="E193" i="92"/>
  <c r="B201" i="92"/>
  <c r="C201" i="92"/>
  <c r="C204" i="92" s="1"/>
  <c r="D201" i="92"/>
  <c r="E201" i="92"/>
  <c r="E204" i="92" s="1"/>
  <c r="C202" i="92"/>
  <c r="D202" i="92"/>
  <c r="E202" i="92"/>
  <c r="C203" i="92"/>
  <c r="D203" i="92"/>
  <c r="E203" i="92"/>
  <c r="D204" i="92"/>
  <c r="B215" i="92"/>
  <c r="C215" i="92"/>
  <c r="D215" i="92"/>
  <c r="E215" i="92"/>
  <c r="B216" i="92"/>
  <c r="C216" i="92"/>
  <c r="D216" i="92"/>
  <c r="E216" i="92"/>
  <c r="B227" i="92"/>
  <c r="C227" i="92"/>
  <c r="D227" i="92"/>
  <c r="D230" i="92" s="1"/>
  <c r="E227" i="92"/>
  <c r="C228" i="92"/>
  <c r="D228" i="92"/>
  <c r="E228" i="92"/>
  <c r="C229" i="92"/>
  <c r="D229" i="92"/>
  <c r="E229" i="92"/>
  <c r="C230" i="92"/>
  <c r="E230" i="92"/>
  <c r="B236" i="92"/>
  <c r="C236" i="92"/>
  <c r="D236" i="92"/>
  <c r="E236" i="92"/>
  <c r="B245" i="92"/>
  <c r="C245" i="92"/>
  <c r="C248" i="92" s="1"/>
  <c r="D245" i="92"/>
  <c r="E245" i="92"/>
  <c r="E248" i="92" s="1"/>
  <c r="C246" i="92"/>
  <c r="D246" i="92"/>
  <c r="E246" i="92"/>
  <c r="C247" i="92"/>
  <c r="D247" i="92"/>
  <c r="E247" i="92"/>
  <c r="D248" i="92"/>
  <c r="B254" i="92"/>
  <c r="C254" i="92"/>
  <c r="D254" i="92"/>
  <c r="E254" i="92"/>
  <c r="B265" i="92"/>
  <c r="C265" i="92"/>
  <c r="D265" i="92"/>
  <c r="D268" i="92" s="1"/>
  <c r="E265" i="92"/>
  <c r="C266" i="92"/>
  <c r="D266" i="92"/>
  <c r="E266" i="92"/>
  <c r="C267" i="92"/>
  <c r="D267" i="92"/>
  <c r="E267" i="92"/>
  <c r="C268" i="92"/>
  <c r="E268" i="92"/>
  <c r="B274" i="92"/>
  <c r="C274" i="92"/>
  <c r="D274" i="92"/>
  <c r="E274" i="92"/>
  <c r="B283" i="92"/>
  <c r="C283" i="92"/>
  <c r="C286" i="92" s="1"/>
  <c r="D283" i="92"/>
  <c r="E283" i="92"/>
  <c r="E286" i="92" s="1"/>
  <c r="C284" i="92"/>
  <c r="D284" i="92"/>
  <c r="E284" i="92"/>
  <c r="C285" i="92"/>
  <c r="D285" i="92"/>
  <c r="E285" i="92"/>
  <c r="D286" i="92"/>
  <c r="B292" i="92"/>
  <c r="C292" i="92"/>
  <c r="D292" i="92"/>
  <c r="E292" i="92"/>
  <c r="B294" i="92"/>
  <c r="C294" i="92"/>
  <c r="D294" i="92"/>
  <c r="E294" i="92"/>
  <c r="B297" i="92"/>
  <c r="C297" i="92"/>
  <c r="C295" i="92" s="1"/>
  <c r="D297" i="92"/>
  <c r="E297" i="92"/>
  <c r="E295" i="92" s="1"/>
  <c r="D298" i="92"/>
  <c r="B299" i="92"/>
  <c r="B295" i="92" s="1"/>
  <c r="B315" i="92" s="1"/>
  <c r="C299" i="92"/>
  <c r="D299" i="92"/>
  <c r="D295" i="92" s="1"/>
  <c r="E299" i="92"/>
  <c r="C300" i="92"/>
  <c r="E300" i="92"/>
  <c r="B301" i="92"/>
  <c r="C301" i="92"/>
  <c r="C302" i="92" s="1"/>
  <c r="D301" i="92"/>
  <c r="E301" i="92"/>
  <c r="E302" i="92" s="1"/>
  <c r="D302" i="92"/>
  <c r="B303" i="92"/>
  <c r="C303" i="92"/>
  <c r="D303" i="92"/>
  <c r="E303" i="92"/>
  <c r="B305" i="92"/>
  <c r="C305" i="92"/>
  <c r="D305" i="92"/>
  <c r="E305" i="92"/>
  <c r="B307" i="92"/>
  <c r="C307" i="92"/>
  <c r="D307" i="92"/>
  <c r="E307" i="92"/>
  <c r="B309" i="92"/>
  <c r="C309" i="92"/>
  <c r="D309" i="92"/>
  <c r="E309" i="92"/>
  <c r="B311" i="92"/>
  <c r="C311" i="92"/>
  <c r="D311" i="92"/>
  <c r="E311" i="92"/>
  <c r="B313" i="92"/>
  <c r="C313" i="92"/>
  <c r="D313" i="92"/>
  <c r="D314" i="92" s="1"/>
  <c r="E313" i="92"/>
  <c r="C314" i="92"/>
  <c r="E314" i="92"/>
  <c r="D296" i="92" l="1"/>
  <c r="D315" i="92"/>
  <c r="E315" i="92"/>
  <c r="E296" i="92"/>
  <c r="C296" i="92"/>
  <c r="C315" i="92"/>
  <c r="D300" i="92"/>
  <c r="E298" i="92"/>
  <c r="C298" i="92"/>
  <c r="B38" i="91" l="1"/>
  <c r="C41" i="91" s="1"/>
  <c r="C38" i="91"/>
  <c r="D38" i="91"/>
  <c r="E41" i="91" s="1"/>
  <c r="E38" i="91"/>
  <c r="B39" i="91"/>
  <c r="C39" i="91"/>
  <c r="D39" i="91"/>
  <c r="D42" i="91" s="1"/>
  <c r="E39" i="91"/>
  <c r="C40" i="91"/>
  <c r="D40" i="91"/>
  <c r="E40" i="91"/>
  <c r="D41" i="91"/>
  <c r="C42" i="91"/>
  <c r="E42" i="91"/>
  <c r="C47" i="91"/>
  <c r="E47" i="91"/>
  <c r="C50" i="91"/>
  <c r="E50" i="91"/>
  <c r="C53" i="91"/>
  <c r="E53" i="91"/>
  <c r="B67" i="91"/>
  <c r="C67" i="91"/>
  <c r="D67" i="91"/>
  <c r="E67" i="91"/>
  <c r="C71" i="91"/>
  <c r="E71" i="91"/>
  <c r="B82" i="91"/>
  <c r="C82" i="91"/>
  <c r="D82" i="91"/>
  <c r="E82" i="91"/>
  <c r="E85" i="91" s="1"/>
  <c r="C83" i="91"/>
  <c r="D83" i="91"/>
  <c r="E83" i="91"/>
  <c r="D84" i="91"/>
  <c r="E84" i="91"/>
  <c r="D85" i="91"/>
  <c r="B90" i="91"/>
  <c r="B91" i="91" s="1"/>
  <c r="C91" i="91"/>
  <c r="D91" i="91"/>
  <c r="E91" i="91"/>
  <c r="B114" i="91"/>
  <c r="C114" i="91"/>
  <c r="D114" i="91"/>
  <c r="E114" i="91"/>
  <c r="B132" i="91"/>
  <c r="C132" i="91"/>
  <c r="D135" i="91" s="1"/>
  <c r="D132" i="91"/>
  <c r="E132" i="91"/>
  <c r="E143" i="91" s="1"/>
  <c r="B133" i="91"/>
  <c r="C133" i="91"/>
  <c r="C136" i="91" s="1"/>
  <c r="D133" i="91"/>
  <c r="E133" i="91"/>
  <c r="E136" i="91" s="1"/>
  <c r="C134" i="91"/>
  <c r="D134" i="91"/>
  <c r="E134" i="91"/>
  <c r="C135" i="91"/>
  <c r="E135" i="91"/>
  <c r="D136" i="91"/>
  <c r="B143" i="91"/>
  <c r="D143" i="91"/>
  <c r="B146" i="91"/>
  <c r="D146" i="91"/>
  <c r="B149" i="91"/>
  <c r="D149" i="91"/>
  <c r="B163" i="91"/>
  <c r="C163" i="91"/>
  <c r="D163" i="91"/>
  <c r="E163" i="91"/>
  <c r="B167" i="91"/>
  <c r="D167" i="91"/>
  <c r="B178" i="91"/>
  <c r="C178" i="91"/>
  <c r="D178" i="91"/>
  <c r="D181" i="91" s="1"/>
  <c r="E178" i="91"/>
  <c r="C179" i="91"/>
  <c r="D179" i="91"/>
  <c r="E179" i="91"/>
  <c r="C180" i="91"/>
  <c r="D180" i="91"/>
  <c r="E180" i="91"/>
  <c r="C181" i="91"/>
  <c r="E181" i="91"/>
  <c r="B186" i="91"/>
  <c r="B187" i="91"/>
  <c r="C187" i="91"/>
  <c r="D187" i="91"/>
  <c r="E187" i="91"/>
  <c r="B210" i="91"/>
  <c r="C210" i="91"/>
  <c r="D210" i="91"/>
  <c r="E210" i="91"/>
  <c r="B215" i="91"/>
  <c r="D215" i="91"/>
  <c r="B218" i="91"/>
  <c r="C218" i="91"/>
  <c r="C216" i="91" s="1"/>
  <c r="D218" i="91"/>
  <c r="E218" i="91"/>
  <c r="E216" i="91" s="1"/>
  <c r="D219" i="91"/>
  <c r="B220" i="91"/>
  <c r="B216" i="91" s="1"/>
  <c r="B239" i="91" s="1"/>
  <c r="C220" i="91"/>
  <c r="D220" i="91"/>
  <c r="D216" i="91" s="1"/>
  <c r="E220" i="91"/>
  <c r="C221" i="91"/>
  <c r="E221" i="91"/>
  <c r="C222" i="91"/>
  <c r="D222" i="91"/>
  <c r="D223" i="91" s="1"/>
  <c r="E222" i="91"/>
  <c r="C223" i="91"/>
  <c r="E223" i="91"/>
  <c r="B224" i="91"/>
  <c r="C224" i="91"/>
  <c r="D224" i="91"/>
  <c r="E224" i="91"/>
  <c r="B225" i="91"/>
  <c r="C225" i="91"/>
  <c r="D225" i="91"/>
  <c r="E225" i="91"/>
  <c r="B226" i="91"/>
  <c r="C226" i="91"/>
  <c r="D226" i="91"/>
  <c r="E226" i="91"/>
  <c r="B227" i="91"/>
  <c r="C227" i="91"/>
  <c r="D227" i="91"/>
  <c r="E227" i="91"/>
  <c r="B228" i="91"/>
  <c r="C228" i="91"/>
  <c r="D228" i="91"/>
  <c r="E228" i="91"/>
  <c r="C230" i="91"/>
  <c r="D230" i="91"/>
  <c r="E230" i="91"/>
  <c r="B231" i="91"/>
  <c r="C231" i="91"/>
  <c r="D231" i="91"/>
  <c r="E231" i="91"/>
  <c r="B232" i="91"/>
  <c r="C232" i="91"/>
  <c r="D232" i="91"/>
  <c r="E232" i="91"/>
  <c r="B233" i="91"/>
  <c r="C233" i="91"/>
  <c r="D233" i="91"/>
  <c r="E233" i="91"/>
  <c r="B234" i="91"/>
  <c r="C234" i="91"/>
  <c r="D234" i="91"/>
  <c r="D235" i="91" s="1"/>
  <c r="E234" i="91"/>
  <c r="C235" i="91"/>
  <c r="E235" i="91"/>
  <c r="B39" i="90"/>
  <c r="C39" i="90"/>
  <c r="C42" i="90" s="1"/>
  <c r="D39" i="90"/>
  <c r="E39" i="90"/>
  <c r="E42" i="90" s="1"/>
  <c r="C40" i="90"/>
  <c r="D40" i="90"/>
  <c r="E40" i="90"/>
  <c r="C41" i="90"/>
  <c r="D41" i="90"/>
  <c r="E41" i="90"/>
  <c r="D42" i="90"/>
  <c r="B58" i="90"/>
  <c r="C58" i="90"/>
  <c r="D58" i="90"/>
  <c r="E58" i="90"/>
  <c r="B62" i="90"/>
  <c r="C62" i="90"/>
  <c r="D62" i="90"/>
  <c r="E62" i="90"/>
  <c r="B70" i="90"/>
  <c r="C70" i="90"/>
  <c r="D70" i="90"/>
  <c r="D73" i="90" s="1"/>
  <c r="E70" i="90"/>
  <c r="C71" i="90"/>
  <c r="D71" i="90"/>
  <c r="E71" i="90"/>
  <c r="C72" i="90"/>
  <c r="D72" i="90"/>
  <c r="E72" i="90"/>
  <c r="C73" i="90"/>
  <c r="E73" i="90"/>
  <c r="B89" i="90"/>
  <c r="C89" i="90"/>
  <c r="D89" i="90"/>
  <c r="E89" i="90"/>
  <c r="B93" i="90"/>
  <c r="C93" i="90"/>
  <c r="D93" i="90"/>
  <c r="E93" i="90"/>
  <c r="B101" i="90"/>
  <c r="C101" i="90"/>
  <c r="C104" i="90" s="1"/>
  <c r="D101" i="90"/>
  <c r="E101" i="90"/>
  <c r="E104" i="90" s="1"/>
  <c r="C102" i="90"/>
  <c r="D102" i="90"/>
  <c r="E102" i="90"/>
  <c r="C103" i="90"/>
  <c r="D103" i="90"/>
  <c r="E103" i="90"/>
  <c r="D104" i="90"/>
  <c r="B120" i="90"/>
  <c r="C120" i="90"/>
  <c r="D120" i="90"/>
  <c r="E120" i="90"/>
  <c r="B124" i="90"/>
  <c r="C124" i="90"/>
  <c r="D124" i="90"/>
  <c r="E124" i="90"/>
  <c r="B136" i="90"/>
  <c r="C136" i="90"/>
  <c r="D136" i="90"/>
  <c r="D139" i="90" s="1"/>
  <c r="E136" i="90"/>
  <c r="C137" i="90"/>
  <c r="D137" i="90"/>
  <c r="E137" i="90"/>
  <c r="C138" i="90"/>
  <c r="D138" i="90"/>
  <c r="E138" i="90"/>
  <c r="C139" i="90"/>
  <c r="E139" i="90"/>
  <c r="B145" i="90"/>
  <c r="C145" i="90"/>
  <c r="D145" i="90"/>
  <c r="E145" i="90"/>
  <c r="B157" i="90"/>
  <c r="C157" i="90"/>
  <c r="C160" i="90" s="1"/>
  <c r="D157" i="90"/>
  <c r="E157" i="90"/>
  <c r="E160" i="90" s="1"/>
  <c r="C158" i="90"/>
  <c r="D158" i="90"/>
  <c r="E158" i="90"/>
  <c r="C159" i="90"/>
  <c r="D159" i="90"/>
  <c r="E159" i="90"/>
  <c r="D160" i="90"/>
  <c r="B166" i="90"/>
  <c r="C166" i="90"/>
  <c r="D166" i="90"/>
  <c r="E166" i="90"/>
  <c r="B178" i="90"/>
  <c r="C178" i="90"/>
  <c r="D178" i="90"/>
  <c r="D181" i="90" s="1"/>
  <c r="E178" i="90"/>
  <c r="C179" i="90"/>
  <c r="D179" i="90"/>
  <c r="E179" i="90"/>
  <c r="C180" i="90"/>
  <c r="D180" i="90"/>
  <c r="E180" i="90"/>
  <c r="C181" i="90"/>
  <c r="E181" i="90"/>
  <c r="B187" i="90"/>
  <c r="C187" i="90"/>
  <c r="D187" i="90"/>
  <c r="E187" i="90"/>
  <c r="B202" i="90"/>
  <c r="C202" i="90"/>
  <c r="C205" i="90" s="1"/>
  <c r="D202" i="90"/>
  <c r="E202" i="90"/>
  <c r="E205" i="90" s="1"/>
  <c r="C203" i="90"/>
  <c r="D203" i="90"/>
  <c r="E203" i="90"/>
  <c r="C204" i="90"/>
  <c r="D204" i="90"/>
  <c r="E204" i="90"/>
  <c r="D205" i="90"/>
  <c r="B211" i="90"/>
  <c r="C211" i="90"/>
  <c r="D211" i="90"/>
  <c r="E211" i="90"/>
  <c r="B223" i="90"/>
  <c r="C223" i="90"/>
  <c r="D223" i="90"/>
  <c r="D226" i="90" s="1"/>
  <c r="E223" i="90"/>
  <c r="C224" i="90"/>
  <c r="D224" i="90"/>
  <c r="E224" i="90"/>
  <c r="C225" i="90"/>
  <c r="D225" i="90"/>
  <c r="E225" i="90"/>
  <c r="C226" i="90"/>
  <c r="E226" i="90"/>
  <c r="B232" i="90"/>
  <c r="C232" i="90"/>
  <c r="D232" i="90"/>
  <c r="E232" i="90"/>
  <c r="B244" i="90"/>
  <c r="C244" i="90"/>
  <c r="C247" i="90" s="1"/>
  <c r="D244" i="90"/>
  <c r="E244" i="90"/>
  <c r="E247" i="90" s="1"/>
  <c r="C245" i="90"/>
  <c r="D245" i="90"/>
  <c r="E245" i="90"/>
  <c r="C246" i="90"/>
  <c r="D246" i="90"/>
  <c r="E246" i="90"/>
  <c r="D247" i="90"/>
  <c r="B253" i="90"/>
  <c r="C253" i="90"/>
  <c r="D253" i="90"/>
  <c r="E253" i="90"/>
  <c r="B258" i="90"/>
  <c r="C258" i="90"/>
  <c r="D258" i="90"/>
  <c r="E258" i="90"/>
  <c r="B261" i="90"/>
  <c r="C261" i="90"/>
  <c r="C259" i="90" s="1"/>
  <c r="D261" i="90"/>
  <c r="E261" i="90"/>
  <c r="E259" i="90" s="1"/>
  <c r="D262" i="90"/>
  <c r="B263" i="90"/>
  <c r="B259" i="90" s="1"/>
  <c r="B276" i="90" s="1"/>
  <c r="C263" i="90"/>
  <c r="D263" i="90"/>
  <c r="D264" i="90" s="1"/>
  <c r="E263" i="90"/>
  <c r="C264" i="90"/>
  <c r="E264" i="90"/>
  <c r="B265" i="90"/>
  <c r="C265" i="90"/>
  <c r="C266" i="90" s="1"/>
  <c r="D265" i="90"/>
  <c r="E265" i="90"/>
  <c r="E266" i="90" s="1"/>
  <c r="D266" i="90"/>
  <c r="B267" i="90"/>
  <c r="C267" i="90"/>
  <c r="D267" i="90"/>
  <c r="D268" i="90" s="1"/>
  <c r="E267" i="90"/>
  <c r="C268" i="90"/>
  <c r="E268" i="90"/>
  <c r="B269" i="90"/>
  <c r="C269" i="90"/>
  <c r="C270" i="90" s="1"/>
  <c r="D269" i="90"/>
  <c r="E269" i="90"/>
  <c r="E270" i="90" s="1"/>
  <c r="D270" i="90"/>
  <c r="B271" i="90"/>
  <c r="C271" i="90"/>
  <c r="D271" i="90"/>
  <c r="D272" i="90" s="1"/>
  <c r="E271" i="90"/>
  <c r="C272" i="90"/>
  <c r="E272" i="90"/>
  <c r="D217" i="91" l="1"/>
  <c r="D239" i="91"/>
  <c r="E217" i="91"/>
  <c r="C217" i="91"/>
  <c r="D221" i="91"/>
  <c r="E219" i="91"/>
  <c r="C219" i="91"/>
  <c r="E215" i="91"/>
  <c r="E239" i="91" s="1"/>
  <c r="C215" i="91"/>
  <c r="C239" i="91" s="1"/>
  <c r="E167" i="91"/>
  <c r="C167" i="91"/>
  <c r="E149" i="91"/>
  <c r="C149" i="91"/>
  <c r="E146" i="91"/>
  <c r="C146" i="91"/>
  <c r="C143" i="91"/>
  <c r="D71" i="91"/>
  <c r="B71" i="91"/>
  <c r="D53" i="91"/>
  <c r="B53" i="91"/>
  <c r="D50" i="91"/>
  <c r="B50" i="91"/>
  <c r="D47" i="91"/>
  <c r="B47" i="91"/>
  <c r="E276" i="90"/>
  <c r="C260" i="90"/>
  <c r="C276" i="90"/>
  <c r="D259" i="90"/>
  <c r="E262" i="90"/>
  <c r="C262" i="90"/>
  <c r="D260" i="90" l="1"/>
  <c r="D276" i="90"/>
  <c r="E260" i="90"/>
  <c r="C39" i="89" l="1"/>
  <c r="D39" i="89"/>
  <c r="E39" i="89"/>
  <c r="C51" i="89"/>
  <c r="D51" i="89"/>
  <c r="E51" i="89" s="1"/>
  <c r="E66" i="89" s="1"/>
  <c r="B66" i="89"/>
  <c r="B37" i="89" s="1"/>
  <c r="C66" i="89"/>
  <c r="C37" i="89" s="1"/>
  <c r="D66" i="89"/>
  <c r="D37" i="89" s="1"/>
  <c r="C85" i="89"/>
  <c r="D85" i="89"/>
  <c r="E85" i="89"/>
  <c r="C97" i="89"/>
  <c r="D97" i="89"/>
  <c r="E97" i="89" s="1"/>
  <c r="E112" i="89" s="1"/>
  <c r="B112" i="89"/>
  <c r="B83" i="89" s="1"/>
  <c r="C112" i="89"/>
  <c r="C83" i="89" s="1"/>
  <c r="D112" i="89"/>
  <c r="D83" i="89" s="1"/>
  <c r="C122" i="89"/>
  <c r="D122" i="89"/>
  <c r="E122" i="89"/>
  <c r="C134" i="89"/>
  <c r="D134" i="89"/>
  <c r="E134" i="89" s="1"/>
  <c r="E149" i="89" s="1"/>
  <c r="B149" i="89"/>
  <c r="B120" i="89" s="1"/>
  <c r="C149" i="89"/>
  <c r="C120" i="89" s="1"/>
  <c r="D149" i="89"/>
  <c r="D120" i="89" s="1"/>
  <c r="B157" i="89"/>
  <c r="B187" i="89" s="1"/>
  <c r="B158" i="89"/>
  <c r="C159" i="89"/>
  <c r="D159" i="89"/>
  <c r="E159" i="89"/>
  <c r="C168" i="89"/>
  <c r="D168" i="89"/>
  <c r="E168" i="89"/>
  <c r="C171" i="89"/>
  <c r="D171" i="89" s="1"/>
  <c r="B186" i="89"/>
  <c r="C186" i="89"/>
  <c r="C157" i="89" s="1"/>
  <c r="C203" i="89"/>
  <c r="D203" i="89"/>
  <c r="E203" i="89"/>
  <c r="B212" i="89"/>
  <c r="B230" i="89" s="1"/>
  <c r="D212" i="89"/>
  <c r="C215" i="89"/>
  <c r="D215" i="89" s="1"/>
  <c r="D230" i="89" s="1"/>
  <c r="C230" i="89"/>
  <c r="C201" i="89" s="1"/>
  <c r="C231" i="89"/>
  <c r="C238" i="89"/>
  <c r="C268" i="89" s="1"/>
  <c r="C239" i="89"/>
  <c r="C242" i="89" s="1"/>
  <c r="C240" i="89"/>
  <c r="D240" i="89"/>
  <c r="E240" i="89"/>
  <c r="E249" i="89"/>
  <c r="C252" i="89"/>
  <c r="D252" i="89"/>
  <c r="E252" i="89" s="1"/>
  <c r="E267" i="89" s="1"/>
  <c r="E238" i="89" s="1"/>
  <c r="B267" i="89"/>
  <c r="B238" i="89" s="1"/>
  <c r="B239" i="89" s="1"/>
  <c r="C267" i="89"/>
  <c r="B268" i="89"/>
  <c r="B275" i="89"/>
  <c r="B305" i="89" s="1"/>
  <c r="B276" i="89"/>
  <c r="C277" i="89"/>
  <c r="D277" i="89"/>
  <c r="E277" i="89"/>
  <c r="E286" i="89"/>
  <c r="C289" i="89"/>
  <c r="D289" i="89" s="1"/>
  <c r="D304" i="89" s="1"/>
  <c r="E289" i="89"/>
  <c r="E304" i="89" s="1"/>
  <c r="B304" i="89"/>
  <c r="C304" i="89"/>
  <c r="C275" i="89" s="1"/>
  <c r="C305" i="89"/>
  <c r="C319" i="89"/>
  <c r="D319" i="89"/>
  <c r="E319" i="89"/>
  <c r="C333" i="89"/>
  <c r="D333" i="89" s="1"/>
  <c r="B348" i="89"/>
  <c r="B317" i="89" s="1"/>
  <c r="B318" i="89" s="1"/>
  <c r="C348" i="89"/>
  <c r="C317" i="89" s="1"/>
  <c r="B349" i="89"/>
  <c r="C358" i="89"/>
  <c r="D358" i="89"/>
  <c r="E358" i="89"/>
  <c r="C370" i="89"/>
  <c r="D370" i="89" s="1"/>
  <c r="B385" i="89"/>
  <c r="B356" i="89" s="1"/>
  <c r="C385" i="89"/>
  <c r="C356" i="89" s="1"/>
  <c r="C397" i="89"/>
  <c r="E397" i="89"/>
  <c r="C398" i="89"/>
  <c r="E398" i="89"/>
  <c r="C399" i="89"/>
  <c r="D399" i="89"/>
  <c r="E399" i="89"/>
  <c r="B407" i="89"/>
  <c r="B397" i="89" s="1"/>
  <c r="C407" i="89"/>
  <c r="D407" i="89"/>
  <c r="D397" i="89" s="1"/>
  <c r="E407" i="89"/>
  <c r="B415" i="89"/>
  <c r="D415" i="89"/>
  <c r="B416" i="89"/>
  <c r="D416" i="89"/>
  <c r="C417" i="89"/>
  <c r="D417" i="89"/>
  <c r="E417" i="89"/>
  <c r="B425" i="89"/>
  <c r="C425" i="89"/>
  <c r="C415" i="89" s="1"/>
  <c r="D425" i="89"/>
  <c r="E425" i="89"/>
  <c r="E415" i="89" s="1"/>
  <c r="C433" i="89"/>
  <c r="E433" i="89"/>
  <c r="C434" i="89"/>
  <c r="E434" i="89"/>
  <c r="C435" i="89"/>
  <c r="D435" i="89"/>
  <c r="E435" i="89"/>
  <c r="B443" i="89"/>
  <c r="B433" i="89" s="1"/>
  <c r="C443" i="89"/>
  <c r="D443" i="89"/>
  <c r="D433" i="89" s="1"/>
  <c r="E443" i="89"/>
  <c r="B454" i="89"/>
  <c r="D454" i="89"/>
  <c r="B455" i="89"/>
  <c r="D455" i="89"/>
  <c r="C456" i="89"/>
  <c r="D456" i="89"/>
  <c r="E456" i="89"/>
  <c r="B464" i="89"/>
  <c r="C464" i="89"/>
  <c r="C454" i="89" s="1"/>
  <c r="D464" i="89"/>
  <c r="E464" i="89"/>
  <c r="E454" i="89" s="1"/>
  <c r="C473" i="89"/>
  <c r="E473" i="89"/>
  <c r="C474" i="89"/>
  <c r="E474" i="89"/>
  <c r="C475" i="89"/>
  <c r="D475" i="89"/>
  <c r="E475" i="89"/>
  <c r="B483" i="89"/>
  <c r="B473" i="89" s="1"/>
  <c r="C483" i="89"/>
  <c r="D483" i="89"/>
  <c r="D473" i="89" s="1"/>
  <c r="E483" i="89"/>
  <c r="B491" i="89"/>
  <c r="C494" i="89" s="1"/>
  <c r="C491" i="89"/>
  <c r="D491" i="89"/>
  <c r="E494" i="89" s="1"/>
  <c r="E491" i="89"/>
  <c r="B492" i="89"/>
  <c r="C492" i="89"/>
  <c r="D492" i="89"/>
  <c r="D495" i="89" s="1"/>
  <c r="E492" i="89"/>
  <c r="C493" i="89"/>
  <c r="D493" i="89"/>
  <c r="E493" i="89"/>
  <c r="D494" i="89"/>
  <c r="C495" i="89"/>
  <c r="E495" i="89"/>
  <c r="B501" i="89"/>
  <c r="C501" i="89"/>
  <c r="C521" i="89" s="1"/>
  <c r="D501" i="89"/>
  <c r="E501" i="89"/>
  <c r="C509" i="89"/>
  <c r="E509" i="89"/>
  <c r="C510" i="89"/>
  <c r="E510" i="89"/>
  <c r="C511" i="89"/>
  <c r="D511" i="89"/>
  <c r="E511" i="89"/>
  <c r="B519" i="89"/>
  <c r="B509" i="89" s="1"/>
  <c r="C519" i="89"/>
  <c r="D519" i="89"/>
  <c r="D509" i="89" s="1"/>
  <c r="E519" i="89"/>
  <c r="B521" i="89"/>
  <c r="B524" i="89"/>
  <c r="C524" i="89"/>
  <c r="C522" i="89" s="1"/>
  <c r="D524" i="89"/>
  <c r="E524" i="89"/>
  <c r="D525" i="89"/>
  <c r="B526" i="89"/>
  <c r="B522" i="89" s="1"/>
  <c r="B545" i="89" s="1"/>
  <c r="C526" i="89"/>
  <c r="D526" i="89"/>
  <c r="E526" i="89"/>
  <c r="C527" i="89"/>
  <c r="B528" i="89"/>
  <c r="C528" i="89"/>
  <c r="C529" i="89" s="1"/>
  <c r="B540" i="89"/>
  <c r="C541" i="89" s="1"/>
  <c r="D540" i="89"/>
  <c r="E540" i="89"/>
  <c r="E541" i="89" s="1"/>
  <c r="D541" i="89"/>
  <c r="D522" i="89" l="1"/>
  <c r="D523" i="89" s="1"/>
  <c r="C523" i="89"/>
  <c r="D510" i="89"/>
  <c r="D513" i="89" s="1"/>
  <c r="D512" i="89"/>
  <c r="E512" i="89"/>
  <c r="B510" i="89"/>
  <c r="C512" i="89"/>
  <c r="D419" i="89"/>
  <c r="B357" i="89"/>
  <c r="B386" i="89"/>
  <c r="C318" i="89"/>
  <c r="C321" i="89" s="1"/>
  <c r="C349" i="89"/>
  <c r="C320" i="89"/>
  <c r="E333" i="89"/>
  <c r="E348" i="89" s="1"/>
  <c r="D348" i="89"/>
  <c r="D528" i="89"/>
  <c r="D529" i="89" s="1"/>
  <c r="E239" i="89"/>
  <c r="C513" i="89"/>
  <c r="D474" i="89"/>
  <c r="D477" i="89" s="1"/>
  <c r="D476" i="89"/>
  <c r="E476" i="89"/>
  <c r="C476" i="89"/>
  <c r="B474" i="89"/>
  <c r="C477" i="89" s="1"/>
  <c r="E477" i="89"/>
  <c r="E455" i="89"/>
  <c r="E458" i="89" s="1"/>
  <c r="E457" i="89"/>
  <c r="D457" i="89"/>
  <c r="C455" i="89"/>
  <c r="C458" i="89" s="1"/>
  <c r="C457" i="89"/>
  <c r="D434" i="89"/>
  <c r="D437" i="89" s="1"/>
  <c r="D436" i="89"/>
  <c r="E436" i="89"/>
  <c r="B434" i="89"/>
  <c r="C437" i="89" s="1"/>
  <c r="C436" i="89"/>
  <c r="E416" i="89"/>
  <c r="E419" i="89" s="1"/>
  <c r="E418" i="89"/>
  <c r="D418" i="89"/>
  <c r="C416" i="89"/>
  <c r="C419" i="89" s="1"/>
  <c r="C418" i="89"/>
  <c r="E400" i="89"/>
  <c r="D398" i="89"/>
  <c r="D401" i="89" s="1"/>
  <c r="D400" i="89"/>
  <c r="C400" i="89"/>
  <c r="B398" i="89"/>
  <c r="C401" i="89" s="1"/>
  <c r="E401" i="89"/>
  <c r="C357" i="89"/>
  <c r="C359" i="89"/>
  <c r="C386" i="89"/>
  <c r="E370" i="89"/>
  <c r="E385" i="89" s="1"/>
  <c r="D385" i="89"/>
  <c r="E275" i="89"/>
  <c r="E305" i="89" s="1"/>
  <c r="D527" i="89"/>
  <c r="E525" i="89"/>
  <c r="C525" i="89"/>
  <c r="D305" i="89"/>
  <c r="D275" i="89"/>
  <c r="D267" i="89"/>
  <c r="C241" i="89"/>
  <c r="E215" i="89"/>
  <c r="D121" i="89"/>
  <c r="D123" i="89"/>
  <c r="D150" i="89"/>
  <c r="B121" i="89"/>
  <c r="B150" i="89"/>
  <c r="D84" i="89"/>
  <c r="D86" i="89"/>
  <c r="D113" i="89"/>
  <c r="B84" i="89"/>
  <c r="B113" i="89"/>
  <c r="D38" i="89"/>
  <c r="D40" i="89"/>
  <c r="D67" i="89"/>
  <c r="B38" i="89"/>
  <c r="B67" i="89"/>
  <c r="E527" i="89"/>
  <c r="C276" i="89"/>
  <c r="C279" i="89" s="1"/>
  <c r="C278" i="89"/>
  <c r="E268" i="89"/>
  <c r="C202" i="89"/>
  <c r="D201" i="89"/>
  <c r="D231" i="89" s="1"/>
  <c r="B201" i="89"/>
  <c r="B202" i="89" s="1"/>
  <c r="C187" i="89"/>
  <c r="C158" i="89"/>
  <c r="C161" i="89" s="1"/>
  <c r="C160" i="89"/>
  <c r="E171" i="89"/>
  <c r="E186" i="89" s="1"/>
  <c r="D186" i="89"/>
  <c r="C121" i="89"/>
  <c r="C123" i="89"/>
  <c r="C150" i="89"/>
  <c r="E120" i="89"/>
  <c r="C84" i="89"/>
  <c r="C87" i="89" s="1"/>
  <c r="C86" i="89"/>
  <c r="C113" i="89"/>
  <c r="E83" i="89"/>
  <c r="E113" i="89"/>
  <c r="C38" i="89"/>
  <c r="C40" i="89"/>
  <c r="C67" i="89"/>
  <c r="E37" i="89"/>
  <c r="E67" i="89" s="1"/>
  <c r="E121" i="89" l="1"/>
  <c r="E124" i="89" s="1"/>
  <c r="E123" i="89"/>
  <c r="C205" i="89"/>
  <c r="D87" i="89"/>
  <c r="E230" i="89"/>
  <c r="E528" i="89"/>
  <c r="E356" i="89"/>
  <c r="D458" i="89"/>
  <c r="C41" i="89"/>
  <c r="E84" i="89"/>
  <c r="E87" i="89" s="1"/>
  <c r="E86" i="89"/>
  <c r="E150" i="89"/>
  <c r="C124" i="89"/>
  <c r="E157" i="89"/>
  <c r="B231" i="89"/>
  <c r="C204" i="89"/>
  <c r="D41" i="89"/>
  <c r="D124" i="89"/>
  <c r="D276" i="89"/>
  <c r="D279" i="89" s="1"/>
  <c r="D278" i="89"/>
  <c r="D356" i="89"/>
  <c r="D386" i="89"/>
  <c r="C360" i="89"/>
  <c r="E437" i="89"/>
  <c r="E349" i="89"/>
  <c r="E317" i="89"/>
  <c r="E513" i="89"/>
  <c r="E38" i="89"/>
  <c r="E41" i="89" s="1"/>
  <c r="E40" i="89"/>
  <c r="D157" i="89"/>
  <c r="D187" i="89"/>
  <c r="D202" i="89"/>
  <c r="D205" i="89" s="1"/>
  <c r="D204" i="89"/>
  <c r="D238" i="89"/>
  <c r="D521" i="89"/>
  <c r="D268" i="89"/>
  <c r="E276" i="89"/>
  <c r="E279" i="89" s="1"/>
  <c r="E278" i="89"/>
  <c r="D317" i="89"/>
  <c r="D318" i="89" l="1"/>
  <c r="D321" i="89" s="1"/>
  <c r="D320" i="89"/>
  <c r="E158" i="89"/>
  <c r="E160" i="89"/>
  <c r="E357" i="89"/>
  <c r="E359" i="89"/>
  <c r="E201" i="89"/>
  <c r="D349" i="89"/>
  <c r="D239" i="89"/>
  <c r="D241" i="89"/>
  <c r="E241" i="89"/>
  <c r="D158" i="89"/>
  <c r="D161" i="89" s="1"/>
  <c r="D160" i="89"/>
  <c r="E320" i="89"/>
  <c r="E318" i="89"/>
  <c r="D357" i="89"/>
  <c r="D360" i="89" s="1"/>
  <c r="D359" i="89"/>
  <c r="E187" i="89"/>
  <c r="E521" i="89"/>
  <c r="E386" i="89"/>
  <c r="E529" i="89"/>
  <c r="E522" i="89"/>
  <c r="E545" i="89" l="1"/>
  <c r="E523" i="89"/>
  <c r="E202" i="89"/>
  <c r="E205" i="89" s="1"/>
  <c r="E204" i="89"/>
  <c r="E360" i="89"/>
  <c r="E161" i="89"/>
  <c r="E321" i="89"/>
  <c r="D242" i="89"/>
  <c r="E242" i="89"/>
  <c r="E231" i="89"/>
  <c r="B14" i="88" l="1"/>
  <c r="B21" i="88"/>
  <c r="A24" i="88"/>
  <c r="B24" i="88"/>
  <c r="C24" i="88"/>
  <c r="D24" i="88"/>
  <c r="E24" i="88"/>
  <c r="A25" i="88"/>
  <c r="B25" i="88"/>
  <c r="C25" i="88"/>
  <c r="D25" i="88"/>
  <c r="E25" i="88"/>
  <c r="A26" i="88"/>
  <c r="B26" i="88"/>
  <c r="C26" i="88"/>
  <c r="D26" i="88"/>
  <c r="E26" i="88"/>
  <c r="B39" i="88"/>
  <c r="C39" i="88"/>
  <c r="C41" i="88" s="1"/>
  <c r="C44" i="88" s="1"/>
  <c r="D39" i="88"/>
  <c r="E39" i="88"/>
  <c r="E41" i="88" s="1"/>
  <c r="E44" i="88" s="1"/>
  <c r="C40" i="88"/>
  <c r="D40" i="88"/>
  <c r="E43" i="88" s="1"/>
  <c r="E40" i="88"/>
  <c r="B41" i="88"/>
  <c r="D41" i="88"/>
  <c r="C42" i="88"/>
  <c r="E42" i="88"/>
  <c r="C43" i="88"/>
  <c r="D43" i="88"/>
  <c r="C48" i="88"/>
  <c r="D48" i="88"/>
  <c r="E48" i="88"/>
  <c r="C49" i="88"/>
  <c r="C55" i="88" s="1"/>
  <c r="C56" i="88" s="1"/>
  <c r="E49" i="88"/>
  <c r="E55" i="88" s="1"/>
  <c r="E56" i="88" s="1"/>
  <c r="C50" i="88"/>
  <c r="D50" i="88"/>
  <c r="E50" i="88"/>
  <c r="B55" i="88"/>
  <c r="B56" i="88"/>
  <c r="B67" i="88"/>
  <c r="C67" i="88"/>
  <c r="D67" i="88"/>
  <c r="D70" i="88" s="1"/>
  <c r="E67" i="88"/>
  <c r="C68" i="88"/>
  <c r="D68" i="88"/>
  <c r="E68" i="88"/>
  <c r="C69" i="88"/>
  <c r="D69" i="88"/>
  <c r="E69" i="88"/>
  <c r="C70" i="88"/>
  <c r="E70" i="88"/>
  <c r="B75" i="88"/>
  <c r="C75" i="88"/>
  <c r="D75" i="88"/>
  <c r="E75" i="88"/>
  <c r="B76" i="88"/>
  <c r="C76" i="88"/>
  <c r="D76" i="88"/>
  <c r="E76" i="88"/>
  <c r="B90" i="88"/>
  <c r="C90" i="88"/>
  <c r="C93" i="88" s="1"/>
  <c r="D90" i="88"/>
  <c r="E90" i="88"/>
  <c r="E93" i="88" s="1"/>
  <c r="C91" i="88"/>
  <c r="D91" i="88"/>
  <c r="E91" i="88"/>
  <c r="C92" i="88"/>
  <c r="D92" i="88"/>
  <c r="E92" i="88"/>
  <c r="D93" i="88"/>
  <c r="B98" i="88"/>
  <c r="C98" i="88"/>
  <c r="D98" i="88"/>
  <c r="E98" i="88"/>
  <c r="B99" i="88"/>
  <c r="C99" i="88"/>
  <c r="D99" i="88"/>
  <c r="E99" i="88"/>
  <c r="B114" i="88"/>
  <c r="C115" i="88"/>
  <c r="D115" i="88"/>
  <c r="E118" i="88" s="1"/>
  <c r="E115" i="88"/>
  <c r="B116" i="88"/>
  <c r="C116" i="88"/>
  <c r="D116" i="88"/>
  <c r="D119" i="88" s="1"/>
  <c r="E116" i="88"/>
  <c r="C117" i="88"/>
  <c r="D117" i="88"/>
  <c r="E117" i="88"/>
  <c r="C118" i="88"/>
  <c r="D118" i="88"/>
  <c r="C119" i="88"/>
  <c r="E119" i="88"/>
  <c r="C125" i="88"/>
  <c r="D125" i="88"/>
  <c r="E125" i="88"/>
  <c r="C126" i="88"/>
  <c r="C132" i="88" s="1"/>
  <c r="C133" i="88" s="1"/>
  <c r="E126" i="88"/>
  <c r="E132" i="88" s="1"/>
  <c r="E133" i="88" s="1"/>
  <c r="C127" i="88"/>
  <c r="D127" i="88"/>
  <c r="E127" i="88"/>
  <c r="B132" i="88"/>
  <c r="B133" i="88"/>
  <c r="B144" i="88"/>
  <c r="C144" i="88"/>
  <c r="D144" i="88"/>
  <c r="D147" i="88" s="1"/>
  <c r="E144" i="88"/>
  <c r="C145" i="88"/>
  <c r="D145" i="88"/>
  <c r="E145" i="88"/>
  <c r="C146" i="88"/>
  <c r="D146" i="88"/>
  <c r="E146" i="88"/>
  <c r="C147" i="88"/>
  <c r="E147" i="88"/>
  <c r="B152" i="88"/>
  <c r="C152" i="88"/>
  <c r="D152" i="88"/>
  <c r="E152" i="88"/>
  <c r="B153" i="88"/>
  <c r="C153" i="88"/>
  <c r="D153" i="88"/>
  <c r="E153" i="88"/>
  <c r="B156" i="88"/>
  <c r="B157" i="88"/>
  <c r="B158" i="88"/>
  <c r="B159" i="88"/>
  <c r="B164" i="88"/>
  <c r="C164" i="88"/>
  <c r="C167" i="88" s="1"/>
  <c r="D164" i="88"/>
  <c r="E164" i="88"/>
  <c r="E167" i="88" s="1"/>
  <c r="C165" i="88"/>
  <c r="D165" i="88"/>
  <c r="E165" i="88"/>
  <c r="C166" i="88"/>
  <c r="D166" i="88"/>
  <c r="E166" i="88"/>
  <c r="D167" i="88"/>
  <c r="B172" i="88"/>
  <c r="C172" i="88"/>
  <c r="D172" i="88"/>
  <c r="E172" i="88"/>
  <c r="B173" i="88"/>
  <c r="C173" i="88"/>
  <c r="D173" i="88"/>
  <c r="E173" i="88"/>
  <c r="B190" i="88"/>
  <c r="B192" i="88" s="1"/>
  <c r="C190" i="88"/>
  <c r="D190" i="88"/>
  <c r="D192" i="88" s="1"/>
  <c r="D195" i="88" s="1"/>
  <c r="E190" i="88"/>
  <c r="C191" i="88"/>
  <c r="D194" i="88" s="1"/>
  <c r="D191" i="88"/>
  <c r="E191" i="88"/>
  <c r="E202" i="88" s="1"/>
  <c r="C192" i="88"/>
  <c r="C195" i="88" s="1"/>
  <c r="E192" i="88"/>
  <c r="E195" i="88" s="1"/>
  <c r="D193" i="88"/>
  <c r="C194" i="88"/>
  <c r="E194" i="88"/>
  <c r="C201" i="88"/>
  <c r="D201" i="88"/>
  <c r="E201" i="88"/>
  <c r="D202" i="88"/>
  <c r="D208" i="88" s="1"/>
  <c r="D209" i="88" s="1"/>
  <c r="C203" i="88"/>
  <c r="D203" i="88"/>
  <c r="E203" i="88"/>
  <c r="B208" i="88"/>
  <c r="B209" i="88"/>
  <c r="B217" i="88"/>
  <c r="E217" i="88"/>
  <c r="E228" i="88" s="1"/>
  <c r="E234" i="88" s="1"/>
  <c r="E235" i="88" s="1"/>
  <c r="B218" i="88"/>
  <c r="C218" i="88"/>
  <c r="C221" i="88" s="1"/>
  <c r="D218" i="88"/>
  <c r="E218" i="88"/>
  <c r="E221" i="88" s="1"/>
  <c r="C219" i="88"/>
  <c r="D219" i="88"/>
  <c r="E219" i="88"/>
  <c r="C220" i="88"/>
  <c r="D220" i="88"/>
  <c r="E220" i="88"/>
  <c r="D221" i="88"/>
  <c r="C227" i="88"/>
  <c r="D227" i="88"/>
  <c r="E227" i="88"/>
  <c r="C228" i="88"/>
  <c r="D228" i="88"/>
  <c r="D234" i="88" s="1"/>
  <c r="D235" i="88" s="1"/>
  <c r="C229" i="88"/>
  <c r="D229" i="88"/>
  <c r="E229" i="88"/>
  <c r="B234" i="88"/>
  <c r="C234" i="88"/>
  <c r="B235" i="88"/>
  <c r="C235" i="88"/>
  <c r="B240" i="88"/>
  <c r="B246" i="88"/>
  <c r="C246" i="88"/>
  <c r="D246" i="88"/>
  <c r="D249" i="88" s="1"/>
  <c r="E246" i="88"/>
  <c r="C247" i="88"/>
  <c r="D247" i="88"/>
  <c r="E247" i="88"/>
  <c r="C248" i="88"/>
  <c r="D248" i="88"/>
  <c r="E248" i="88"/>
  <c r="C249" i="88"/>
  <c r="E249" i="88"/>
  <c r="B254" i="88"/>
  <c r="C254" i="88"/>
  <c r="D254" i="88"/>
  <c r="E254" i="88"/>
  <c r="B255" i="88"/>
  <c r="C255" i="88"/>
  <c r="D255" i="88"/>
  <c r="E255" i="88"/>
  <c r="B258" i="88"/>
  <c r="B259" i="88"/>
  <c r="B260" i="88"/>
  <c r="B261" i="88"/>
  <c r="B266" i="88"/>
  <c r="C266" i="88"/>
  <c r="C269" i="88" s="1"/>
  <c r="D266" i="88"/>
  <c r="E266" i="88"/>
  <c r="E269" i="88" s="1"/>
  <c r="C267" i="88"/>
  <c r="D267" i="88"/>
  <c r="E267" i="88"/>
  <c r="C268" i="88"/>
  <c r="D268" i="88"/>
  <c r="E268" i="88"/>
  <c r="D269" i="88"/>
  <c r="B274" i="88"/>
  <c r="C274" i="88"/>
  <c r="D274" i="88"/>
  <c r="E274" i="88"/>
  <c r="B275" i="88"/>
  <c r="B296" i="88" s="1"/>
  <c r="C275" i="88"/>
  <c r="D275" i="88"/>
  <c r="D296" i="88" s="1"/>
  <c r="E275" i="88"/>
  <c r="E296" i="88" s="1"/>
  <c r="E297" i="88" s="1"/>
  <c r="B277" i="88"/>
  <c r="D277" i="88"/>
  <c r="B280" i="88"/>
  <c r="C280" i="88"/>
  <c r="D280" i="88"/>
  <c r="E280" i="88"/>
  <c r="F280" i="88"/>
  <c r="C281" i="88"/>
  <c r="E281" i="88"/>
  <c r="F281" i="88"/>
  <c r="B282" i="88"/>
  <c r="B278" i="88" s="1"/>
  <c r="B298" i="88" s="1"/>
  <c r="F282" i="88"/>
  <c r="F283" i="88"/>
  <c r="B284" i="88"/>
  <c r="C284" i="88"/>
  <c r="C285" i="88" s="1"/>
  <c r="D284" i="88"/>
  <c r="E284" i="88"/>
  <c r="E285" i="88" s="1"/>
  <c r="D285" i="88"/>
  <c r="C287" i="88"/>
  <c r="D287" i="88"/>
  <c r="E287" i="88"/>
  <c r="C289" i="88"/>
  <c r="D289" i="88"/>
  <c r="E289" i="88"/>
  <c r="C291" i="88"/>
  <c r="D291" i="88"/>
  <c r="E291" i="88"/>
  <c r="B292" i="88"/>
  <c r="C292" i="88"/>
  <c r="C293" i="88" s="1"/>
  <c r="D292" i="88"/>
  <c r="E292" i="88"/>
  <c r="E293" i="88" s="1"/>
  <c r="D293" i="88"/>
  <c r="B294" i="88"/>
  <c r="C294" i="88"/>
  <c r="D294" i="88"/>
  <c r="D295" i="88" s="1"/>
  <c r="E294" i="88"/>
  <c r="C295" i="88"/>
  <c r="C296" i="88"/>
  <c r="C297" i="88" s="1"/>
  <c r="D297" i="88" l="1"/>
  <c r="E278" i="88"/>
  <c r="E208" i="88"/>
  <c r="E209" i="88" s="1"/>
  <c r="E282" i="88"/>
  <c r="D44" i="88"/>
  <c r="E295" i="88"/>
  <c r="D281" i="88"/>
  <c r="E277" i="88"/>
  <c r="C277" i="88"/>
  <c r="C202" i="88"/>
  <c r="E193" i="88"/>
  <c r="C193" i="88"/>
  <c r="D126" i="88"/>
  <c r="D132" i="88" s="1"/>
  <c r="D133" i="88" s="1"/>
  <c r="D49" i="88"/>
  <c r="D42" i="88"/>
  <c r="E298" i="88" l="1"/>
  <c r="D55" i="88"/>
  <c r="D56" i="88" s="1"/>
  <c r="D282" i="88"/>
  <c r="C208" i="88"/>
  <c r="C209" i="88" s="1"/>
  <c r="C282" i="88"/>
  <c r="E283" i="88"/>
  <c r="C283" i="88" l="1"/>
  <c r="C278" i="88"/>
  <c r="D278" i="88"/>
  <c r="D283" i="88"/>
  <c r="D279" i="88" l="1"/>
  <c r="D298" i="88"/>
  <c r="E279" i="88"/>
  <c r="C298" i="88"/>
  <c r="C279" i="88"/>
  <c r="C35" i="87" l="1"/>
  <c r="D35" i="87"/>
  <c r="E35" i="87"/>
  <c r="D45" i="87"/>
  <c r="E45" i="87"/>
  <c r="B46" i="87"/>
  <c r="C46" i="87"/>
  <c r="C49" i="87" s="1"/>
  <c r="D46" i="87"/>
  <c r="E46" i="87"/>
  <c r="E49" i="87" s="1"/>
  <c r="C47" i="87"/>
  <c r="D47" i="87"/>
  <c r="E47" i="87"/>
  <c r="C48" i="87"/>
  <c r="D48" i="87"/>
  <c r="E48" i="87"/>
  <c r="D49" i="87"/>
  <c r="D53" i="87"/>
  <c r="E53" i="87" s="1"/>
  <c r="C55" i="87"/>
  <c r="C56" i="87"/>
  <c r="D56" i="87"/>
  <c r="C57" i="87"/>
  <c r="D57" i="87"/>
  <c r="C58" i="87"/>
  <c r="D58" i="87"/>
  <c r="C59" i="87"/>
  <c r="D59" i="87"/>
  <c r="D60" i="87" s="1"/>
  <c r="D61" i="87" s="1"/>
  <c r="B60" i="87"/>
  <c r="C60" i="87"/>
  <c r="B61" i="87"/>
  <c r="C61" i="87"/>
  <c r="C65" i="87"/>
  <c r="D65" i="87"/>
  <c r="E65" i="87"/>
  <c r="B75" i="87"/>
  <c r="C75" i="87"/>
  <c r="D75" i="87"/>
  <c r="D78" i="87" s="1"/>
  <c r="E75" i="87"/>
  <c r="C76" i="87"/>
  <c r="D76" i="87"/>
  <c r="E76" i="87"/>
  <c r="C77" i="87"/>
  <c r="D77" i="87"/>
  <c r="E77" i="87"/>
  <c r="C78" i="87"/>
  <c r="E78" i="87"/>
  <c r="B89" i="87"/>
  <c r="C89" i="87"/>
  <c r="D89" i="87"/>
  <c r="E89" i="87"/>
  <c r="E90" i="87" s="1"/>
  <c r="B90" i="87"/>
  <c r="C90" i="87"/>
  <c r="B105" i="87"/>
  <c r="C105" i="87"/>
  <c r="D105" i="87"/>
  <c r="D108" i="87" s="1"/>
  <c r="E105" i="87"/>
  <c r="C106" i="87"/>
  <c r="D106" i="87"/>
  <c r="E106" i="87"/>
  <c r="C107" i="87"/>
  <c r="D107" i="87"/>
  <c r="E107" i="87"/>
  <c r="C108" i="87"/>
  <c r="E108" i="87"/>
  <c r="B119" i="87"/>
  <c r="C119" i="87"/>
  <c r="D119" i="87"/>
  <c r="E119" i="87"/>
  <c r="B120" i="87"/>
  <c r="B134" i="87"/>
  <c r="C134" i="87"/>
  <c r="D134" i="87"/>
  <c r="D137" i="87" s="1"/>
  <c r="E134" i="87"/>
  <c r="C135" i="87"/>
  <c r="D135" i="87"/>
  <c r="E135" i="87"/>
  <c r="C136" i="87"/>
  <c r="D136" i="87"/>
  <c r="E136" i="87"/>
  <c r="C137" i="87"/>
  <c r="E137" i="87"/>
  <c r="C141" i="87"/>
  <c r="D141" i="87"/>
  <c r="C142" i="87"/>
  <c r="D142" i="87"/>
  <c r="D148" i="87" s="1"/>
  <c r="B148" i="87"/>
  <c r="C148" i="87"/>
  <c r="E148" i="87"/>
  <c r="E149" i="87" s="1"/>
  <c r="B149" i="87"/>
  <c r="C149" i="87"/>
  <c r="B161" i="87"/>
  <c r="C161" i="87"/>
  <c r="D161" i="87"/>
  <c r="D164" i="87" s="1"/>
  <c r="E161" i="87"/>
  <c r="C162" i="87"/>
  <c r="D162" i="87"/>
  <c r="E162" i="87"/>
  <c r="C163" i="87"/>
  <c r="D163" i="87"/>
  <c r="E163" i="87"/>
  <c r="C164" i="87"/>
  <c r="E164" i="87"/>
  <c r="B175" i="87"/>
  <c r="C175" i="87"/>
  <c r="D175" i="87"/>
  <c r="E175" i="87"/>
  <c r="B188" i="87"/>
  <c r="C188" i="87"/>
  <c r="C191" i="87" s="1"/>
  <c r="D188" i="87"/>
  <c r="E188" i="87"/>
  <c r="E191" i="87" s="1"/>
  <c r="C189" i="87"/>
  <c r="D189" i="87"/>
  <c r="E189" i="87"/>
  <c r="C190" i="87"/>
  <c r="D190" i="87"/>
  <c r="E190" i="87"/>
  <c r="D191" i="87"/>
  <c r="B197" i="87"/>
  <c r="C197" i="87"/>
  <c r="D197" i="87"/>
  <c r="E197" i="87"/>
  <c r="B206" i="87"/>
  <c r="C206" i="87"/>
  <c r="D206" i="87"/>
  <c r="D209" i="87" s="1"/>
  <c r="E206" i="87"/>
  <c r="C207" i="87"/>
  <c r="D207" i="87"/>
  <c r="E207" i="87"/>
  <c r="C208" i="87"/>
  <c r="D208" i="87"/>
  <c r="E208" i="87"/>
  <c r="C209" i="87"/>
  <c r="E209" i="87"/>
  <c r="B215" i="87"/>
  <c r="C215" i="87"/>
  <c r="D215" i="87"/>
  <c r="E215" i="87"/>
  <c r="B225" i="87"/>
  <c r="C225" i="87"/>
  <c r="C228" i="87" s="1"/>
  <c r="D225" i="87"/>
  <c r="E225" i="87"/>
  <c r="E228" i="87" s="1"/>
  <c r="C226" i="87"/>
  <c r="D226" i="87"/>
  <c r="E226" i="87"/>
  <c r="C227" i="87"/>
  <c r="D227" i="87"/>
  <c r="E227" i="87"/>
  <c r="D228" i="87"/>
  <c r="B234" i="87"/>
  <c r="C234" i="87"/>
  <c r="D234" i="87"/>
  <c r="E234" i="87"/>
  <c r="B249" i="87"/>
  <c r="C249" i="87"/>
  <c r="D249" i="87"/>
  <c r="D252" i="87" s="1"/>
  <c r="E249" i="87"/>
  <c r="C250" i="87"/>
  <c r="D250" i="87"/>
  <c r="E250" i="87"/>
  <c r="C251" i="87"/>
  <c r="D251" i="87"/>
  <c r="E251" i="87"/>
  <c r="C252" i="87"/>
  <c r="E252" i="87"/>
  <c r="B263" i="87"/>
  <c r="C263" i="87"/>
  <c r="D263" i="87"/>
  <c r="E263" i="87"/>
  <c r="B264" i="87"/>
  <c r="C264" i="87"/>
  <c r="D264" i="87"/>
  <c r="E264" i="87"/>
  <c r="B280" i="87"/>
  <c r="C280" i="87"/>
  <c r="C283" i="87" s="1"/>
  <c r="D280" i="87"/>
  <c r="E280" i="87"/>
  <c r="E283" i="87" s="1"/>
  <c r="C281" i="87"/>
  <c r="D281" i="87"/>
  <c r="E281" i="87"/>
  <c r="C282" i="87"/>
  <c r="D282" i="87"/>
  <c r="E282" i="87"/>
  <c r="D283" i="87"/>
  <c r="B294" i="87"/>
  <c r="B328" i="87" s="1"/>
  <c r="B348" i="87" s="1"/>
  <c r="C294" i="87"/>
  <c r="D294" i="87"/>
  <c r="D328" i="87" s="1"/>
  <c r="E294" i="87"/>
  <c r="B295" i="87"/>
  <c r="C295" i="87"/>
  <c r="D295" i="87"/>
  <c r="E295" i="87"/>
  <c r="B310" i="87"/>
  <c r="C310" i="87"/>
  <c r="D310" i="87"/>
  <c r="D313" i="87" s="1"/>
  <c r="E310" i="87"/>
  <c r="C311" i="87"/>
  <c r="D311" i="87"/>
  <c r="E311" i="87"/>
  <c r="C312" i="87"/>
  <c r="D312" i="87"/>
  <c r="E312" i="87"/>
  <c r="C313" i="87"/>
  <c r="E313" i="87"/>
  <c r="B324" i="87"/>
  <c r="C324" i="87"/>
  <c r="D324" i="87"/>
  <c r="E324" i="87"/>
  <c r="B325" i="87"/>
  <c r="C325" i="87"/>
  <c r="D325" i="87"/>
  <c r="E325" i="87"/>
  <c r="C328" i="87"/>
  <c r="C329" i="87" s="1"/>
  <c r="C330" i="87"/>
  <c r="C331" i="87" s="1"/>
  <c r="D330" i="87"/>
  <c r="D331" i="87"/>
  <c r="C332" i="87"/>
  <c r="C333" i="87" s="1"/>
  <c r="D332" i="87"/>
  <c r="E332" i="87"/>
  <c r="E333" i="87" s="1"/>
  <c r="D333" i="87"/>
  <c r="C335" i="87"/>
  <c r="D335" i="87"/>
  <c r="E335" i="87"/>
  <c r="C337" i="87"/>
  <c r="D337" i="87"/>
  <c r="E337" i="87"/>
  <c r="C339" i="87"/>
  <c r="D339" i="87"/>
  <c r="E339" i="87"/>
  <c r="C345" i="87"/>
  <c r="D345" i="87"/>
  <c r="E345" i="87"/>
  <c r="C347" i="87"/>
  <c r="D347" i="87"/>
  <c r="E347" i="87"/>
  <c r="C348" i="87"/>
  <c r="D348" i="87" l="1"/>
  <c r="D329" i="87"/>
  <c r="E60" i="87"/>
  <c r="E330" i="87"/>
  <c r="E331" i="87" s="1"/>
  <c r="B11" i="86"/>
  <c r="B33" i="86"/>
  <c r="C33" i="86"/>
  <c r="D36" i="86" s="1"/>
  <c r="D33" i="86"/>
  <c r="E33" i="86"/>
  <c r="B34" i="86"/>
  <c r="C34" i="86"/>
  <c r="C37" i="86" s="1"/>
  <c r="D34" i="86"/>
  <c r="E34" i="86"/>
  <c r="E37" i="86" s="1"/>
  <c r="C35" i="86"/>
  <c r="D35" i="86"/>
  <c r="E35" i="86"/>
  <c r="C36" i="86"/>
  <c r="E36" i="86"/>
  <c r="D37" i="86"/>
  <c r="B41" i="86"/>
  <c r="C41" i="86"/>
  <c r="D41" i="86"/>
  <c r="E41" i="86"/>
  <c r="B44" i="86"/>
  <c r="C44" i="86"/>
  <c r="D44" i="86"/>
  <c r="D56" i="86" s="1"/>
  <c r="D60" i="86" s="1"/>
  <c r="E44" i="86"/>
  <c r="H45" i="86"/>
  <c r="B47" i="86"/>
  <c r="C47" i="86"/>
  <c r="D47" i="86"/>
  <c r="E47" i="86"/>
  <c r="B50" i="86"/>
  <c r="C50" i="86"/>
  <c r="E50" i="86"/>
  <c r="B53" i="86"/>
  <c r="B56" i="86" s="1"/>
  <c r="B60" i="86" s="1"/>
  <c r="C53" i="86"/>
  <c r="E53" i="86"/>
  <c r="C56" i="86"/>
  <c r="E56" i="86"/>
  <c r="C60" i="86"/>
  <c r="E60" i="86"/>
  <c r="B68" i="86"/>
  <c r="C68" i="86"/>
  <c r="D71" i="86" s="1"/>
  <c r="D68" i="86"/>
  <c r="E68" i="86"/>
  <c r="E69" i="86" s="1"/>
  <c r="E72" i="86" s="1"/>
  <c r="B69" i="86"/>
  <c r="C69" i="86"/>
  <c r="C72" i="86" s="1"/>
  <c r="D69" i="86"/>
  <c r="C70" i="86"/>
  <c r="D70" i="86"/>
  <c r="E70" i="86"/>
  <c r="C71" i="86"/>
  <c r="E71" i="86"/>
  <c r="D72" i="86"/>
  <c r="B76" i="86"/>
  <c r="B172" i="86" s="1"/>
  <c r="C76" i="86"/>
  <c r="D76" i="86"/>
  <c r="D172" i="86" s="1"/>
  <c r="E76" i="86"/>
  <c r="B79" i="86"/>
  <c r="C79" i="86"/>
  <c r="D79" i="86"/>
  <c r="E79" i="86"/>
  <c r="B82" i="86"/>
  <c r="B176" i="86" s="1"/>
  <c r="C82" i="86"/>
  <c r="D82" i="86"/>
  <c r="D176" i="86" s="1"/>
  <c r="D177" i="86" s="1"/>
  <c r="E82" i="86"/>
  <c r="B85" i="86"/>
  <c r="C85" i="86"/>
  <c r="D85" i="86"/>
  <c r="E85" i="86"/>
  <c r="B88" i="86"/>
  <c r="B180" i="86" s="1"/>
  <c r="C88" i="86"/>
  <c r="D88" i="86"/>
  <c r="D180" i="86" s="1"/>
  <c r="D181" i="86" s="1"/>
  <c r="E88" i="86"/>
  <c r="B91" i="86"/>
  <c r="B95" i="86" s="1"/>
  <c r="C91" i="86"/>
  <c r="D91" i="86"/>
  <c r="E91" i="86"/>
  <c r="E95" i="86"/>
  <c r="C104" i="86"/>
  <c r="B105" i="86"/>
  <c r="C108" i="86" s="1"/>
  <c r="C105" i="86"/>
  <c r="D105" i="86"/>
  <c r="E108" i="86" s="1"/>
  <c r="E105" i="86"/>
  <c r="B106" i="86"/>
  <c r="C106" i="86"/>
  <c r="D106" i="86"/>
  <c r="D109" i="86" s="1"/>
  <c r="E106" i="86"/>
  <c r="C107" i="86"/>
  <c r="D107" i="86"/>
  <c r="E107" i="86"/>
  <c r="D108" i="86"/>
  <c r="C109" i="86"/>
  <c r="E109" i="86"/>
  <c r="B114" i="86"/>
  <c r="C114" i="86"/>
  <c r="C182" i="86" s="1"/>
  <c r="C183" i="86" s="1"/>
  <c r="D114" i="86"/>
  <c r="E114" i="86"/>
  <c r="E182" i="86" s="1"/>
  <c r="E183" i="86" s="1"/>
  <c r="B115" i="86"/>
  <c r="C115" i="86"/>
  <c r="D115" i="86"/>
  <c r="E115" i="86"/>
  <c r="B127" i="86"/>
  <c r="C127" i="86"/>
  <c r="C130" i="86" s="1"/>
  <c r="D127" i="86"/>
  <c r="E127" i="86"/>
  <c r="E130" i="86" s="1"/>
  <c r="C128" i="86"/>
  <c r="D128" i="86"/>
  <c r="E128" i="86"/>
  <c r="C129" i="86"/>
  <c r="D129" i="86"/>
  <c r="E129" i="86"/>
  <c r="D130" i="86"/>
  <c r="B136" i="86"/>
  <c r="C136" i="86"/>
  <c r="D136" i="86"/>
  <c r="E136" i="86"/>
  <c r="B153" i="86"/>
  <c r="C153" i="86"/>
  <c r="D153" i="86"/>
  <c r="E153" i="86"/>
  <c r="B161" i="86"/>
  <c r="C161" i="86"/>
  <c r="D161" i="86"/>
  <c r="E161" i="86"/>
  <c r="B169" i="86"/>
  <c r="D169" i="86"/>
  <c r="C172" i="86"/>
  <c r="C170" i="86" s="1"/>
  <c r="E172" i="86"/>
  <c r="B174" i="86"/>
  <c r="C174" i="86"/>
  <c r="D174" i="86"/>
  <c r="D175" i="86" s="1"/>
  <c r="E174" i="86"/>
  <c r="C175" i="86"/>
  <c r="E175" i="86"/>
  <c r="C176" i="86"/>
  <c r="C177" i="86" s="1"/>
  <c r="E176" i="86"/>
  <c r="E177" i="86" s="1"/>
  <c r="B178" i="86"/>
  <c r="C178" i="86"/>
  <c r="D178" i="86"/>
  <c r="D179" i="86" s="1"/>
  <c r="E178" i="86"/>
  <c r="C179" i="86"/>
  <c r="E179" i="86"/>
  <c r="C180" i="86"/>
  <c r="C181" i="86" s="1"/>
  <c r="E180" i="86"/>
  <c r="E181" i="86" s="1"/>
  <c r="B182" i="86"/>
  <c r="D182" i="86"/>
  <c r="E61" i="87" l="1"/>
  <c r="E328" i="87"/>
  <c r="D183" i="86"/>
  <c r="E170" i="86"/>
  <c r="D170" i="86"/>
  <c r="D171" i="86" s="1"/>
  <c r="D173" i="86"/>
  <c r="B170" i="86"/>
  <c r="B187" i="86" s="1"/>
  <c r="E173" i="86"/>
  <c r="C173" i="86"/>
  <c r="E169" i="86"/>
  <c r="C169" i="86"/>
  <c r="C187" i="86" s="1"/>
  <c r="C95" i="86"/>
  <c r="E348" i="87" l="1"/>
  <c r="E329" i="87"/>
  <c r="C171" i="86"/>
  <c r="E187" i="86"/>
  <c r="E171" i="86"/>
  <c r="B39" i="85" l="1"/>
  <c r="C42" i="85" s="1"/>
  <c r="C39" i="85"/>
  <c r="D39" i="85"/>
  <c r="E42" i="85" s="1"/>
  <c r="E39" i="85"/>
  <c r="B40" i="85"/>
  <c r="C40" i="85"/>
  <c r="D40" i="85"/>
  <c r="D43" i="85" s="1"/>
  <c r="E40" i="85"/>
  <c r="C41" i="85"/>
  <c r="D41" i="85"/>
  <c r="E41" i="85"/>
  <c r="D42" i="85"/>
  <c r="C43" i="85"/>
  <c r="E43" i="85"/>
  <c r="B68" i="85"/>
  <c r="C68" i="85"/>
  <c r="D68" i="85"/>
  <c r="E68" i="85"/>
  <c r="C72" i="85"/>
  <c r="E72" i="85"/>
  <c r="B81" i="85"/>
  <c r="B88" i="85"/>
  <c r="C88" i="85"/>
  <c r="C89" i="85"/>
  <c r="C90" i="85"/>
  <c r="C91" i="85"/>
  <c r="B97" i="85"/>
  <c r="C97" i="85"/>
  <c r="D97" i="85"/>
  <c r="E97" i="85"/>
  <c r="B102" i="85"/>
  <c r="B109" i="85"/>
  <c r="C109" i="85"/>
  <c r="B118" i="85"/>
  <c r="C118" i="85"/>
  <c r="D118" i="85"/>
  <c r="E118" i="85"/>
  <c r="B130" i="85"/>
  <c r="B137" i="85"/>
  <c r="B139" i="85"/>
  <c r="C139" i="85"/>
  <c r="D139" i="85"/>
  <c r="E139" i="85"/>
  <c r="B144" i="85"/>
  <c r="B151" i="85"/>
  <c r="B158" i="85"/>
  <c r="B160" i="85" s="1"/>
  <c r="C160" i="85"/>
  <c r="D160" i="85"/>
  <c r="E160" i="85"/>
  <c r="B165" i="85"/>
  <c r="B172" i="85"/>
  <c r="B180" i="85"/>
  <c r="B181" i="85"/>
  <c r="C181" i="85"/>
  <c r="D181" i="85"/>
  <c r="D246" i="85" s="1"/>
  <c r="E181" i="85"/>
  <c r="B186" i="85"/>
  <c r="B193" i="85"/>
  <c r="B201" i="85"/>
  <c r="B202" i="85" s="1"/>
  <c r="C202" i="85"/>
  <c r="D202" i="85"/>
  <c r="E202" i="85"/>
  <c r="B207" i="85"/>
  <c r="B214" i="85"/>
  <c r="B222" i="85"/>
  <c r="B223" i="85"/>
  <c r="C223" i="85"/>
  <c r="D223" i="85"/>
  <c r="E223" i="85"/>
  <c r="B227" i="85"/>
  <c r="C227" i="85"/>
  <c r="D227" i="85"/>
  <c r="E227" i="85"/>
  <c r="C228" i="85"/>
  <c r="B230" i="85"/>
  <c r="C230" i="85"/>
  <c r="D230" i="85"/>
  <c r="D228" i="85" s="1"/>
  <c r="D251" i="85" s="1"/>
  <c r="E230" i="85"/>
  <c r="E228" i="85" s="1"/>
  <c r="E251" i="85" s="1"/>
  <c r="B232" i="85"/>
  <c r="C232" i="85"/>
  <c r="D232" i="85"/>
  <c r="E232" i="85"/>
  <c r="B234" i="85"/>
  <c r="C234" i="85"/>
  <c r="D234" i="85"/>
  <c r="E234" i="85"/>
  <c r="C235" i="85"/>
  <c r="B236" i="85"/>
  <c r="C236" i="85"/>
  <c r="D236" i="85"/>
  <c r="E236" i="85"/>
  <c r="B238" i="85"/>
  <c r="C238" i="85"/>
  <c r="D238" i="85"/>
  <c r="E238" i="85"/>
  <c r="C239" i="85"/>
  <c r="B240" i="85"/>
  <c r="C240" i="85"/>
  <c r="D240" i="85"/>
  <c r="E240" i="85"/>
  <c r="B242" i="85"/>
  <c r="C242" i="85"/>
  <c r="D242" i="85"/>
  <c r="E242" i="85"/>
  <c r="C243" i="85"/>
  <c r="C244" i="85"/>
  <c r="D244" i="85"/>
  <c r="E244" i="85"/>
  <c r="C246" i="85"/>
  <c r="E246" i="85"/>
  <c r="C251" i="85"/>
  <c r="B246" i="85" l="1"/>
  <c r="B244" i="85"/>
  <c r="B228" i="85" s="1"/>
  <c r="B251" i="85" s="1"/>
  <c r="D72" i="85"/>
  <c r="B72" i="85"/>
  <c r="C39" i="84" l="1"/>
  <c r="D39" i="84"/>
  <c r="E39" i="84"/>
  <c r="B45" i="84"/>
  <c r="C45" i="84"/>
  <c r="C66" i="84" s="1"/>
  <c r="D45" i="84"/>
  <c r="E45" i="84"/>
  <c r="E66" i="84" s="1"/>
  <c r="C51" i="84"/>
  <c r="D51" i="84"/>
  <c r="E51" i="84"/>
  <c r="B66" i="84"/>
  <c r="B37" i="84" s="1"/>
  <c r="D66" i="84"/>
  <c r="D37" i="84" s="1"/>
  <c r="B80" i="84"/>
  <c r="C83" i="84" s="1"/>
  <c r="C80" i="84"/>
  <c r="D80" i="84"/>
  <c r="E83" i="84" s="1"/>
  <c r="E80" i="84"/>
  <c r="B81" i="84"/>
  <c r="C81" i="84"/>
  <c r="D81" i="84"/>
  <c r="D84" i="84" s="1"/>
  <c r="E81" i="84"/>
  <c r="C82" i="84"/>
  <c r="D82" i="84"/>
  <c r="E82" i="84"/>
  <c r="D83" i="84"/>
  <c r="C84" i="84"/>
  <c r="E84" i="84"/>
  <c r="B90" i="84"/>
  <c r="C90" i="84"/>
  <c r="D90" i="84"/>
  <c r="E90" i="84"/>
  <c r="B101" i="84"/>
  <c r="C101" i="84"/>
  <c r="D104" i="84" s="1"/>
  <c r="D101" i="84"/>
  <c r="E101" i="84"/>
  <c r="B102" i="84"/>
  <c r="C102" i="84"/>
  <c r="C105" i="84" s="1"/>
  <c r="D102" i="84"/>
  <c r="E102" i="84"/>
  <c r="E105" i="84" s="1"/>
  <c r="C103" i="84"/>
  <c r="D103" i="84"/>
  <c r="E103" i="84"/>
  <c r="C104" i="84"/>
  <c r="E104" i="84"/>
  <c r="D105" i="84"/>
  <c r="B111" i="84"/>
  <c r="C111" i="84"/>
  <c r="D111" i="84"/>
  <c r="E111" i="84"/>
  <c r="B122" i="84"/>
  <c r="C125" i="84" s="1"/>
  <c r="C122" i="84"/>
  <c r="D122" i="84"/>
  <c r="E125" i="84" s="1"/>
  <c r="E122" i="84"/>
  <c r="B123" i="84"/>
  <c r="C123" i="84"/>
  <c r="D123" i="84"/>
  <c r="D126" i="84" s="1"/>
  <c r="E123" i="84"/>
  <c r="C124" i="84"/>
  <c r="D124" i="84"/>
  <c r="E124" i="84"/>
  <c r="D125" i="84"/>
  <c r="C126" i="84"/>
  <c r="E126" i="84"/>
  <c r="B132" i="84"/>
  <c r="C132" i="84"/>
  <c r="D132" i="84"/>
  <c r="E132" i="84"/>
  <c r="B143" i="84"/>
  <c r="C143" i="84"/>
  <c r="D146" i="84" s="1"/>
  <c r="D143" i="84"/>
  <c r="E143" i="84"/>
  <c r="B144" i="84"/>
  <c r="C144" i="84"/>
  <c r="C147" i="84" s="1"/>
  <c r="D144" i="84"/>
  <c r="E144" i="84"/>
  <c r="E147" i="84" s="1"/>
  <c r="C145" i="84"/>
  <c r="D145" i="84"/>
  <c r="E145" i="84"/>
  <c r="C146" i="84"/>
  <c r="E146" i="84"/>
  <c r="D147" i="84"/>
  <c r="B153" i="84"/>
  <c r="C153" i="84"/>
  <c r="D153" i="84"/>
  <c r="E153" i="84"/>
  <c r="B164" i="84"/>
  <c r="C167" i="84" s="1"/>
  <c r="C164" i="84"/>
  <c r="D164" i="84"/>
  <c r="E167" i="84" s="1"/>
  <c r="E164" i="84"/>
  <c r="B165" i="84"/>
  <c r="C165" i="84"/>
  <c r="D165" i="84"/>
  <c r="D168" i="84" s="1"/>
  <c r="E165" i="84"/>
  <c r="C166" i="84"/>
  <c r="D166" i="84"/>
  <c r="E166" i="84"/>
  <c r="D167" i="84"/>
  <c r="C168" i="84"/>
  <c r="E168" i="84"/>
  <c r="B174" i="84"/>
  <c r="C174" i="84"/>
  <c r="D174" i="84"/>
  <c r="E174" i="84"/>
  <c r="B185" i="84"/>
  <c r="C185" i="84"/>
  <c r="D188" i="84" s="1"/>
  <c r="D185" i="84"/>
  <c r="E185" i="84"/>
  <c r="B186" i="84"/>
  <c r="C186" i="84"/>
  <c r="C189" i="84" s="1"/>
  <c r="D186" i="84"/>
  <c r="E186" i="84"/>
  <c r="E189" i="84" s="1"/>
  <c r="C187" i="84"/>
  <c r="D187" i="84"/>
  <c r="E187" i="84"/>
  <c r="C188" i="84"/>
  <c r="E188" i="84"/>
  <c r="D189" i="84"/>
  <c r="B195" i="84"/>
  <c r="C195" i="84"/>
  <c r="D195" i="84"/>
  <c r="E195" i="84"/>
  <c r="B206" i="84"/>
  <c r="C209" i="84" s="1"/>
  <c r="C206" i="84"/>
  <c r="D206" i="84"/>
  <c r="E209" i="84" s="1"/>
  <c r="E206" i="84"/>
  <c r="B207" i="84"/>
  <c r="C207" i="84"/>
  <c r="D207" i="84"/>
  <c r="D210" i="84" s="1"/>
  <c r="E207" i="84"/>
  <c r="C208" i="84"/>
  <c r="D208" i="84"/>
  <c r="E208" i="84"/>
  <c r="D209" i="84"/>
  <c r="C210" i="84"/>
  <c r="E210" i="84"/>
  <c r="B216" i="84"/>
  <c r="C216" i="84"/>
  <c r="D216" i="84"/>
  <c r="E216" i="84"/>
  <c r="B227" i="84"/>
  <c r="C227" i="84"/>
  <c r="D230" i="84" s="1"/>
  <c r="D227" i="84"/>
  <c r="E227" i="84"/>
  <c r="B228" i="84"/>
  <c r="C228" i="84"/>
  <c r="C231" i="84" s="1"/>
  <c r="D228" i="84"/>
  <c r="E228" i="84"/>
  <c r="E231" i="84" s="1"/>
  <c r="C229" i="84"/>
  <c r="D229" i="84"/>
  <c r="E229" i="84"/>
  <c r="C230" i="84"/>
  <c r="E230" i="84"/>
  <c r="D231" i="84"/>
  <c r="B237" i="84"/>
  <c r="C237" i="84"/>
  <c r="D237" i="84"/>
  <c r="E237" i="84"/>
  <c r="B248" i="84"/>
  <c r="C251" i="84" s="1"/>
  <c r="C248" i="84"/>
  <c r="D248" i="84"/>
  <c r="E251" i="84" s="1"/>
  <c r="E248" i="84"/>
  <c r="B249" i="84"/>
  <c r="C249" i="84"/>
  <c r="D249" i="84"/>
  <c r="D252" i="84" s="1"/>
  <c r="E249" i="84"/>
  <c r="C250" i="84"/>
  <c r="D250" i="84"/>
  <c r="E250" i="84"/>
  <c r="D251" i="84"/>
  <c r="C252" i="84"/>
  <c r="E252" i="84"/>
  <c r="B258" i="84"/>
  <c r="C258" i="84"/>
  <c r="D258" i="84"/>
  <c r="E258" i="84"/>
  <c r="B272" i="84"/>
  <c r="C272" i="84"/>
  <c r="C275" i="84" s="1"/>
  <c r="D272" i="84"/>
  <c r="E272" i="84"/>
  <c r="E275" i="84" s="1"/>
  <c r="C273" i="84"/>
  <c r="D273" i="84"/>
  <c r="E273" i="84"/>
  <c r="C274" i="84"/>
  <c r="D274" i="84"/>
  <c r="E274" i="84"/>
  <c r="D275" i="84"/>
  <c r="B281" i="84"/>
  <c r="C281" i="84"/>
  <c r="D281" i="84"/>
  <c r="E281" i="84"/>
  <c r="B293" i="84"/>
  <c r="C293" i="84"/>
  <c r="D293" i="84"/>
  <c r="D296" i="84" s="1"/>
  <c r="E293" i="84"/>
  <c r="C294" i="84"/>
  <c r="D294" i="84"/>
  <c r="E294" i="84"/>
  <c r="C295" i="84"/>
  <c r="D295" i="84"/>
  <c r="E295" i="84"/>
  <c r="C296" i="84"/>
  <c r="E296" i="84"/>
  <c r="B302" i="84"/>
  <c r="C302" i="84"/>
  <c r="D302" i="84"/>
  <c r="E302" i="84"/>
  <c r="B322" i="84"/>
  <c r="C322" i="84"/>
  <c r="C325" i="84" s="1"/>
  <c r="D322" i="84"/>
  <c r="E322" i="84"/>
  <c r="E325" i="84" s="1"/>
  <c r="C323" i="84"/>
  <c r="D323" i="84"/>
  <c r="E323" i="84"/>
  <c r="C324" i="84"/>
  <c r="D324" i="84"/>
  <c r="E324" i="84"/>
  <c r="D325" i="84"/>
  <c r="B352" i="84"/>
  <c r="C352" i="84"/>
  <c r="D352" i="84"/>
  <c r="E352" i="84"/>
  <c r="B356" i="84"/>
  <c r="C356" i="84"/>
  <c r="D356" i="84"/>
  <c r="E356" i="84"/>
  <c r="B364" i="84"/>
  <c r="C364" i="84"/>
  <c r="D364" i="84"/>
  <c r="D367" i="84" s="1"/>
  <c r="E364" i="84"/>
  <c r="C365" i="84"/>
  <c r="D365" i="84"/>
  <c r="E365" i="84"/>
  <c r="C366" i="84"/>
  <c r="D366" i="84"/>
  <c r="E366" i="84"/>
  <c r="C367" i="84"/>
  <c r="E367" i="84"/>
  <c r="B392" i="84"/>
  <c r="C392" i="84"/>
  <c r="D392" i="84"/>
  <c r="E392" i="84"/>
  <c r="B396" i="84"/>
  <c r="C396" i="84"/>
  <c r="D396" i="84"/>
  <c r="E396" i="84"/>
  <c r="B407" i="84"/>
  <c r="C407" i="84"/>
  <c r="C410" i="84" s="1"/>
  <c r="D407" i="84"/>
  <c r="E407" i="84"/>
  <c r="E410" i="84" s="1"/>
  <c r="C408" i="84"/>
  <c r="D408" i="84"/>
  <c r="E408" i="84"/>
  <c r="C409" i="84"/>
  <c r="D409" i="84"/>
  <c r="E409" i="84"/>
  <c r="D410" i="84"/>
  <c r="B416" i="84"/>
  <c r="C416" i="84"/>
  <c r="D416" i="84"/>
  <c r="E416" i="84"/>
  <c r="B428" i="84"/>
  <c r="C428" i="84"/>
  <c r="D428" i="84"/>
  <c r="D431" i="84" s="1"/>
  <c r="E428" i="84"/>
  <c r="C429" i="84"/>
  <c r="D429" i="84"/>
  <c r="E429" i="84"/>
  <c r="C430" i="84"/>
  <c r="D430" i="84"/>
  <c r="E430" i="84"/>
  <c r="C431" i="84"/>
  <c r="E431" i="84"/>
  <c r="B437" i="84"/>
  <c r="C437" i="84"/>
  <c r="D437" i="84"/>
  <c r="E437" i="84"/>
  <c r="B451" i="84"/>
  <c r="C451" i="84"/>
  <c r="C454" i="84" s="1"/>
  <c r="D451" i="84"/>
  <c r="E451" i="84"/>
  <c r="E454" i="84" s="1"/>
  <c r="C452" i="84"/>
  <c r="D452" i="84"/>
  <c r="E452" i="84"/>
  <c r="C453" i="84"/>
  <c r="D453" i="84"/>
  <c r="E453" i="84"/>
  <c r="D454" i="84"/>
  <c r="B460" i="84"/>
  <c r="C460" i="84"/>
  <c r="D460" i="84"/>
  <c r="E460" i="84"/>
  <c r="B472" i="84"/>
  <c r="C472" i="84"/>
  <c r="D472" i="84"/>
  <c r="D475" i="84" s="1"/>
  <c r="E472" i="84"/>
  <c r="C473" i="84"/>
  <c r="D473" i="84"/>
  <c r="E473" i="84"/>
  <c r="C474" i="84"/>
  <c r="D474" i="84"/>
  <c r="E474" i="84"/>
  <c r="C475" i="84"/>
  <c r="E475" i="84"/>
  <c r="B481" i="84"/>
  <c r="C481" i="84"/>
  <c r="D481" i="84"/>
  <c r="E481" i="84"/>
  <c r="B489" i="84"/>
  <c r="B487" i="84" s="1"/>
  <c r="C489" i="84"/>
  <c r="D489" i="84"/>
  <c r="D487" i="84" s="1"/>
  <c r="E489" i="84"/>
  <c r="C490" i="84"/>
  <c r="E490" i="84"/>
  <c r="B491" i="84"/>
  <c r="C492" i="84"/>
  <c r="D492" i="84"/>
  <c r="E492" i="84"/>
  <c r="B493" i="84"/>
  <c r="C494" i="84"/>
  <c r="D494" i="84"/>
  <c r="E494" i="84"/>
  <c r="B495" i="84"/>
  <c r="C495" i="84"/>
  <c r="C496" i="84" s="1"/>
  <c r="D495" i="84"/>
  <c r="E495" i="84"/>
  <c r="E487" i="84" s="1"/>
  <c r="D496" i="84"/>
  <c r="B497" i="84"/>
  <c r="C497" i="84"/>
  <c r="D497" i="84"/>
  <c r="D498" i="84" s="1"/>
  <c r="E497" i="84"/>
  <c r="C498" i="84"/>
  <c r="E498" i="84"/>
  <c r="B499" i="84"/>
  <c r="C499" i="84"/>
  <c r="C500" i="84" s="1"/>
  <c r="D499" i="84"/>
  <c r="E499" i="84"/>
  <c r="E500" i="84" s="1"/>
  <c r="D500" i="84"/>
  <c r="B501" i="84"/>
  <c r="C501" i="84"/>
  <c r="D501" i="84"/>
  <c r="D502" i="84" s="1"/>
  <c r="E501" i="84"/>
  <c r="C502" i="84"/>
  <c r="E502" i="84"/>
  <c r="B503" i="84"/>
  <c r="C503" i="84"/>
  <c r="C504" i="84" s="1"/>
  <c r="D503" i="84"/>
  <c r="E503" i="84"/>
  <c r="E504" i="84" s="1"/>
  <c r="D504" i="84"/>
  <c r="B505" i="84"/>
  <c r="C506" i="84" s="1"/>
  <c r="D506" i="84"/>
  <c r="E506" i="84"/>
  <c r="B510" i="84" l="1"/>
  <c r="B38" i="84"/>
  <c r="B70" i="84"/>
  <c r="B486" i="84"/>
  <c r="E37" i="84"/>
  <c r="C37" i="84"/>
  <c r="E488" i="84"/>
  <c r="D38" i="84"/>
  <c r="D70" i="84"/>
  <c r="D486" i="84"/>
  <c r="D510" i="84"/>
  <c r="C487" i="84"/>
  <c r="E496" i="84"/>
  <c r="D490" i="84"/>
  <c r="C488" i="84" l="1"/>
  <c r="D41" i="84"/>
  <c r="C38" i="84"/>
  <c r="C41" i="84" s="1"/>
  <c r="C40" i="84"/>
  <c r="C486" i="84"/>
  <c r="C510" i="84" s="1"/>
  <c r="E486" i="84"/>
  <c r="E510" i="84" s="1"/>
  <c r="E38" i="84"/>
  <c r="E41" i="84" s="1"/>
  <c r="E40" i="84"/>
  <c r="D488" i="84"/>
  <c r="D40" i="84"/>
  <c r="C70" i="84"/>
  <c r="E70" i="84"/>
  <c r="B42" i="83" l="1"/>
  <c r="C42" i="83"/>
  <c r="D42" i="83"/>
  <c r="D45" i="83" s="1"/>
  <c r="E42" i="83"/>
  <c r="C43" i="83"/>
  <c r="D43" i="83"/>
  <c r="E43" i="83"/>
  <c r="C44" i="83"/>
  <c r="D44" i="83"/>
  <c r="E44" i="83"/>
  <c r="C45" i="83"/>
  <c r="E45" i="83"/>
  <c r="D56" i="83"/>
  <c r="E56" i="83"/>
  <c r="B70" i="83"/>
  <c r="C70" i="83"/>
  <c r="D70" i="83"/>
  <c r="E70" i="83"/>
  <c r="B75" i="83"/>
  <c r="C75" i="83"/>
  <c r="D75" i="83"/>
  <c r="E75" i="83"/>
  <c r="B83" i="83"/>
  <c r="C83" i="83"/>
  <c r="C86" i="83" s="1"/>
  <c r="D83" i="83"/>
  <c r="E83" i="83"/>
  <c r="E86" i="83" s="1"/>
  <c r="C84" i="83"/>
  <c r="D84" i="83"/>
  <c r="E84" i="83"/>
  <c r="C85" i="83"/>
  <c r="D85" i="83"/>
  <c r="E85" i="83"/>
  <c r="D86" i="83"/>
  <c r="B111" i="83"/>
  <c r="C111" i="83"/>
  <c r="D111" i="83"/>
  <c r="E111" i="83"/>
  <c r="B115" i="83"/>
  <c r="C115" i="83"/>
  <c r="D115" i="83"/>
  <c r="E115" i="83"/>
  <c r="B126" i="83"/>
  <c r="C126" i="83"/>
  <c r="D126" i="83"/>
  <c r="D129" i="83" s="1"/>
  <c r="E126" i="83"/>
  <c r="C127" i="83"/>
  <c r="D127" i="83"/>
  <c r="E127" i="83"/>
  <c r="C128" i="83"/>
  <c r="D128" i="83"/>
  <c r="E128" i="83"/>
  <c r="C129" i="83"/>
  <c r="E129" i="83"/>
  <c r="B135" i="83"/>
  <c r="C135" i="83"/>
  <c r="D135" i="83"/>
  <c r="E135" i="83"/>
  <c r="B147" i="83"/>
  <c r="C147" i="83"/>
  <c r="C150" i="83" s="1"/>
  <c r="D147" i="83"/>
  <c r="E147" i="83"/>
  <c r="E150" i="83" s="1"/>
  <c r="C148" i="83"/>
  <c r="D148" i="83"/>
  <c r="E148" i="83"/>
  <c r="C149" i="83"/>
  <c r="D149" i="83"/>
  <c r="E149" i="83"/>
  <c r="D150" i="83"/>
  <c r="B156" i="83"/>
  <c r="C156" i="83"/>
  <c r="D156" i="83"/>
  <c r="E156" i="83"/>
  <c r="B170" i="83"/>
  <c r="C170" i="83"/>
  <c r="D170" i="83"/>
  <c r="D173" i="83" s="1"/>
  <c r="E170" i="83"/>
  <c r="C171" i="83"/>
  <c r="D171" i="83"/>
  <c r="E171" i="83"/>
  <c r="C172" i="83"/>
  <c r="D172" i="83"/>
  <c r="E172" i="83"/>
  <c r="C173" i="83"/>
  <c r="E173" i="83"/>
  <c r="B179" i="83"/>
  <c r="C179" i="83"/>
  <c r="D179" i="83"/>
  <c r="E179" i="83"/>
  <c r="B191" i="83"/>
  <c r="C191" i="83"/>
  <c r="C194" i="83" s="1"/>
  <c r="D191" i="83"/>
  <c r="E191" i="83"/>
  <c r="E194" i="83" s="1"/>
  <c r="C192" i="83"/>
  <c r="D192" i="83"/>
  <c r="E192" i="83"/>
  <c r="C193" i="83"/>
  <c r="D193" i="83"/>
  <c r="E193" i="83"/>
  <c r="D194" i="83"/>
  <c r="B200" i="83"/>
  <c r="C200" i="83"/>
  <c r="D200" i="83"/>
  <c r="E200" i="83"/>
  <c r="B220" i="83"/>
  <c r="C220" i="83"/>
  <c r="D220" i="83"/>
  <c r="D223" i="83" s="1"/>
  <c r="E220" i="83"/>
  <c r="C221" i="83"/>
  <c r="D221" i="83"/>
  <c r="E221" i="83"/>
  <c r="C222" i="83"/>
  <c r="D222" i="83"/>
  <c r="E222" i="83"/>
  <c r="C223" i="83"/>
  <c r="E223" i="83"/>
  <c r="B250" i="83"/>
  <c r="C250" i="83"/>
  <c r="D250" i="83"/>
  <c r="E250" i="83"/>
  <c r="B254" i="83"/>
  <c r="C254" i="83"/>
  <c r="D254" i="83"/>
  <c r="E254" i="83"/>
  <c r="B262" i="83"/>
  <c r="C262" i="83"/>
  <c r="C265" i="83" s="1"/>
  <c r="D262" i="83"/>
  <c r="E262" i="83"/>
  <c r="E265" i="83" s="1"/>
  <c r="C263" i="83"/>
  <c r="D263" i="83"/>
  <c r="E263" i="83"/>
  <c r="C264" i="83"/>
  <c r="D264" i="83"/>
  <c r="E264" i="83"/>
  <c r="D265" i="83"/>
  <c r="B290" i="83"/>
  <c r="C290" i="83"/>
  <c r="D290" i="83"/>
  <c r="E290" i="83"/>
  <c r="B294" i="83"/>
  <c r="C294" i="83"/>
  <c r="D294" i="83"/>
  <c r="E294" i="83"/>
  <c r="B305" i="83"/>
  <c r="C305" i="83"/>
  <c r="D305" i="83"/>
  <c r="D308" i="83" s="1"/>
  <c r="E305" i="83"/>
  <c r="C306" i="83"/>
  <c r="D306" i="83"/>
  <c r="E306" i="83"/>
  <c r="C307" i="83"/>
  <c r="D307" i="83"/>
  <c r="E307" i="83"/>
  <c r="C308" i="83"/>
  <c r="E308" i="83"/>
  <c r="B314" i="83"/>
  <c r="C314" i="83"/>
  <c r="D314" i="83"/>
  <c r="E314" i="83"/>
  <c r="B326" i="83"/>
  <c r="C326" i="83"/>
  <c r="C329" i="83" s="1"/>
  <c r="D326" i="83"/>
  <c r="E326" i="83"/>
  <c r="E329" i="83" s="1"/>
  <c r="C327" i="83"/>
  <c r="D327" i="83"/>
  <c r="E327" i="83"/>
  <c r="C328" i="83"/>
  <c r="D328" i="83"/>
  <c r="E328" i="83"/>
  <c r="D329" i="83"/>
  <c r="B335" i="83"/>
  <c r="C335" i="83"/>
  <c r="D335" i="83"/>
  <c r="E335" i="83"/>
  <c r="B349" i="83"/>
  <c r="C349" i="83"/>
  <c r="D349" i="83"/>
  <c r="D352" i="83" s="1"/>
  <c r="E349" i="83"/>
  <c r="C350" i="83"/>
  <c r="D350" i="83"/>
  <c r="E350" i="83"/>
  <c r="C351" i="83"/>
  <c r="D351" i="83"/>
  <c r="E351" i="83"/>
  <c r="C352" i="83"/>
  <c r="E352" i="83"/>
  <c r="B358" i="83"/>
  <c r="C358" i="83"/>
  <c r="D358" i="83"/>
  <c r="E358" i="83"/>
  <c r="B370" i="83"/>
  <c r="C370" i="83"/>
  <c r="C373" i="83" s="1"/>
  <c r="D370" i="83"/>
  <c r="E370" i="83"/>
  <c r="E373" i="83" s="1"/>
  <c r="C371" i="83"/>
  <c r="D371" i="83"/>
  <c r="E371" i="83"/>
  <c r="C372" i="83"/>
  <c r="D372" i="83"/>
  <c r="E372" i="83"/>
  <c r="D373" i="83"/>
  <c r="B379" i="83"/>
  <c r="C379" i="83"/>
  <c r="D379" i="83"/>
  <c r="E379" i="83"/>
  <c r="B384" i="83"/>
  <c r="C384" i="83"/>
  <c r="D384" i="83"/>
  <c r="E384" i="83"/>
  <c r="B387" i="83"/>
  <c r="C387" i="83"/>
  <c r="C385" i="83" s="1"/>
  <c r="D387" i="83"/>
  <c r="E387" i="83"/>
  <c r="E385" i="83" s="1"/>
  <c r="D388" i="83"/>
  <c r="B389" i="83"/>
  <c r="B385" i="83" s="1"/>
  <c r="B408" i="83" s="1"/>
  <c r="C389" i="83"/>
  <c r="D389" i="83"/>
  <c r="D390" i="83" s="1"/>
  <c r="E389" i="83"/>
  <c r="C390" i="83"/>
  <c r="E390" i="83"/>
  <c r="B391" i="83"/>
  <c r="C391" i="83"/>
  <c r="C392" i="83" s="1"/>
  <c r="D391" i="83"/>
  <c r="E391" i="83"/>
  <c r="E392" i="83" s="1"/>
  <c r="D392" i="83"/>
  <c r="B393" i="83"/>
  <c r="C393" i="83"/>
  <c r="D393" i="83"/>
  <c r="D394" i="83" s="1"/>
  <c r="E393" i="83"/>
  <c r="C394" i="83"/>
  <c r="E394" i="83"/>
  <c r="B395" i="83"/>
  <c r="C395" i="83"/>
  <c r="C396" i="83" s="1"/>
  <c r="D395" i="83"/>
  <c r="E395" i="83"/>
  <c r="E396" i="83" s="1"/>
  <c r="D396" i="83"/>
  <c r="B397" i="83"/>
  <c r="C397" i="83"/>
  <c r="D397" i="83"/>
  <c r="D398" i="83" s="1"/>
  <c r="E397" i="83"/>
  <c r="C398" i="83"/>
  <c r="E398" i="83"/>
  <c r="B399" i="83"/>
  <c r="C399" i="83"/>
  <c r="C400" i="83" s="1"/>
  <c r="D399" i="83"/>
  <c r="E399" i="83"/>
  <c r="E400" i="83" s="1"/>
  <c r="D400" i="83"/>
  <c r="B401" i="83"/>
  <c r="C401" i="83"/>
  <c r="D401" i="83"/>
  <c r="D402" i="83" s="1"/>
  <c r="E401" i="83"/>
  <c r="C402" i="83"/>
  <c r="E402" i="83"/>
  <c r="B403" i="83"/>
  <c r="C403" i="83"/>
  <c r="C404" i="83" s="1"/>
  <c r="D403" i="83"/>
  <c r="E403" i="83"/>
  <c r="E404" i="83" s="1"/>
  <c r="D404" i="83"/>
  <c r="E408" i="83" l="1"/>
  <c r="C386" i="83"/>
  <c r="C408" i="83"/>
  <c r="D385" i="83"/>
  <c r="E388" i="83"/>
  <c r="C388" i="83"/>
  <c r="D386" i="83" l="1"/>
  <c r="D408" i="83"/>
  <c r="E386" i="83"/>
  <c r="B35" i="82" l="1"/>
  <c r="C35" i="82"/>
  <c r="B36" i="82"/>
  <c r="C36" i="82"/>
  <c r="C39" i="82" s="1"/>
  <c r="C37" i="82"/>
  <c r="D37" i="82"/>
  <c r="E37" i="82"/>
  <c r="C38" i="82"/>
  <c r="D43" i="82"/>
  <c r="D35" i="82" s="1"/>
  <c r="C44" i="82"/>
  <c r="D46" i="82"/>
  <c r="E46" i="82"/>
  <c r="E47" i="82" s="1"/>
  <c r="C47" i="82"/>
  <c r="D47" i="82"/>
  <c r="C51" i="82"/>
  <c r="B65" i="82"/>
  <c r="C65" i="82"/>
  <c r="B69" i="82"/>
  <c r="C69" i="82"/>
  <c r="B83" i="82"/>
  <c r="C83" i="82"/>
  <c r="C86" i="82" s="1"/>
  <c r="D83" i="82"/>
  <c r="E83" i="82"/>
  <c r="E86" i="82" s="1"/>
  <c r="C84" i="82"/>
  <c r="D84" i="82"/>
  <c r="E84" i="82"/>
  <c r="C85" i="82"/>
  <c r="D85" i="82"/>
  <c r="E85" i="82"/>
  <c r="D86" i="82"/>
  <c r="B91" i="82"/>
  <c r="C91" i="82"/>
  <c r="D91" i="82"/>
  <c r="E91" i="82"/>
  <c r="B92" i="82"/>
  <c r="C92" i="82"/>
  <c r="D92" i="82"/>
  <c r="E92" i="82"/>
  <c r="B105" i="82"/>
  <c r="C105" i="82"/>
  <c r="D105" i="82"/>
  <c r="D108" i="82" s="1"/>
  <c r="E105" i="82"/>
  <c r="C106" i="82"/>
  <c r="D106" i="82"/>
  <c r="E106" i="82"/>
  <c r="C107" i="82"/>
  <c r="D107" i="82"/>
  <c r="E107" i="82"/>
  <c r="C108" i="82"/>
  <c r="E108" i="82"/>
  <c r="B113" i="82"/>
  <c r="B114" i="82"/>
  <c r="C114" i="82"/>
  <c r="D114" i="82"/>
  <c r="E114" i="82"/>
  <c r="B126" i="82"/>
  <c r="C126" i="82"/>
  <c r="D126" i="82"/>
  <c r="D129" i="82" s="1"/>
  <c r="E126" i="82"/>
  <c r="C127" i="82"/>
  <c r="D127" i="82"/>
  <c r="E127" i="82"/>
  <c r="C128" i="82"/>
  <c r="D128" i="82"/>
  <c r="E128" i="82"/>
  <c r="C129" i="82"/>
  <c r="E129" i="82"/>
  <c r="B134" i="82"/>
  <c r="B135" i="82"/>
  <c r="C135" i="82"/>
  <c r="D135" i="82"/>
  <c r="E135" i="82"/>
  <c r="B146" i="82"/>
  <c r="C146" i="82"/>
  <c r="D146" i="82"/>
  <c r="D149" i="82" s="1"/>
  <c r="E146" i="82"/>
  <c r="C147" i="82"/>
  <c r="D147" i="82"/>
  <c r="E147" i="82"/>
  <c r="C148" i="82"/>
  <c r="D148" i="82"/>
  <c r="E148" i="82"/>
  <c r="C149" i="82"/>
  <c r="E149" i="82"/>
  <c r="B154" i="82"/>
  <c r="C154" i="82"/>
  <c r="C200" i="82" s="1"/>
  <c r="C201" i="82" s="1"/>
  <c r="D154" i="82"/>
  <c r="E154" i="82"/>
  <c r="E200" i="82" s="1"/>
  <c r="E201" i="82" s="1"/>
  <c r="B155" i="82"/>
  <c r="C155" i="82"/>
  <c r="D155" i="82"/>
  <c r="E155" i="82"/>
  <c r="B167" i="82"/>
  <c r="C167" i="82"/>
  <c r="C170" i="82" s="1"/>
  <c r="D167" i="82"/>
  <c r="E167" i="82"/>
  <c r="E170" i="82" s="1"/>
  <c r="C168" i="82"/>
  <c r="D168" i="82"/>
  <c r="E168" i="82"/>
  <c r="C169" i="82"/>
  <c r="D169" i="82"/>
  <c r="E169" i="82"/>
  <c r="D170" i="82"/>
  <c r="B175" i="82"/>
  <c r="B176" i="82" s="1"/>
  <c r="C176" i="82"/>
  <c r="D176" i="82"/>
  <c r="E176" i="82"/>
  <c r="B181" i="82"/>
  <c r="C181" i="82"/>
  <c r="B184" i="82"/>
  <c r="B182" i="82" s="1"/>
  <c r="B205" i="82" s="1"/>
  <c r="C184" i="82"/>
  <c r="D184" i="82"/>
  <c r="D182" i="82" s="1"/>
  <c r="C185" i="82"/>
  <c r="B186" i="82"/>
  <c r="C186" i="82"/>
  <c r="C187" i="82" s="1"/>
  <c r="D186" i="82"/>
  <c r="E186" i="82"/>
  <c r="E187" i="82" s="1"/>
  <c r="D187" i="82"/>
  <c r="B188" i="82"/>
  <c r="C188" i="82"/>
  <c r="D188" i="82"/>
  <c r="D189" i="82" s="1"/>
  <c r="E188" i="82"/>
  <c r="C189" i="82"/>
  <c r="E189" i="82"/>
  <c r="B190" i="82"/>
  <c r="C190" i="82"/>
  <c r="C191" i="82" s="1"/>
  <c r="D190" i="82"/>
  <c r="E190" i="82"/>
  <c r="E191" i="82" s="1"/>
  <c r="D191" i="82"/>
  <c r="B192" i="82"/>
  <c r="C192" i="82"/>
  <c r="D192" i="82"/>
  <c r="D193" i="82" s="1"/>
  <c r="E192" i="82"/>
  <c r="C193" i="82"/>
  <c r="E193" i="82"/>
  <c r="B194" i="82"/>
  <c r="C194" i="82"/>
  <c r="C195" i="82" s="1"/>
  <c r="D194" i="82"/>
  <c r="E194" i="82"/>
  <c r="E195" i="82" s="1"/>
  <c r="D195" i="82"/>
  <c r="B196" i="82"/>
  <c r="C196" i="82"/>
  <c r="D196" i="82"/>
  <c r="D197" i="82" s="1"/>
  <c r="E196" i="82"/>
  <c r="C197" i="82"/>
  <c r="E197" i="82"/>
  <c r="B198" i="82"/>
  <c r="C198" i="82"/>
  <c r="C199" i="82" s="1"/>
  <c r="D198" i="82"/>
  <c r="E198" i="82"/>
  <c r="E199" i="82" s="1"/>
  <c r="D199" i="82"/>
  <c r="B200" i="82"/>
  <c r="D200" i="82"/>
  <c r="D183" i="82" l="1"/>
  <c r="D201" i="82"/>
  <c r="D36" i="82"/>
  <c r="D39" i="82" s="1"/>
  <c r="D38" i="82"/>
  <c r="D181" i="82"/>
  <c r="D205" i="82" s="1"/>
  <c r="C182" i="82"/>
  <c r="D185" i="82"/>
  <c r="D65" i="82"/>
  <c r="D69" i="82" s="1"/>
  <c r="D44" i="82"/>
  <c r="E43" i="82"/>
  <c r="B39" i="81"/>
  <c r="C39" i="81"/>
  <c r="D39" i="81"/>
  <c r="D42" i="81" s="1"/>
  <c r="E39" i="81"/>
  <c r="C40" i="81"/>
  <c r="D40" i="81"/>
  <c r="E40" i="81"/>
  <c r="C41" i="81"/>
  <c r="D41" i="81"/>
  <c r="E41" i="81"/>
  <c r="C42" i="81"/>
  <c r="E42" i="81"/>
  <c r="B53" i="81"/>
  <c r="C53" i="81"/>
  <c r="D53" i="81"/>
  <c r="E53" i="81"/>
  <c r="B54" i="81"/>
  <c r="C54" i="81"/>
  <c r="D54" i="81"/>
  <c r="E54" i="81"/>
  <c r="B62" i="81"/>
  <c r="C62" i="81"/>
  <c r="C65" i="81" s="1"/>
  <c r="D62" i="81"/>
  <c r="E62" i="81"/>
  <c r="E65" i="81" s="1"/>
  <c r="C63" i="81"/>
  <c r="D63" i="81"/>
  <c r="E63" i="81"/>
  <c r="C64" i="81"/>
  <c r="D64" i="81"/>
  <c r="E64" i="81"/>
  <c r="D65" i="81"/>
  <c r="B76" i="81"/>
  <c r="C76" i="81"/>
  <c r="D76" i="81"/>
  <c r="E76" i="81"/>
  <c r="B77" i="81"/>
  <c r="C77" i="81"/>
  <c r="D77" i="81"/>
  <c r="E77" i="81"/>
  <c r="B85" i="81"/>
  <c r="C85" i="81"/>
  <c r="D85" i="81"/>
  <c r="D88" i="81" s="1"/>
  <c r="E85" i="81"/>
  <c r="C86" i="81"/>
  <c r="D86" i="81"/>
  <c r="E86" i="81"/>
  <c r="C87" i="81"/>
  <c r="D87" i="81"/>
  <c r="E87" i="81"/>
  <c r="C88" i="81"/>
  <c r="E88" i="81"/>
  <c r="B99" i="81"/>
  <c r="C99" i="81"/>
  <c r="D99" i="81"/>
  <c r="E99" i="81"/>
  <c r="B100" i="81"/>
  <c r="C100" i="81"/>
  <c r="D100" i="81"/>
  <c r="E100" i="81"/>
  <c r="B108" i="81"/>
  <c r="C108" i="81"/>
  <c r="C111" i="81" s="1"/>
  <c r="D108" i="81"/>
  <c r="E108" i="81"/>
  <c r="E111" i="81" s="1"/>
  <c r="C109" i="81"/>
  <c r="D109" i="81"/>
  <c r="E109" i="81"/>
  <c r="C110" i="81"/>
  <c r="D110" i="81"/>
  <c r="E110" i="81"/>
  <c r="D111" i="81"/>
  <c r="B122" i="81"/>
  <c r="C122" i="81"/>
  <c r="D122" i="81"/>
  <c r="E122" i="81"/>
  <c r="B123" i="81"/>
  <c r="C123" i="81"/>
  <c r="D123" i="81"/>
  <c r="E123" i="81"/>
  <c r="B131" i="81"/>
  <c r="C131" i="81"/>
  <c r="D131" i="81"/>
  <c r="D134" i="81" s="1"/>
  <c r="E131" i="81"/>
  <c r="C132" i="81"/>
  <c r="D132" i="81"/>
  <c r="E132" i="81"/>
  <c r="C133" i="81"/>
  <c r="D133" i="81"/>
  <c r="E133" i="81"/>
  <c r="C134" i="81"/>
  <c r="E134" i="81"/>
  <c r="B145" i="81"/>
  <c r="C145" i="81"/>
  <c r="D145" i="81"/>
  <c r="E145" i="81"/>
  <c r="B146" i="81"/>
  <c r="C146" i="81"/>
  <c r="D146" i="81"/>
  <c r="E146" i="81"/>
  <c r="B154" i="81"/>
  <c r="C154" i="81"/>
  <c r="C157" i="81" s="1"/>
  <c r="D154" i="81"/>
  <c r="E154" i="81"/>
  <c r="E157" i="81" s="1"/>
  <c r="C155" i="81"/>
  <c r="D155" i="81"/>
  <c r="E155" i="81"/>
  <c r="C156" i="81"/>
  <c r="D156" i="81"/>
  <c r="E156" i="81"/>
  <c r="D157" i="81"/>
  <c r="B168" i="81"/>
  <c r="C168" i="81"/>
  <c r="D168" i="81"/>
  <c r="E168" i="81"/>
  <c r="B169" i="81"/>
  <c r="C169" i="81"/>
  <c r="D169" i="81"/>
  <c r="E169" i="81"/>
  <c r="B177" i="81"/>
  <c r="C177" i="81"/>
  <c r="D177" i="81"/>
  <c r="D180" i="81" s="1"/>
  <c r="E177" i="81"/>
  <c r="C178" i="81"/>
  <c r="D178" i="81"/>
  <c r="E178" i="81"/>
  <c r="C179" i="81"/>
  <c r="D179" i="81"/>
  <c r="E179" i="81"/>
  <c r="C180" i="81"/>
  <c r="E180" i="81"/>
  <c r="B191" i="81"/>
  <c r="C191" i="81"/>
  <c r="D191" i="81"/>
  <c r="E191" i="81"/>
  <c r="B192" i="81"/>
  <c r="C192" i="81"/>
  <c r="D192" i="81"/>
  <c r="E192" i="81"/>
  <c r="C201" i="81"/>
  <c r="D201" i="81"/>
  <c r="E201" i="81"/>
  <c r="C202" i="81"/>
  <c r="D202" i="81"/>
  <c r="E202" i="81"/>
  <c r="C203" i="81"/>
  <c r="D203" i="81"/>
  <c r="E203" i="81"/>
  <c r="B214" i="81"/>
  <c r="C214" i="81"/>
  <c r="D214" i="81"/>
  <c r="E214" i="81"/>
  <c r="B215" i="81"/>
  <c r="C215" i="81"/>
  <c r="D215" i="81"/>
  <c r="E215" i="81"/>
  <c r="B223" i="81"/>
  <c r="C223" i="81"/>
  <c r="D223" i="81"/>
  <c r="D226" i="81" s="1"/>
  <c r="E223" i="81"/>
  <c r="C224" i="81"/>
  <c r="D224" i="81"/>
  <c r="E224" i="81"/>
  <c r="C225" i="81"/>
  <c r="D225" i="81"/>
  <c r="E225" i="81"/>
  <c r="C226" i="81"/>
  <c r="E226" i="81"/>
  <c r="B237" i="81"/>
  <c r="C237" i="81"/>
  <c r="D237" i="81"/>
  <c r="E237" i="81"/>
  <c r="B238" i="81"/>
  <c r="C238" i="81"/>
  <c r="D238" i="81"/>
  <c r="E238" i="81"/>
  <c r="B246" i="81"/>
  <c r="C246" i="81"/>
  <c r="C249" i="81" s="1"/>
  <c r="D246" i="81"/>
  <c r="E246" i="81"/>
  <c r="E249" i="81" s="1"/>
  <c r="C247" i="81"/>
  <c r="D247" i="81"/>
  <c r="E247" i="81"/>
  <c r="C248" i="81"/>
  <c r="D248" i="81"/>
  <c r="E248" i="81"/>
  <c r="D249" i="81"/>
  <c r="B260" i="81"/>
  <c r="C260" i="81"/>
  <c r="D260" i="81"/>
  <c r="E260" i="81"/>
  <c r="B261" i="81"/>
  <c r="C261" i="81"/>
  <c r="D261" i="81"/>
  <c r="E261" i="81"/>
  <c r="B269" i="81"/>
  <c r="C269" i="81"/>
  <c r="D269" i="81"/>
  <c r="D272" i="81" s="1"/>
  <c r="E269" i="81"/>
  <c r="C270" i="81"/>
  <c r="D270" i="81"/>
  <c r="E270" i="81"/>
  <c r="C271" i="81"/>
  <c r="D271" i="81"/>
  <c r="E271" i="81"/>
  <c r="C272" i="81"/>
  <c r="E272" i="81"/>
  <c r="B283" i="81"/>
  <c r="C283" i="81"/>
  <c r="D283" i="81"/>
  <c r="E283" i="81"/>
  <c r="B284" i="81"/>
  <c r="C284" i="81"/>
  <c r="D284" i="81"/>
  <c r="E284" i="81"/>
  <c r="B292" i="81"/>
  <c r="C292" i="81"/>
  <c r="C295" i="81" s="1"/>
  <c r="D292" i="81"/>
  <c r="E292" i="81"/>
  <c r="E295" i="81" s="1"/>
  <c r="C293" i="81"/>
  <c r="D293" i="81"/>
  <c r="E293" i="81"/>
  <c r="C294" i="81"/>
  <c r="D294" i="81"/>
  <c r="E294" i="81"/>
  <c r="D295" i="81"/>
  <c r="B306" i="81"/>
  <c r="C306" i="81"/>
  <c r="D306" i="81"/>
  <c r="E306" i="81"/>
  <c r="B307" i="81"/>
  <c r="C307" i="81"/>
  <c r="D307" i="81"/>
  <c r="E307" i="81"/>
  <c r="B316" i="81"/>
  <c r="C316" i="81"/>
  <c r="D316" i="81"/>
  <c r="D319" i="81" s="1"/>
  <c r="E316" i="81"/>
  <c r="C317" i="81"/>
  <c r="D317" i="81"/>
  <c r="E317" i="81"/>
  <c r="C318" i="81"/>
  <c r="D318" i="81"/>
  <c r="E318" i="81"/>
  <c r="C319" i="81"/>
  <c r="E319" i="81"/>
  <c r="B325" i="81"/>
  <c r="C325" i="81"/>
  <c r="D325" i="81"/>
  <c r="E325" i="81"/>
  <c r="B337" i="81"/>
  <c r="C337" i="81"/>
  <c r="C340" i="81" s="1"/>
  <c r="D337" i="81"/>
  <c r="E337" i="81"/>
  <c r="E340" i="81" s="1"/>
  <c r="C338" i="81"/>
  <c r="D338" i="81"/>
  <c r="E338" i="81"/>
  <c r="C339" i="81"/>
  <c r="D339" i="81"/>
  <c r="E339" i="81"/>
  <c r="D340" i="81"/>
  <c r="B346" i="81"/>
  <c r="C346" i="81"/>
  <c r="D346" i="81"/>
  <c r="E346" i="81"/>
  <c r="B358" i="81"/>
  <c r="C358" i="81"/>
  <c r="D358" i="81"/>
  <c r="D361" i="81" s="1"/>
  <c r="E358" i="81"/>
  <c r="C359" i="81"/>
  <c r="D359" i="81"/>
  <c r="E359" i="81"/>
  <c r="C360" i="81"/>
  <c r="D360" i="81"/>
  <c r="E360" i="81"/>
  <c r="C361" i="81"/>
  <c r="E361" i="81"/>
  <c r="B367" i="81"/>
  <c r="C367" i="81"/>
  <c r="D367" i="81"/>
  <c r="E367" i="81"/>
  <c r="B379" i="81"/>
  <c r="C379" i="81"/>
  <c r="C382" i="81" s="1"/>
  <c r="D379" i="81"/>
  <c r="E379" i="81"/>
  <c r="E382" i="81" s="1"/>
  <c r="C380" i="81"/>
  <c r="D380" i="81"/>
  <c r="E380" i="81"/>
  <c r="C381" i="81"/>
  <c r="D381" i="81"/>
  <c r="E381" i="81"/>
  <c r="D382" i="81"/>
  <c r="B388" i="81"/>
  <c r="C388" i="81"/>
  <c r="D388" i="81"/>
  <c r="E388" i="81"/>
  <c r="B397" i="81"/>
  <c r="C397" i="81"/>
  <c r="D397" i="81"/>
  <c r="D400" i="81" s="1"/>
  <c r="E397" i="81"/>
  <c r="C398" i="81"/>
  <c r="D398" i="81"/>
  <c r="E398" i="81"/>
  <c r="C399" i="81"/>
  <c r="D399" i="81"/>
  <c r="E399" i="81"/>
  <c r="C400" i="81"/>
  <c r="E400" i="81"/>
  <c r="B406" i="81"/>
  <c r="C406" i="81"/>
  <c r="D406" i="81"/>
  <c r="E406" i="81"/>
  <c r="B408" i="81"/>
  <c r="C408" i="81"/>
  <c r="D408" i="81"/>
  <c r="E408" i="81"/>
  <c r="B411" i="81"/>
  <c r="B409" i="81" s="1"/>
  <c r="B429" i="81" s="1"/>
  <c r="C411" i="81"/>
  <c r="D411" i="81"/>
  <c r="D409" i="81" s="1"/>
  <c r="E411" i="81"/>
  <c r="C412" i="81"/>
  <c r="E412" i="81"/>
  <c r="B413" i="81"/>
  <c r="C413" i="81"/>
  <c r="C409" i="81" s="1"/>
  <c r="D413" i="81"/>
  <c r="E413" i="81"/>
  <c r="E409" i="81" s="1"/>
  <c r="D414" i="81"/>
  <c r="B415" i="81"/>
  <c r="C415" i="81"/>
  <c r="D415" i="81"/>
  <c r="D416" i="81" s="1"/>
  <c r="E415" i="81"/>
  <c r="C416" i="81"/>
  <c r="E416" i="81"/>
  <c r="B417" i="81"/>
  <c r="C417" i="81"/>
  <c r="C418" i="81" s="1"/>
  <c r="D417" i="81"/>
  <c r="E417" i="81"/>
  <c r="E418" i="81" s="1"/>
  <c r="D418" i="81"/>
  <c r="B419" i="81"/>
  <c r="C419" i="81"/>
  <c r="D419" i="81"/>
  <c r="D420" i="81" s="1"/>
  <c r="E419" i="81"/>
  <c r="C420" i="81"/>
  <c r="E420" i="81"/>
  <c r="B421" i="81"/>
  <c r="C421" i="81"/>
  <c r="C422" i="81" s="1"/>
  <c r="D421" i="81"/>
  <c r="E421" i="81"/>
  <c r="E422" i="81" s="1"/>
  <c r="D422" i="81"/>
  <c r="B423" i="81"/>
  <c r="C423" i="81"/>
  <c r="D423" i="81"/>
  <c r="E424" i="81" s="1"/>
  <c r="E423" i="81"/>
  <c r="C424" i="81"/>
  <c r="B425" i="81"/>
  <c r="C425" i="81"/>
  <c r="C426" i="81" s="1"/>
  <c r="D425" i="81"/>
  <c r="E425" i="81"/>
  <c r="E426" i="81" s="1"/>
  <c r="D426" i="81"/>
  <c r="B427" i="81"/>
  <c r="C427" i="81"/>
  <c r="D427" i="81"/>
  <c r="D428" i="81" s="1"/>
  <c r="E427" i="81"/>
  <c r="C428" i="81"/>
  <c r="E428" i="81"/>
  <c r="E184" i="82" l="1"/>
  <c r="E35" i="82"/>
  <c r="E44" i="82"/>
  <c r="E65" i="82"/>
  <c r="E69" i="82" s="1"/>
  <c r="C183" i="82"/>
  <c r="C205" i="82"/>
  <c r="D410" i="81"/>
  <c r="D429" i="81"/>
  <c r="E410" i="81"/>
  <c r="E429" i="81"/>
  <c r="C410" i="81"/>
  <c r="C429" i="81"/>
  <c r="D424" i="81"/>
  <c r="E414" i="81"/>
  <c r="C414" i="81"/>
  <c r="D412" i="81"/>
  <c r="B40" i="80"/>
  <c r="C40" i="80"/>
  <c r="D40" i="80"/>
  <c r="D43" i="80" s="1"/>
  <c r="E40" i="80"/>
  <c r="C41" i="80"/>
  <c r="D41" i="80"/>
  <c r="E41" i="80"/>
  <c r="C42" i="80"/>
  <c r="D42" i="80"/>
  <c r="E42" i="80"/>
  <c r="C43" i="80"/>
  <c r="E43" i="80"/>
  <c r="C47" i="80"/>
  <c r="D47" i="80"/>
  <c r="D68" i="80" s="1"/>
  <c r="E47" i="80"/>
  <c r="C50" i="80"/>
  <c r="D50" i="80"/>
  <c r="E50" i="80"/>
  <c r="B53" i="80"/>
  <c r="C53" i="80"/>
  <c r="D53" i="80"/>
  <c r="E53" i="80"/>
  <c r="B65" i="80"/>
  <c r="C65" i="80"/>
  <c r="D65" i="80"/>
  <c r="E65" i="80"/>
  <c r="B68" i="80"/>
  <c r="C68" i="80"/>
  <c r="E68" i="80"/>
  <c r="B72" i="80"/>
  <c r="C72" i="80"/>
  <c r="E72" i="80"/>
  <c r="C80" i="80"/>
  <c r="D81" i="80"/>
  <c r="D82" i="80"/>
  <c r="D83" i="80"/>
  <c r="B108" i="80"/>
  <c r="C108" i="80"/>
  <c r="C136" i="80" s="1"/>
  <c r="D108" i="80"/>
  <c r="E108" i="80"/>
  <c r="E136" i="80" s="1"/>
  <c r="B122" i="80"/>
  <c r="C122" i="80"/>
  <c r="C125" i="80" s="1"/>
  <c r="D122" i="80"/>
  <c r="E122" i="80"/>
  <c r="E125" i="80" s="1"/>
  <c r="C123" i="80"/>
  <c r="D123" i="80"/>
  <c r="E123" i="80"/>
  <c r="C124" i="80"/>
  <c r="D124" i="80"/>
  <c r="E124" i="80"/>
  <c r="D125" i="80"/>
  <c r="B131" i="80"/>
  <c r="C131" i="80"/>
  <c r="D131" i="80"/>
  <c r="E131" i="80"/>
  <c r="B136" i="80"/>
  <c r="B151" i="80"/>
  <c r="C151" i="80"/>
  <c r="D151" i="80"/>
  <c r="D154" i="80" s="1"/>
  <c r="E151" i="80"/>
  <c r="C152" i="80"/>
  <c r="D152" i="80"/>
  <c r="E152" i="80"/>
  <c r="C153" i="80"/>
  <c r="D153" i="80"/>
  <c r="E153" i="80"/>
  <c r="C154" i="80"/>
  <c r="E154" i="80"/>
  <c r="D158" i="80"/>
  <c r="E158" i="80"/>
  <c r="D161" i="80"/>
  <c r="E161" i="80"/>
  <c r="B164" i="80"/>
  <c r="C164" i="80"/>
  <c r="D164" i="80"/>
  <c r="E164" i="80"/>
  <c r="B179" i="80"/>
  <c r="C179" i="80"/>
  <c r="D179" i="80"/>
  <c r="E179" i="80"/>
  <c r="B183" i="80"/>
  <c r="C183" i="80"/>
  <c r="D183" i="80"/>
  <c r="E183" i="80"/>
  <c r="B184" i="80"/>
  <c r="C184" i="80"/>
  <c r="D184" i="80"/>
  <c r="E184" i="80"/>
  <c r="B201" i="80"/>
  <c r="C201" i="80"/>
  <c r="C204" i="80" s="1"/>
  <c r="D201" i="80"/>
  <c r="E201" i="80"/>
  <c r="E204" i="80" s="1"/>
  <c r="C202" i="80"/>
  <c r="D202" i="80"/>
  <c r="E202" i="80"/>
  <c r="C203" i="80"/>
  <c r="D203" i="80"/>
  <c r="E203" i="80"/>
  <c r="D204" i="80"/>
  <c r="C216" i="80"/>
  <c r="D216" i="80"/>
  <c r="E216" i="80"/>
  <c r="B231" i="80"/>
  <c r="C231" i="80"/>
  <c r="D231" i="80"/>
  <c r="E231" i="80"/>
  <c r="B243" i="80"/>
  <c r="C243" i="80"/>
  <c r="C246" i="80" s="1"/>
  <c r="D243" i="80"/>
  <c r="E243" i="80"/>
  <c r="E246" i="80" s="1"/>
  <c r="C244" i="80"/>
  <c r="D244" i="80"/>
  <c r="E244" i="80"/>
  <c r="C245" i="80"/>
  <c r="D245" i="80"/>
  <c r="E245" i="80"/>
  <c r="D246" i="80"/>
  <c r="C258" i="80"/>
  <c r="D258" i="80"/>
  <c r="E258" i="80"/>
  <c r="B273" i="80"/>
  <c r="C273" i="80"/>
  <c r="C374" i="80" s="1"/>
  <c r="C376" i="80" s="1"/>
  <c r="D273" i="80"/>
  <c r="E273" i="80"/>
  <c r="E374" i="80" s="1"/>
  <c r="E376" i="80" s="1"/>
  <c r="C288" i="80"/>
  <c r="D288" i="80"/>
  <c r="E291" i="80" s="1"/>
  <c r="E288" i="80"/>
  <c r="D289" i="80"/>
  <c r="E289" i="80"/>
  <c r="D290" i="80"/>
  <c r="E290" i="80"/>
  <c r="D291" i="80"/>
  <c r="B297" i="80"/>
  <c r="B395" i="80" s="1"/>
  <c r="C297" i="80"/>
  <c r="D297" i="80"/>
  <c r="D395" i="80" s="1"/>
  <c r="D396" i="80" s="1"/>
  <c r="E297" i="80"/>
  <c r="C311" i="80"/>
  <c r="B320" i="80"/>
  <c r="C320" i="80"/>
  <c r="D320" i="80"/>
  <c r="E320" i="80"/>
  <c r="B324" i="80"/>
  <c r="C324" i="80"/>
  <c r="D324" i="80"/>
  <c r="E324" i="80"/>
  <c r="C334" i="80"/>
  <c r="D334" i="80"/>
  <c r="E334" i="80"/>
  <c r="B343" i="80"/>
  <c r="C343" i="80"/>
  <c r="D343" i="80"/>
  <c r="E343" i="80"/>
  <c r="B347" i="80"/>
  <c r="C347" i="80"/>
  <c r="D347" i="80"/>
  <c r="E347" i="80"/>
  <c r="D357" i="80"/>
  <c r="E357" i="80"/>
  <c r="B366" i="80"/>
  <c r="C366" i="80"/>
  <c r="D366" i="80"/>
  <c r="E366" i="80"/>
  <c r="B370" i="80"/>
  <c r="C370" i="80"/>
  <c r="D370" i="80"/>
  <c r="E370" i="80"/>
  <c r="B371" i="80"/>
  <c r="B374" i="80"/>
  <c r="D374" i="80"/>
  <c r="B376" i="80"/>
  <c r="B379" i="80"/>
  <c r="C379" i="80"/>
  <c r="C377" i="80" s="1"/>
  <c r="D379" i="80"/>
  <c r="E379" i="80"/>
  <c r="E377" i="80" s="1"/>
  <c r="D380" i="80"/>
  <c r="B381" i="80"/>
  <c r="C381" i="80"/>
  <c r="D381" i="80"/>
  <c r="D382" i="80" s="1"/>
  <c r="E381" i="80"/>
  <c r="C382" i="80"/>
  <c r="E382" i="80"/>
  <c r="B383" i="80"/>
  <c r="C383" i="80"/>
  <c r="C384" i="80" s="1"/>
  <c r="D383" i="80"/>
  <c r="E383" i="80"/>
  <c r="E384" i="80" s="1"/>
  <c r="D384" i="80"/>
  <c r="B391" i="80"/>
  <c r="C391" i="80"/>
  <c r="D391" i="80"/>
  <c r="D392" i="80" s="1"/>
  <c r="E391" i="80"/>
  <c r="C392" i="80"/>
  <c r="E392" i="80"/>
  <c r="C395" i="80"/>
  <c r="C396" i="80" s="1"/>
  <c r="E395" i="80"/>
  <c r="E36" i="82" l="1"/>
  <c r="E39" i="82" s="1"/>
  <c r="E38" i="82"/>
  <c r="E181" i="82"/>
  <c r="E182" i="82"/>
  <c r="E185" i="82"/>
  <c r="E396" i="80"/>
  <c r="E371" i="80" s="1"/>
  <c r="B377" i="80"/>
  <c r="C378" i="80"/>
  <c r="D136" i="80"/>
  <c r="D376" i="80" s="1"/>
  <c r="D72" i="80"/>
  <c r="D377" i="80"/>
  <c r="D378" i="80" s="1"/>
  <c r="E380" i="80"/>
  <c r="C380" i="80"/>
  <c r="B36" i="79"/>
  <c r="C36" i="79"/>
  <c r="D36" i="79"/>
  <c r="D39" i="79" s="1"/>
  <c r="E36" i="79"/>
  <c r="C37" i="79"/>
  <c r="D37" i="79"/>
  <c r="E37" i="79"/>
  <c r="C38" i="79"/>
  <c r="D38" i="79"/>
  <c r="E38" i="79"/>
  <c r="C39" i="79"/>
  <c r="E39" i="79"/>
  <c r="B50" i="79"/>
  <c r="C50" i="79"/>
  <c r="D50" i="79"/>
  <c r="E50" i="79"/>
  <c r="B51" i="79"/>
  <c r="C51" i="79"/>
  <c r="D51" i="79"/>
  <c r="E51" i="79"/>
  <c r="B59" i="79"/>
  <c r="C59" i="79"/>
  <c r="C62" i="79" s="1"/>
  <c r="D59" i="79"/>
  <c r="E59" i="79"/>
  <c r="E62" i="79" s="1"/>
  <c r="C60" i="79"/>
  <c r="D60" i="79"/>
  <c r="E60" i="79"/>
  <c r="C61" i="79"/>
  <c r="D61" i="79"/>
  <c r="E61" i="79"/>
  <c r="D62" i="79"/>
  <c r="B73" i="79"/>
  <c r="C73" i="79"/>
  <c r="D73" i="79"/>
  <c r="E73" i="79"/>
  <c r="B74" i="79"/>
  <c r="C74" i="79"/>
  <c r="D74" i="79"/>
  <c r="E74" i="79"/>
  <c r="B86" i="79"/>
  <c r="C86" i="79"/>
  <c r="D86" i="79"/>
  <c r="D89" i="79" s="1"/>
  <c r="E86" i="79"/>
  <c r="C87" i="79"/>
  <c r="D87" i="79"/>
  <c r="E87" i="79"/>
  <c r="C88" i="79"/>
  <c r="D88" i="79"/>
  <c r="E88" i="79"/>
  <c r="C89" i="79"/>
  <c r="E89" i="79"/>
  <c r="B95" i="79"/>
  <c r="C95" i="79"/>
  <c r="D95" i="79"/>
  <c r="E95" i="79"/>
  <c r="B108" i="79"/>
  <c r="C108" i="79"/>
  <c r="C111" i="79" s="1"/>
  <c r="D108" i="79"/>
  <c r="E108" i="79"/>
  <c r="E111" i="79" s="1"/>
  <c r="C109" i="79"/>
  <c r="D109" i="79"/>
  <c r="E109" i="79"/>
  <c r="C110" i="79"/>
  <c r="D110" i="79"/>
  <c r="E110" i="79"/>
  <c r="D111" i="79"/>
  <c r="B117" i="79"/>
  <c r="C117" i="79"/>
  <c r="D117" i="79"/>
  <c r="E117" i="79"/>
  <c r="B133" i="79"/>
  <c r="C133" i="79"/>
  <c r="D133" i="79"/>
  <c r="D136" i="79" s="1"/>
  <c r="E133" i="79"/>
  <c r="C134" i="79"/>
  <c r="D134" i="79"/>
  <c r="E134" i="79"/>
  <c r="C135" i="79"/>
  <c r="D135" i="79"/>
  <c r="E135" i="79"/>
  <c r="C136" i="79"/>
  <c r="E136" i="79"/>
  <c r="B147" i="79"/>
  <c r="C147" i="79"/>
  <c r="C224" i="79" s="1"/>
  <c r="D147" i="79"/>
  <c r="E147" i="79"/>
  <c r="E224" i="79" s="1"/>
  <c r="B148" i="79"/>
  <c r="C148" i="79"/>
  <c r="D148" i="79"/>
  <c r="E148" i="79"/>
  <c r="B156" i="79"/>
  <c r="C156" i="79"/>
  <c r="C159" i="79" s="1"/>
  <c r="D156" i="79"/>
  <c r="E156" i="79"/>
  <c r="E159" i="79" s="1"/>
  <c r="C157" i="79"/>
  <c r="D157" i="79"/>
  <c r="E157" i="79"/>
  <c r="C158" i="79"/>
  <c r="D158" i="79"/>
  <c r="E158" i="79"/>
  <c r="D159" i="79"/>
  <c r="B170" i="79"/>
  <c r="C170" i="79"/>
  <c r="D170" i="79"/>
  <c r="E170" i="79"/>
  <c r="B171" i="79"/>
  <c r="C171" i="79"/>
  <c r="D171" i="79"/>
  <c r="E171" i="79"/>
  <c r="B183" i="79"/>
  <c r="C183" i="79"/>
  <c r="D183" i="79"/>
  <c r="D186" i="79" s="1"/>
  <c r="E183" i="79"/>
  <c r="C184" i="79"/>
  <c r="D184" i="79"/>
  <c r="E184" i="79"/>
  <c r="C185" i="79"/>
  <c r="D185" i="79"/>
  <c r="E185" i="79"/>
  <c r="C186" i="79"/>
  <c r="E186" i="79"/>
  <c r="B192" i="79"/>
  <c r="C192" i="79"/>
  <c r="D192" i="79"/>
  <c r="E192" i="79"/>
  <c r="B208" i="79"/>
  <c r="C208" i="79"/>
  <c r="C211" i="79" s="1"/>
  <c r="D208" i="79"/>
  <c r="E208" i="79"/>
  <c r="E211" i="79" s="1"/>
  <c r="C209" i="79"/>
  <c r="D209" i="79"/>
  <c r="E209" i="79"/>
  <c r="C210" i="79"/>
  <c r="D210" i="79"/>
  <c r="E210" i="79"/>
  <c r="D211" i="79"/>
  <c r="B217" i="79"/>
  <c r="C217" i="79"/>
  <c r="D217" i="79"/>
  <c r="E217" i="79"/>
  <c r="B224" i="79"/>
  <c r="D224" i="79"/>
  <c r="B227" i="79"/>
  <c r="C227" i="79"/>
  <c r="C225" i="79" s="1"/>
  <c r="D227" i="79"/>
  <c r="E227" i="79"/>
  <c r="E225" i="79" s="1"/>
  <c r="D228" i="79"/>
  <c r="B229" i="79"/>
  <c r="B225" i="79" s="1"/>
  <c r="B245" i="79" s="1"/>
  <c r="C229" i="79"/>
  <c r="D229" i="79"/>
  <c r="D230" i="79" s="1"/>
  <c r="E229" i="79"/>
  <c r="C230" i="79"/>
  <c r="E230" i="79"/>
  <c r="B231" i="79"/>
  <c r="C231" i="79"/>
  <c r="C232" i="79" s="1"/>
  <c r="D231" i="79"/>
  <c r="E231" i="79"/>
  <c r="E232" i="79" s="1"/>
  <c r="D232" i="79"/>
  <c r="B233" i="79"/>
  <c r="C233" i="79"/>
  <c r="D233" i="79"/>
  <c r="D234" i="79" s="1"/>
  <c r="E233" i="79"/>
  <c r="C234" i="79"/>
  <c r="E234" i="79"/>
  <c r="B235" i="79"/>
  <c r="C235" i="79"/>
  <c r="C236" i="79" s="1"/>
  <c r="D235" i="79"/>
  <c r="E235" i="79"/>
  <c r="E236" i="79" s="1"/>
  <c r="D236" i="79"/>
  <c r="B237" i="79"/>
  <c r="C237" i="79"/>
  <c r="D237" i="79"/>
  <c r="D238" i="79" s="1"/>
  <c r="E237" i="79"/>
  <c r="C238" i="79"/>
  <c r="E238" i="79"/>
  <c r="B239" i="79"/>
  <c r="C239" i="79"/>
  <c r="C240" i="79" s="1"/>
  <c r="D239" i="79"/>
  <c r="E239" i="79"/>
  <c r="E240" i="79" s="1"/>
  <c r="D240" i="79"/>
  <c r="B241" i="79"/>
  <c r="C241" i="79"/>
  <c r="D241" i="79"/>
  <c r="D242" i="79" s="1"/>
  <c r="E241" i="79"/>
  <c r="C242" i="79"/>
  <c r="E242" i="79"/>
  <c r="B243" i="79"/>
  <c r="C243" i="79"/>
  <c r="C244" i="79" s="1"/>
  <c r="D243" i="79"/>
  <c r="E243" i="79"/>
  <c r="E244" i="79" s="1"/>
  <c r="D244" i="79"/>
  <c r="E183" i="82" l="1"/>
  <c r="E205" i="82"/>
  <c r="E378" i="80"/>
  <c r="E245" i="79"/>
  <c r="C226" i="79"/>
  <c r="C245" i="79"/>
  <c r="D225" i="79"/>
  <c r="E228" i="79"/>
  <c r="C228" i="79"/>
  <c r="E25" i="78"/>
  <c r="B39" i="78"/>
  <c r="C39" i="78"/>
  <c r="C42" i="78" s="1"/>
  <c r="D39" i="78"/>
  <c r="E39" i="78"/>
  <c r="E42" i="78" s="1"/>
  <c r="C40" i="78"/>
  <c r="D40" i="78"/>
  <c r="E40" i="78"/>
  <c r="C41" i="78"/>
  <c r="D41" i="78"/>
  <c r="E41" i="78"/>
  <c r="D42" i="78"/>
  <c r="B53" i="78"/>
  <c r="C53" i="78"/>
  <c r="D53" i="78"/>
  <c r="E53" i="78"/>
  <c r="B54" i="78"/>
  <c r="C54" i="78"/>
  <c r="D54" i="78"/>
  <c r="E54" i="78"/>
  <c r="B62" i="78"/>
  <c r="C62" i="78"/>
  <c r="D62" i="78"/>
  <c r="D65" i="78" s="1"/>
  <c r="E62" i="78"/>
  <c r="C63" i="78"/>
  <c r="D63" i="78"/>
  <c r="E63" i="78"/>
  <c r="C64" i="78"/>
  <c r="D64" i="78"/>
  <c r="E64" i="78"/>
  <c r="C65" i="78"/>
  <c r="E65" i="78"/>
  <c r="B76" i="78"/>
  <c r="C76" i="78"/>
  <c r="D76" i="78"/>
  <c r="E76" i="78"/>
  <c r="B77" i="78"/>
  <c r="C77" i="78"/>
  <c r="D77" i="78"/>
  <c r="E77" i="78"/>
  <c r="B88" i="78"/>
  <c r="C88" i="78"/>
  <c r="C91" i="78" s="1"/>
  <c r="D88" i="78"/>
  <c r="E88" i="78"/>
  <c r="E91" i="78" s="1"/>
  <c r="C89" i="78"/>
  <c r="D89" i="78"/>
  <c r="E89" i="78"/>
  <c r="C90" i="78"/>
  <c r="D90" i="78"/>
  <c r="E90" i="78"/>
  <c r="D91" i="78"/>
  <c r="B96" i="78"/>
  <c r="C96" i="78"/>
  <c r="D96" i="78"/>
  <c r="E96" i="78"/>
  <c r="B97" i="78"/>
  <c r="C97" i="78"/>
  <c r="D97" i="78"/>
  <c r="E97" i="78"/>
  <c r="B109" i="78"/>
  <c r="C109" i="78"/>
  <c r="D109" i="78"/>
  <c r="D112" i="78" s="1"/>
  <c r="E109" i="78"/>
  <c r="C110" i="78"/>
  <c r="D110" i="78"/>
  <c r="E110" i="78"/>
  <c r="C111" i="78"/>
  <c r="D111" i="78"/>
  <c r="E111" i="78"/>
  <c r="C112" i="78"/>
  <c r="E112" i="78"/>
  <c r="B117" i="78"/>
  <c r="C117" i="78"/>
  <c r="D117" i="78"/>
  <c r="E117" i="78"/>
  <c r="B118" i="78"/>
  <c r="C118" i="78"/>
  <c r="D118" i="78"/>
  <c r="E118" i="78"/>
  <c r="B127" i="78"/>
  <c r="C127" i="78"/>
  <c r="D130" i="78" s="1"/>
  <c r="D127" i="78"/>
  <c r="E127" i="78"/>
  <c r="C129" i="78"/>
  <c r="D129" i="78"/>
  <c r="E129" i="78"/>
  <c r="C130" i="78"/>
  <c r="E130" i="78"/>
  <c r="B135" i="78"/>
  <c r="C135" i="78"/>
  <c r="D135" i="78"/>
  <c r="E135" i="78"/>
  <c r="B136" i="78"/>
  <c r="C136" i="78"/>
  <c r="D136" i="78"/>
  <c r="E136" i="78"/>
  <c r="B148" i="78"/>
  <c r="C148" i="78"/>
  <c r="D151" i="78" s="1"/>
  <c r="D148" i="78"/>
  <c r="E148" i="78"/>
  <c r="C150" i="78"/>
  <c r="D150" i="78"/>
  <c r="E150" i="78"/>
  <c r="C151" i="78"/>
  <c r="E151" i="78"/>
  <c r="B156" i="78"/>
  <c r="C156" i="78"/>
  <c r="D156" i="78"/>
  <c r="E156" i="78"/>
  <c r="B157" i="78"/>
  <c r="C157" i="78"/>
  <c r="D157" i="78"/>
  <c r="E157" i="78"/>
  <c r="B169" i="78"/>
  <c r="C169" i="78"/>
  <c r="D172" i="78" s="1"/>
  <c r="D169" i="78"/>
  <c r="E169" i="78"/>
  <c r="C171" i="78"/>
  <c r="D171" i="78"/>
  <c r="E171" i="78"/>
  <c r="C172" i="78"/>
  <c r="E172" i="78"/>
  <c r="B177" i="78"/>
  <c r="C177" i="78"/>
  <c r="D177" i="78"/>
  <c r="E177" i="78"/>
  <c r="B178" i="78"/>
  <c r="C178" i="78"/>
  <c r="D178" i="78"/>
  <c r="E178" i="78"/>
  <c r="B190" i="78"/>
  <c r="C190" i="78"/>
  <c r="D193" i="78" s="1"/>
  <c r="D190" i="78"/>
  <c r="E190" i="78"/>
  <c r="C192" i="78"/>
  <c r="D192" i="78"/>
  <c r="E192" i="78"/>
  <c r="C193" i="78"/>
  <c r="E193" i="78"/>
  <c r="B198" i="78"/>
  <c r="C198" i="78"/>
  <c r="D198" i="78"/>
  <c r="E198" i="78"/>
  <c r="B199" i="78"/>
  <c r="C199" i="78"/>
  <c r="D199" i="78"/>
  <c r="E199" i="78"/>
  <c r="C208" i="78"/>
  <c r="B216" i="78"/>
  <c r="C216" i="78"/>
  <c r="D216" i="78"/>
  <c r="E216" i="78"/>
  <c r="B217" i="78"/>
  <c r="C217" i="78"/>
  <c r="D217" i="78"/>
  <c r="E217" i="78"/>
  <c r="B231" i="78"/>
  <c r="C231" i="78"/>
  <c r="D231" i="78"/>
  <c r="D234" i="78" s="1"/>
  <c r="E231" i="78"/>
  <c r="C232" i="78"/>
  <c r="D232" i="78"/>
  <c r="E232" i="78"/>
  <c r="C233" i="78"/>
  <c r="D233" i="78"/>
  <c r="E233" i="78"/>
  <c r="C234" i="78"/>
  <c r="E234" i="78"/>
  <c r="D239" i="78"/>
  <c r="E239" i="78"/>
  <c r="B240" i="78"/>
  <c r="C240" i="78"/>
  <c r="D240" i="78"/>
  <c r="E240" i="78"/>
  <c r="B249" i="78"/>
  <c r="C249" i="78"/>
  <c r="C252" i="78" s="1"/>
  <c r="D249" i="78"/>
  <c r="E249" i="78"/>
  <c r="E252" i="78" s="1"/>
  <c r="C250" i="78"/>
  <c r="D250" i="78"/>
  <c r="E250" i="78"/>
  <c r="C251" i="78"/>
  <c r="D251" i="78"/>
  <c r="E251" i="78"/>
  <c r="D252" i="78"/>
  <c r="B256" i="78"/>
  <c r="C256" i="78"/>
  <c r="D256" i="78"/>
  <c r="E256" i="78"/>
  <c r="B258" i="78"/>
  <c r="C258" i="78"/>
  <c r="D258" i="78"/>
  <c r="E258" i="78"/>
  <c r="B275" i="78"/>
  <c r="C275" i="78"/>
  <c r="D275" i="78"/>
  <c r="D278" i="78" s="1"/>
  <c r="E275" i="78"/>
  <c r="C276" i="78"/>
  <c r="D276" i="78"/>
  <c r="E276" i="78"/>
  <c r="C277" i="78"/>
  <c r="D277" i="78"/>
  <c r="E277" i="78"/>
  <c r="C278" i="78"/>
  <c r="E278" i="78"/>
  <c r="B291" i="78"/>
  <c r="C291" i="78"/>
  <c r="D291" i="78"/>
  <c r="E291" i="78"/>
  <c r="B292" i="78"/>
  <c r="C292" i="78"/>
  <c r="D292" i="78"/>
  <c r="E292" i="78"/>
  <c r="B300" i="78"/>
  <c r="C300" i="78"/>
  <c r="C303" i="78" s="1"/>
  <c r="D300" i="78"/>
  <c r="E300" i="78"/>
  <c r="E303" i="78" s="1"/>
  <c r="C301" i="78"/>
  <c r="D301" i="78"/>
  <c r="E301" i="78"/>
  <c r="C302" i="78"/>
  <c r="D302" i="78"/>
  <c r="E302" i="78"/>
  <c r="D303" i="78"/>
  <c r="B314" i="78"/>
  <c r="C314" i="78"/>
  <c r="D314" i="78"/>
  <c r="E314" i="78"/>
  <c r="B315" i="78"/>
  <c r="C315" i="78"/>
  <c r="D315" i="78"/>
  <c r="E315" i="78"/>
  <c r="B326" i="78"/>
  <c r="C326" i="78"/>
  <c r="D326" i="78"/>
  <c r="D329" i="78" s="1"/>
  <c r="E326" i="78"/>
  <c r="C327" i="78"/>
  <c r="D327" i="78"/>
  <c r="E327" i="78"/>
  <c r="C328" i="78"/>
  <c r="D328" i="78"/>
  <c r="E328" i="78"/>
  <c r="C329" i="78"/>
  <c r="E329" i="78"/>
  <c r="B334" i="78"/>
  <c r="C334" i="78"/>
  <c r="D334" i="78"/>
  <c r="E334" i="78"/>
  <c r="B335" i="78"/>
  <c r="C335" i="78"/>
  <c r="D335" i="78"/>
  <c r="E335" i="78"/>
  <c r="B344" i="78"/>
  <c r="C344" i="78"/>
  <c r="C347" i="78" s="1"/>
  <c r="D344" i="78"/>
  <c r="E344" i="78"/>
  <c r="E347" i="78" s="1"/>
  <c r="C345" i="78"/>
  <c r="D345" i="78"/>
  <c r="E345" i="78"/>
  <c r="C346" i="78"/>
  <c r="D346" i="78"/>
  <c r="E346" i="78"/>
  <c r="D347" i="78"/>
  <c r="B353" i="78"/>
  <c r="C353" i="78"/>
  <c r="D353" i="78"/>
  <c r="E353" i="78"/>
  <c r="B364" i="78"/>
  <c r="C364" i="78"/>
  <c r="D364" i="78"/>
  <c r="D367" i="78" s="1"/>
  <c r="E364" i="78"/>
  <c r="C365" i="78"/>
  <c r="D365" i="78"/>
  <c r="E365" i="78"/>
  <c r="C366" i="78"/>
  <c r="D366" i="78"/>
  <c r="E366" i="78"/>
  <c r="C367" i="78"/>
  <c r="E367" i="78"/>
  <c r="B373" i="78"/>
  <c r="C373" i="78"/>
  <c r="D373" i="78"/>
  <c r="E373" i="78"/>
  <c r="B382" i="78"/>
  <c r="C382" i="78"/>
  <c r="C385" i="78" s="1"/>
  <c r="D382" i="78"/>
  <c r="E382" i="78"/>
  <c r="E385" i="78" s="1"/>
  <c r="C383" i="78"/>
  <c r="D383" i="78"/>
  <c r="E383" i="78"/>
  <c r="C384" i="78"/>
  <c r="D384" i="78"/>
  <c r="E384" i="78"/>
  <c r="D385" i="78"/>
  <c r="B391" i="78"/>
  <c r="C391" i="78"/>
  <c r="D391" i="78"/>
  <c r="E391" i="78"/>
  <c r="B393" i="78"/>
  <c r="C393" i="78"/>
  <c r="D393" i="78"/>
  <c r="E393" i="78"/>
  <c r="B396" i="78"/>
  <c r="C396" i="78"/>
  <c r="C394" i="78" s="1"/>
  <c r="D396" i="78"/>
  <c r="E396" i="78"/>
  <c r="E394" i="78" s="1"/>
  <c r="D397" i="78"/>
  <c r="B398" i="78"/>
  <c r="B394" i="78" s="1"/>
  <c r="B414" i="78" s="1"/>
  <c r="C398" i="78"/>
  <c r="D398" i="78"/>
  <c r="D394" i="78" s="1"/>
  <c r="E398" i="78"/>
  <c r="C399" i="78"/>
  <c r="E399" i="78"/>
  <c r="B400" i="78"/>
  <c r="C400" i="78"/>
  <c r="C401" i="78" s="1"/>
  <c r="D400" i="78"/>
  <c r="E400" i="78"/>
  <c r="E401" i="78" s="1"/>
  <c r="D401" i="78"/>
  <c r="B402" i="78"/>
  <c r="C402" i="78"/>
  <c r="D402" i="78"/>
  <c r="D403" i="78" s="1"/>
  <c r="E402" i="78"/>
  <c r="C403" i="78"/>
  <c r="E403" i="78"/>
  <c r="B404" i="78"/>
  <c r="C404" i="78"/>
  <c r="C405" i="78" s="1"/>
  <c r="D404" i="78"/>
  <c r="E404" i="78"/>
  <c r="E405" i="78" s="1"/>
  <c r="D405" i="78"/>
  <c r="B406" i="78"/>
  <c r="C406" i="78"/>
  <c r="D406" i="78"/>
  <c r="D407" i="78" s="1"/>
  <c r="E406" i="78"/>
  <c r="C407" i="78"/>
  <c r="E407" i="78"/>
  <c r="B408" i="78"/>
  <c r="C408" i="78"/>
  <c r="C409" i="78" s="1"/>
  <c r="D408" i="78"/>
  <c r="E408" i="78"/>
  <c r="E409" i="78" s="1"/>
  <c r="D409" i="78"/>
  <c r="B410" i="78"/>
  <c r="C410" i="78"/>
  <c r="D410" i="78"/>
  <c r="D411" i="78" s="1"/>
  <c r="E410" i="78"/>
  <c r="C411" i="78"/>
  <c r="E411" i="78"/>
  <c r="B412" i="78"/>
  <c r="C412" i="78"/>
  <c r="C413" i="78" s="1"/>
  <c r="D412" i="78"/>
  <c r="E412" i="78"/>
  <c r="E413" i="78" s="1"/>
  <c r="D413" i="78"/>
  <c r="D245" i="79" l="1"/>
  <c r="D226" i="79"/>
  <c r="E226" i="79"/>
  <c r="D395" i="78"/>
  <c r="D414" i="78"/>
  <c r="E395" i="78"/>
  <c r="E414" i="78"/>
  <c r="C395" i="78"/>
  <c r="C414" i="78"/>
  <c r="D399" i="78"/>
  <c r="E397" i="78"/>
  <c r="C397" i="78"/>
  <c r="B12" i="77"/>
  <c r="B39" i="77"/>
  <c r="C39" i="77"/>
  <c r="C42" i="77" s="1"/>
  <c r="D39" i="77"/>
  <c r="E39" i="77"/>
  <c r="E42" i="77" s="1"/>
  <c r="C40" i="77"/>
  <c r="D40" i="77"/>
  <c r="E40" i="77"/>
  <c r="C41" i="77"/>
  <c r="D41" i="77"/>
  <c r="E41" i="77"/>
  <c r="D42" i="77"/>
  <c r="B53" i="77"/>
  <c r="C53" i="77"/>
  <c r="D53" i="77"/>
  <c r="E53" i="77"/>
  <c r="B54" i="77"/>
  <c r="C54" i="77"/>
  <c r="D54" i="77"/>
  <c r="E54" i="77"/>
  <c r="B63" i="77"/>
  <c r="C63" i="77"/>
  <c r="D63" i="77"/>
  <c r="D66" i="77" s="1"/>
  <c r="E63" i="77"/>
  <c r="C64" i="77"/>
  <c r="D64" i="77"/>
  <c r="E64" i="77"/>
  <c r="C65" i="77"/>
  <c r="D65" i="77"/>
  <c r="E65" i="77"/>
  <c r="C66" i="77"/>
  <c r="E66" i="77"/>
  <c r="B77" i="77"/>
  <c r="C77" i="77"/>
  <c r="D77" i="77"/>
  <c r="E77" i="77"/>
  <c r="B78" i="77"/>
  <c r="C78" i="77"/>
  <c r="D78" i="77"/>
  <c r="E78" i="77"/>
  <c r="B90" i="77"/>
  <c r="C90" i="77"/>
  <c r="C93" i="77" s="1"/>
  <c r="D90" i="77"/>
  <c r="E90" i="77"/>
  <c r="E93" i="77" s="1"/>
  <c r="C91" i="77"/>
  <c r="D91" i="77"/>
  <c r="E91" i="77"/>
  <c r="C92" i="77"/>
  <c r="D92" i="77"/>
  <c r="E92" i="77"/>
  <c r="D93" i="77"/>
  <c r="B99" i="77"/>
  <c r="C99" i="77"/>
  <c r="D99" i="77"/>
  <c r="E99" i="77"/>
  <c r="B112" i="77"/>
  <c r="C112" i="77"/>
  <c r="D112" i="77"/>
  <c r="D115" i="77" s="1"/>
  <c r="E112" i="77"/>
  <c r="C113" i="77"/>
  <c r="D113" i="77"/>
  <c r="E113" i="77"/>
  <c r="C114" i="77"/>
  <c r="D114" i="77"/>
  <c r="E114" i="77"/>
  <c r="C115" i="77"/>
  <c r="E115" i="77"/>
  <c r="B121" i="77"/>
  <c r="C121" i="77"/>
  <c r="D121" i="77"/>
  <c r="E121" i="77"/>
  <c r="B139" i="77"/>
  <c r="C139" i="77"/>
  <c r="C142" i="77" s="1"/>
  <c r="D139" i="77"/>
  <c r="E139" i="77"/>
  <c r="E142" i="77" s="1"/>
  <c r="C140" i="77"/>
  <c r="D140" i="77"/>
  <c r="E140" i="77"/>
  <c r="C141" i="77"/>
  <c r="D141" i="77"/>
  <c r="E141" i="77"/>
  <c r="D142" i="77"/>
  <c r="B155" i="77"/>
  <c r="C155" i="77"/>
  <c r="D155" i="77"/>
  <c r="E155" i="77"/>
  <c r="B156" i="77"/>
  <c r="C156" i="77"/>
  <c r="D156" i="77"/>
  <c r="E156" i="77"/>
  <c r="B168" i="77"/>
  <c r="C168" i="77"/>
  <c r="D168" i="77"/>
  <c r="D171" i="77" s="1"/>
  <c r="E168" i="77"/>
  <c r="C169" i="77"/>
  <c r="D169" i="77"/>
  <c r="E169" i="77"/>
  <c r="C170" i="77"/>
  <c r="D170" i="77"/>
  <c r="E170" i="77"/>
  <c r="C171" i="77"/>
  <c r="E171" i="77"/>
  <c r="B177" i="77"/>
  <c r="C177" i="77"/>
  <c r="D177" i="77"/>
  <c r="E177" i="77"/>
  <c r="B193" i="77"/>
  <c r="C193" i="77"/>
  <c r="C196" i="77" s="1"/>
  <c r="D193" i="77"/>
  <c r="E193" i="77"/>
  <c r="E196" i="77" s="1"/>
  <c r="C194" i="77"/>
  <c r="D194" i="77"/>
  <c r="E194" i="77"/>
  <c r="C195" i="77"/>
  <c r="D195" i="77"/>
  <c r="E195" i="77"/>
  <c r="D196" i="77"/>
  <c r="B207" i="77"/>
  <c r="C207" i="77"/>
  <c r="D207" i="77"/>
  <c r="E207" i="77"/>
  <c r="B208" i="77"/>
  <c r="C208" i="77"/>
  <c r="D208" i="77"/>
  <c r="E208" i="77"/>
  <c r="B217" i="77"/>
  <c r="C217" i="77"/>
  <c r="D217" i="77"/>
  <c r="D220" i="77" s="1"/>
  <c r="E217" i="77"/>
  <c r="C218" i="77"/>
  <c r="D218" i="77"/>
  <c r="E218" i="77"/>
  <c r="C219" i="77"/>
  <c r="D219" i="77"/>
  <c r="E219" i="77"/>
  <c r="C220" i="77"/>
  <c r="E220" i="77"/>
  <c r="B231" i="77"/>
  <c r="C231" i="77"/>
  <c r="D231" i="77"/>
  <c r="E231" i="77"/>
  <c r="B232" i="77"/>
  <c r="C232" i="77"/>
  <c r="D232" i="77"/>
  <c r="E232" i="77"/>
  <c r="B244" i="77"/>
  <c r="C244" i="77"/>
  <c r="C247" i="77" s="1"/>
  <c r="D244" i="77"/>
  <c r="E244" i="77"/>
  <c r="E247" i="77" s="1"/>
  <c r="C245" i="77"/>
  <c r="D245" i="77"/>
  <c r="E245" i="77"/>
  <c r="C246" i="77"/>
  <c r="D246" i="77"/>
  <c r="E246" i="77"/>
  <c r="D247" i="77"/>
  <c r="B253" i="77"/>
  <c r="C253" i="77"/>
  <c r="D253" i="77"/>
  <c r="E253" i="77"/>
  <c r="B266" i="77"/>
  <c r="C266" i="77"/>
  <c r="D266" i="77"/>
  <c r="D269" i="77" s="1"/>
  <c r="E266" i="77"/>
  <c r="C267" i="77"/>
  <c r="D267" i="77"/>
  <c r="E267" i="77"/>
  <c r="C268" i="77"/>
  <c r="D268" i="77"/>
  <c r="E268" i="77"/>
  <c r="C269" i="77"/>
  <c r="E269" i="77"/>
  <c r="B275" i="77"/>
  <c r="C275" i="77"/>
  <c r="D275" i="77"/>
  <c r="E275" i="77"/>
  <c r="B293" i="77"/>
  <c r="C293" i="77"/>
  <c r="C296" i="77" s="1"/>
  <c r="D293" i="77"/>
  <c r="E293" i="77"/>
  <c r="E296" i="77" s="1"/>
  <c r="C294" i="77"/>
  <c r="D294" i="77"/>
  <c r="E294" i="77"/>
  <c r="C295" i="77"/>
  <c r="D295" i="77"/>
  <c r="E295" i="77"/>
  <c r="D296" i="77"/>
  <c r="B309" i="77"/>
  <c r="C309" i="77"/>
  <c r="D309" i="77"/>
  <c r="E309" i="77"/>
  <c r="B310" i="77"/>
  <c r="C310" i="77"/>
  <c r="D310" i="77"/>
  <c r="E310" i="77"/>
  <c r="B322" i="77"/>
  <c r="C322" i="77"/>
  <c r="D322" i="77"/>
  <c r="D325" i="77" s="1"/>
  <c r="E322" i="77"/>
  <c r="C323" i="77"/>
  <c r="D323" i="77"/>
  <c r="E323" i="77"/>
  <c r="C324" i="77"/>
  <c r="D324" i="77"/>
  <c r="E324" i="77"/>
  <c r="C325" i="77"/>
  <c r="E325" i="77"/>
  <c r="B331" i="77"/>
  <c r="C331" i="77"/>
  <c r="D331" i="77"/>
  <c r="E331" i="77"/>
  <c r="B347" i="77"/>
  <c r="C347" i="77"/>
  <c r="C350" i="77" s="1"/>
  <c r="D347" i="77"/>
  <c r="E347" i="77"/>
  <c r="E350" i="77" s="1"/>
  <c r="C348" i="77"/>
  <c r="D348" i="77"/>
  <c r="E348" i="77"/>
  <c r="C349" i="77"/>
  <c r="D349" i="77"/>
  <c r="E349" i="77"/>
  <c r="D350" i="77"/>
  <c r="B361" i="77"/>
  <c r="C361" i="77"/>
  <c r="D361" i="77"/>
  <c r="E361" i="77"/>
  <c r="B362" i="77"/>
  <c r="C362" i="77"/>
  <c r="D362" i="77"/>
  <c r="E362" i="77"/>
  <c r="B371" i="77"/>
  <c r="C371" i="77"/>
  <c r="D371" i="77"/>
  <c r="D374" i="77" s="1"/>
  <c r="E371" i="77"/>
  <c r="C372" i="77"/>
  <c r="D372" i="77"/>
  <c r="E372" i="77"/>
  <c r="C373" i="77"/>
  <c r="D373" i="77"/>
  <c r="E373" i="77"/>
  <c r="C374" i="77"/>
  <c r="E374" i="77"/>
  <c r="B385" i="77"/>
  <c r="C385" i="77"/>
  <c r="D385" i="77"/>
  <c r="E385" i="77"/>
  <c r="B386" i="77"/>
  <c r="C386" i="77"/>
  <c r="D386" i="77"/>
  <c r="E386" i="77"/>
  <c r="B398" i="77"/>
  <c r="C398" i="77"/>
  <c r="C401" i="77" s="1"/>
  <c r="D398" i="77"/>
  <c r="E398" i="77"/>
  <c r="E401" i="77" s="1"/>
  <c r="C399" i="77"/>
  <c r="D399" i="77"/>
  <c r="E399" i="77"/>
  <c r="C400" i="77"/>
  <c r="D400" i="77"/>
  <c r="E400" i="77"/>
  <c r="D401" i="77"/>
  <c r="B407" i="77"/>
  <c r="C407" i="77"/>
  <c r="D407" i="77"/>
  <c r="E407" i="77"/>
  <c r="B429" i="77"/>
  <c r="C429" i="77"/>
  <c r="D429" i="77"/>
  <c r="D432" i="77" s="1"/>
  <c r="E429" i="77"/>
  <c r="C430" i="77"/>
  <c r="D430" i="77"/>
  <c r="E430" i="77"/>
  <c r="C431" i="77"/>
  <c r="D431" i="77"/>
  <c r="E431" i="77"/>
  <c r="C432" i="77"/>
  <c r="E432" i="77"/>
  <c r="B445" i="77"/>
  <c r="C445" i="77"/>
  <c r="D445" i="77"/>
  <c r="E445" i="77"/>
  <c r="B446" i="77"/>
  <c r="C446" i="77"/>
  <c r="D446" i="77"/>
  <c r="E446" i="77"/>
  <c r="B458" i="77"/>
  <c r="C458" i="77"/>
  <c r="C461" i="77" s="1"/>
  <c r="D458" i="77"/>
  <c r="E458" i="77"/>
  <c r="E461" i="77" s="1"/>
  <c r="C459" i="77"/>
  <c r="D459" i="77"/>
  <c r="E459" i="77"/>
  <c r="C460" i="77"/>
  <c r="D460" i="77"/>
  <c r="E460" i="77"/>
  <c r="D461" i="77"/>
  <c r="B467" i="77"/>
  <c r="C467" i="77"/>
  <c r="D467" i="77"/>
  <c r="E467" i="77"/>
  <c r="B480" i="77"/>
  <c r="C483" i="77" s="1"/>
  <c r="C481" i="77"/>
  <c r="D481" i="77"/>
  <c r="E481" i="77"/>
  <c r="C482" i="77"/>
  <c r="D482" i="77"/>
  <c r="E482" i="77"/>
  <c r="D483" i="77"/>
  <c r="E483" i="77"/>
  <c r="B489" i="77"/>
  <c r="C489" i="77"/>
  <c r="D489" i="77"/>
  <c r="E489" i="77"/>
  <c r="B493" i="77"/>
  <c r="C493" i="77"/>
  <c r="D493" i="77"/>
  <c r="E493" i="77"/>
  <c r="B496" i="77"/>
  <c r="C496" i="77"/>
  <c r="C494" i="77" s="1"/>
  <c r="D496" i="77"/>
  <c r="E496" i="77"/>
  <c r="E494" i="77" s="1"/>
  <c r="D497" i="77"/>
  <c r="B498" i="77"/>
  <c r="B494" i="77" s="1"/>
  <c r="B514" i="77" s="1"/>
  <c r="C498" i="77"/>
  <c r="D498" i="77"/>
  <c r="D494" i="77" s="1"/>
  <c r="E498" i="77"/>
  <c r="C499" i="77"/>
  <c r="E499" i="77"/>
  <c r="B500" i="77"/>
  <c r="C500" i="77"/>
  <c r="C501" i="77" s="1"/>
  <c r="D500" i="77"/>
  <c r="E500" i="77"/>
  <c r="E501" i="77" s="1"/>
  <c r="D501" i="77"/>
  <c r="B502" i="77"/>
  <c r="C502" i="77"/>
  <c r="D502" i="77"/>
  <c r="E502" i="77"/>
  <c r="B504" i="77"/>
  <c r="C504" i="77"/>
  <c r="D504" i="77"/>
  <c r="D505" i="77" s="1"/>
  <c r="E504" i="77"/>
  <c r="C505" i="77"/>
  <c r="E505" i="77"/>
  <c r="B506" i="77"/>
  <c r="C506" i="77"/>
  <c r="C507" i="77" s="1"/>
  <c r="D506" i="77"/>
  <c r="E506" i="77"/>
  <c r="E507" i="77" s="1"/>
  <c r="D507" i="77"/>
  <c r="B508" i="77"/>
  <c r="C508" i="77"/>
  <c r="D508" i="77"/>
  <c r="D509" i="77" s="1"/>
  <c r="E508" i="77"/>
  <c r="C509" i="77"/>
  <c r="E509" i="77"/>
  <c r="B510" i="77"/>
  <c r="C510" i="77"/>
  <c r="D510" i="77"/>
  <c r="E510" i="77"/>
  <c r="B512" i="77"/>
  <c r="C512" i="77"/>
  <c r="C513" i="77" s="1"/>
  <c r="D512" i="77"/>
  <c r="E512" i="77"/>
  <c r="E513" i="77" s="1"/>
  <c r="D513" i="77"/>
  <c r="D495" i="77" l="1"/>
  <c r="D514" i="77"/>
  <c r="E495" i="77"/>
  <c r="E514" i="77"/>
  <c r="C495" i="77"/>
  <c r="C514" i="77"/>
  <c r="D499" i="77"/>
  <c r="E497" i="77"/>
  <c r="C497" i="77"/>
  <c r="B39" i="76"/>
  <c r="D39" i="76"/>
  <c r="B40" i="76"/>
  <c r="D40" i="76"/>
  <c r="C41" i="76"/>
  <c r="D41" i="76"/>
  <c r="E41" i="76"/>
  <c r="B68" i="76"/>
  <c r="C68" i="76"/>
  <c r="C39" i="76" s="1"/>
  <c r="D68" i="76"/>
  <c r="E68" i="76"/>
  <c r="E39" i="76" s="1"/>
  <c r="D72" i="76"/>
  <c r="C84" i="76"/>
  <c r="D84" i="76"/>
  <c r="E84" i="76"/>
  <c r="C85" i="76"/>
  <c r="D85" i="76"/>
  <c r="E85" i="76"/>
  <c r="C86" i="76"/>
  <c r="D86" i="76"/>
  <c r="E86" i="76"/>
  <c r="B92" i="76"/>
  <c r="C92" i="76"/>
  <c r="D92" i="76"/>
  <c r="E92" i="76"/>
  <c r="B104" i="76"/>
  <c r="C104" i="76"/>
  <c r="C107" i="76" s="1"/>
  <c r="D104" i="76"/>
  <c r="E104" i="76"/>
  <c r="E107" i="76" s="1"/>
  <c r="C105" i="76"/>
  <c r="D105" i="76"/>
  <c r="E105" i="76"/>
  <c r="C106" i="76"/>
  <c r="D106" i="76"/>
  <c r="E106" i="76"/>
  <c r="D107" i="76"/>
  <c r="B113" i="76"/>
  <c r="E113" i="76"/>
  <c r="B127" i="76"/>
  <c r="C127" i="76"/>
  <c r="D127" i="76"/>
  <c r="D130" i="76" s="1"/>
  <c r="E127" i="76"/>
  <c r="C128" i="76"/>
  <c r="D128" i="76"/>
  <c r="E128" i="76"/>
  <c r="C129" i="76"/>
  <c r="D129" i="76"/>
  <c r="E129" i="76"/>
  <c r="C130" i="76"/>
  <c r="E130" i="76"/>
  <c r="B136" i="76"/>
  <c r="C136" i="76"/>
  <c r="D136" i="76"/>
  <c r="E136" i="76"/>
  <c r="B148" i="76"/>
  <c r="C149" i="76"/>
  <c r="D149" i="76"/>
  <c r="E149" i="76"/>
  <c r="C150" i="76"/>
  <c r="D150" i="76"/>
  <c r="E150" i="76"/>
  <c r="C151" i="76"/>
  <c r="D151" i="76"/>
  <c r="E151" i="76"/>
  <c r="B157" i="76"/>
  <c r="B169" i="76"/>
  <c r="C169" i="76"/>
  <c r="D169" i="76"/>
  <c r="D172" i="76" s="1"/>
  <c r="E169" i="76"/>
  <c r="C170" i="76"/>
  <c r="D170" i="76"/>
  <c r="E170" i="76"/>
  <c r="C171" i="76"/>
  <c r="D171" i="76"/>
  <c r="E171" i="76"/>
  <c r="C172" i="76"/>
  <c r="E172" i="76"/>
  <c r="B178" i="76"/>
  <c r="C178" i="76"/>
  <c r="D178" i="76"/>
  <c r="E178" i="76"/>
  <c r="B182" i="76"/>
  <c r="D182" i="76"/>
  <c r="B185" i="76"/>
  <c r="B183" i="76" s="1"/>
  <c r="B206" i="76" s="1"/>
  <c r="C185" i="76"/>
  <c r="D185" i="76"/>
  <c r="D183" i="76" s="1"/>
  <c r="E185" i="76"/>
  <c r="C186" i="76"/>
  <c r="E186" i="76"/>
  <c r="B187" i="76"/>
  <c r="C187" i="76"/>
  <c r="C183" i="76" s="1"/>
  <c r="D187" i="76"/>
  <c r="E187" i="76"/>
  <c r="E188" i="76" s="1"/>
  <c r="D188" i="76"/>
  <c r="B189" i="76"/>
  <c r="C189" i="76"/>
  <c r="D189" i="76"/>
  <c r="D190" i="76" s="1"/>
  <c r="E189" i="76"/>
  <c r="C190" i="76"/>
  <c r="E190" i="76"/>
  <c r="B191" i="76"/>
  <c r="C191" i="76"/>
  <c r="C192" i="76" s="1"/>
  <c r="D191" i="76"/>
  <c r="E191" i="76"/>
  <c r="E192" i="76" s="1"/>
  <c r="D192" i="76"/>
  <c r="B193" i="76"/>
  <c r="C193" i="76"/>
  <c r="D193" i="76"/>
  <c r="D194" i="76" s="1"/>
  <c r="E193" i="76"/>
  <c r="C194" i="76"/>
  <c r="E194" i="76"/>
  <c r="B195" i="76"/>
  <c r="C195" i="76"/>
  <c r="C196" i="76" s="1"/>
  <c r="D195" i="76"/>
  <c r="E195" i="76"/>
  <c r="E196" i="76" s="1"/>
  <c r="D196" i="76"/>
  <c r="B197" i="76"/>
  <c r="C197" i="76"/>
  <c r="D197" i="76"/>
  <c r="D198" i="76" s="1"/>
  <c r="E197" i="76"/>
  <c r="C198" i="76"/>
  <c r="E198" i="76"/>
  <c r="B199" i="76"/>
  <c r="C199" i="76"/>
  <c r="C200" i="76" s="1"/>
  <c r="D199" i="76"/>
  <c r="E199" i="76"/>
  <c r="E200" i="76" s="1"/>
  <c r="D200" i="76"/>
  <c r="B201" i="76"/>
  <c r="C201" i="76"/>
  <c r="D201" i="76"/>
  <c r="D202" i="76" s="1"/>
  <c r="E201" i="76"/>
  <c r="C202" i="76"/>
  <c r="C206" i="76" l="1"/>
  <c r="C184" i="76"/>
  <c r="E40" i="76"/>
  <c r="E43" i="76" s="1"/>
  <c r="E42" i="76"/>
  <c r="E182" i="76"/>
  <c r="D42" i="76"/>
  <c r="C182" i="76"/>
  <c r="C40" i="76"/>
  <c r="C43" i="76" s="1"/>
  <c r="C42" i="76"/>
  <c r="D206" i="76"/>
  <c r="D184" i="76"/>
  <c r="D43" i="76"/>
  <c r="E202" i="76"/>
  <c r="E183" i="76"/>
  <c r="C188" i="76"/>
  <c r="D186" i="76"/>
  <c r="E72" i="76"/>
  <c r="C72" i="76"/>
  <c r="B38" i="74"/>
  <c r="C38" i="74"/>
  <c r="D38" i="74"/>
  <c r="D41" i="74" s="1"/>
  <c r="E38" i="74"/>
  <c r="C39" i="74"/>
  <c r="D39" i="74"/>
  <c r="E39" i="74"/>
  <c r="C40" i="74"/>
  <c r="D40" i="74"/>
  <c r="E40" i="74"/>
  <c r="C41" i="74"/>
  <c r="E41" i="74"/>
  <c r="B52" i="74"/>
  <c r="C52" i="74"/>
  <c r="D52" i="74"/>
  <c r="E52" i="74"/>
  <c r="B53" i="74"/>
  <c r="C53" i="74"/>
  <c r="D53" i="74"/>
  <c r="E53" i="74"/>
  <c r="B61" i="74"/>
  <c r="C61" i="74"/>
  <c r="C64" i="74" s="1"/>
  <c r="D61" i="74"/>
  <c r="E61" i="74"/>
  <c r="E64" i="74" s="1"/>
  <c r="C62" i="74"/>
  <c r="D62" i="74"/>
  <c r="E62" i="74"/>
  <c r="C63" i="74"/>
  <c r="D63" i="74"/>
  <c r="E63" i="74"/>
  <c r="D64" i="74"/>
  <c r="B75" i="74"/>
  <c r="C75" i="74"/>
  <c r="D75" i="74"/>
  <c r="E75" i="74"/>
  <c r="B76" i="74"/>
  <c r="C76" i="74"/>
  <c r="D76" i="74"/>
  <c r="E76" i="74"/>
  <c r="B84" i="74"/>
  <c r="C84" i="74"/>
  <c r="D84" i="74"/>
  <c r="D87" i="74" s="1"/>
  <c r="E84" i="74"/>
  <c r="C85" i="74"/>
  <c r="D85" i="74"/>
  <c r="E85" i="74"/>
  <c r="C86" i="74"/>
  <c r="D86" i="74"/>
  <c r="E86" i="74"/>
  <c r="C87" i="74"/>
  <c r="E87" i="74"/>
  <c r="B98" i="74"/>
  <c r="C98" i="74"/>
  <c r="D98" i="74"/>
  <c r="E98" i="74"/>
  <c r="B99" i="74"/>
  <c r="C99" i="74"/>
  <c r="D99" i="74"/>
  <c r="E99" i="74"/>
  <c r="B111" i="74"/>
  <c r="C111" i="74"/>
  <c r="C114" i="74" s="1"/>
  <c r="D111" i="74"/>
  <c r="E111" i="74"/>
  <c r="E114" i="74" s="1"/>
  <c r="C112" i="74"/>
  <c r="D112" i="74"/>
  <c r="E112" i="74"/>
  <c r="C113" i="74"/>
  <c r="D113" i="74"/>
  <c r="E113" i="74"/>
  <c r="D114" i="74"/>
  <c r="B120" i="74"/>
  <c r="C120" i="74"/>
  <c r="D120" i="74"/>
  <c r="E120" i="74"/>
  <c r="B132" i="74"/>
  <c r="C132" i="74"/>
  <c r="D132" i="74"/>
  <c r="E132" i="74"/>
  <c r="B141" i="74"/>
  <c r="C141" i="74"/>
  <c r="D141" i="74"/>
  <c r="E141" i="74"/>
  <c r="B152" i="74"/>
  <c r="C152" i="74"/>
  <c r="D152" i="74"/>
  <c r="D155" i="74" s="1"/>
  <c r="E152" i="74"/>
  <c r="C153" i="74"/>
  <c r="D153" i="74"/>
  <c r="E153" i="74"/>
  <c r="C154" i="74"/>
  <c r="D154" i="74"/>
  <c r="E154" i="74"/>
  <c r="C155" i="74"/>
  <c r="E155" i="74"/>
  <c r="B161" i="74"/>
  <c r="C161" i="74"/>
  <c r="D161" i="74"/>
  <c r="E161" i="74"/>
  <c r="B170" i="74"/>
  <c r="C170" i="74"/>
  <c r="C173" i="74" s="1"/>
  <c r="D170" i="74"/>
  <c r="E170" i="74"/>
  <c r="E173" i="74" s="1"/>
  <c r="C171" i="74"/>
  <c r="D171" i="74"/>
  <c r="E171" i="74"/>
  <c r="C172" i="74"/>
  <c r="D172" i="74"/>
  <c r="E172" i="74"/>
  <c r="D173" i="74"/>
  <c r="B179" i="74"/>
  <c r="C179" i="74"/>
  <c r="D179" i="74"/>
  <c r="E179" i="74"/>
  <c r="B195" i="74"/>
  <c r="C195" i="74"/>
  <c r="D195" i="74"/>
  <c r="D198" i="74" s="1"/>
  <c r="E195" i="74"/>
  <c r="C196" i="74"/>
  <c r="D196" i="74"/>
  <c r="E196" i="74"/>
  <c r="C197" i="74"/>
  <c r="D197" i="74"/>
  <c r="E197" i="74"/>
  <c r="C198" i="74"/>
  <c r="E198" i="74"/>
  <c r="B211" i="74"/>
  <c r="C211" i="74"/>
  <c r="D211" i="74"/>
  <c r="E211" i="74"/>
  <c r="B212" i="74"/>
  <c r="C212" i="74"/>
  <c r="D212" i="74"/>
  <c r="E212" i="74"/>
  <c r="B223" i="74"/>
  <c r="C223" i="74"/>
  <c r="D223" i="74"/>
  <c r="E223" i="74"/>
  <c r="B232" i="74"/>
  <c r="C232" i="74"/>
  <c r="D232" i="74"/>
  <c r="E232" i="74"/>
  <c r="B247" i="74"/>
  <c r="C247" i="74"/>
  <c r="C250" i="74" s="1"/>
  <c r="D247" i="74"/>
  <c r="E247" i="74"/>
  <c r="E250" i="74" s="1"/>
  <c r="C248" i="74"/>
  <c r="D248" i="74"/>
  <c r="E248" i="74"/>
  <c r="C249" i="74"/>
  <c r="D249" i="74"/>
  <c r="E249" i="74"/>
  <c r="D250" i="74"/>
  <c r="B261" i="74"/>
  <c r="C261" i="74"/>
  <c r="D261" i="74"/>
  <c r="E261" i="74"/>
  <c r="B262" i="74"/>
  <c r="C262" i="74"/>
  <c r="D262" i="74"/>
  <c r="E262" i="74"/>
  <c r="B270" i="74"/>
  <c r="C270" i="74"/>
  <c r="D270" i="74"/>
  <c r="D273" i="74" s="1"/>
  <c r="E270" i="74"/>
  <c r="C271" i="74"/>
  <c r="D271" i="74"/>
  <c r="E271" i="74"/>
  <c r="C272" i="74"/>
  <c r="D272" i="74"/>
  <c r="E272" i="74"/>
  <c r="C273" i="74"/>
  <c r="E273" i="74"/>
  <c r="B284" i="74"/>
  <c r="C284" i="74"/>
  <c r="D284" i="74"/>
  <c r="E284" i="74"/>
  <c r="B285" i="74"/>
  <c r="C285" i="74"/>
  <c r="D285" i="74"/>
  <c r="E285" i="74"/>
  <c r="B297" i="74"/>
  <c r="B305" i="74"/>
  <c r="B306" i="74" s="1"/>
  <c r="C306" i="74"/>
  <c r="D306" i="74"/>
  <c r="E306" i="74"/>
  <c r="B318" i="74"/>
  <c r="C318" i="74"/>
  <c r="C321" i="74" s="1"/>
  <c r="D318" i="74"/>
  <c r="E318" i="74"/>
  <c r="E321" i="74" s="1"/>
  <c r="C319" i="74"/>
  <c r="D319" i="74"/>
  <c r="E319" i="74"/>
  <c r="C320" i="74"/>
  <c r="D320" i="74"/>
  <c r="E320" i="74"/>
  <c r="D321" i="74"/>
  <c r="B327" i="74"/>
  <c r="C327" i="74"/>
  <c r="D327" i="74"/>
  <c r="E327" i="74"/>
  <c r="B341" i="74"/>
  <c r="B357" i="74" s="1"/>
  <c r="B372" i="74" s="1"/>
  <c r="D341" i="74"/>
  <c r="D357" i="74" s="1"/>
  <c r="C343" i="74"/>
  <c r="D343" i="74"/>
  <c r="E343" i="74"/>
  <c r="C345" i="74"/>
  <c r="D345" i="74"/>
  <c r="E345" i="74"/>
  <c r="B349" i="74"/>
  <c r="C349" i="74"/>
  <c r="C362" i="74" s="1"/>
  <c r="D349" i="74"/>
  <c r="E349" i="74"/>
  <c r="E362" i="74" s="1"/>
  <c r="B350" i="74"/>
  <c r="C350" i="74"/>
  <c r="D350" i="74"/>
  <c r="E350" i="74"/>
  <c r="B351" i="74"/>
  <c r="C351" i="74"/>
  <c r="D351" i="74"/>
  <c r="E351" i="74"/>
  <c r="B356" i="74"/>
  <c r="C356" i="74"/>
  <c r="C341" i="74" s="1"/>
  <c r="D356" i="74"/>
  <c r="E356" i="74"/>
  <c r="E341" i="74" s="1"/>
  <c r="B362" i="74"/>
  <c r="B360" i="74" s="1"/>
  <c r="D362" i="74"/>
  <c r="D360" i="74" s="1"/>
  <c r="B364" i="74"/>
  <c r="C364" i="74"/>
  <c r="C365" i="74" s="1"/>
  <c r="D364" i="74"/>
  <c r="E364" i="74"/>
  <c r="E365" i="74" s="1"/>
  <c r="D365" i="74"/>
  <c r="B366" i="74"/>
  <c r="C366" i="74"/>
  <c r="D366" i="74"/>
  <c r="D367" i="74" s="1"/>
  <c r="E366" i="74"/>
  <c r="C367" i="74"/>
  <c r="E367" i="74"/>
  <c r="C372" i="74"/>
  <c r="D372" i="74"/>
  <c r="E372" i="74"/>
  <c r="B376" i="74"/>
  <c r="C376" i="74"/>
  <c r="C377" i="74" s="1"/>
  <c r="D376" i="74"/>
  <c r="E376" i="74"/>
  <c r="B378" i="74"/>
  <c r="C378" i="74"/>
  <c r="D378" i="74"/>
  <c r="D379" i="74" s="1"/>
  <c r="E378" i="74"/>
  <c r="C379" i="74"/>
  <c r="E379" i="74"/>
  <c r="C412" i="74"/>
  <c r="D412" i="74"/>
  <c r="E412" i="74"/>
  <c r="B418" i="74"/>
  <c r="C418" i="74"/>
  <c r="D418" i="74"/>
  <c r="E418" i="74"/>
  <c r="B421" i="74"/>
  <c r="B439" i="74" s="1"/>
  <c r="C421" i="74"/>
  <c r="D421" i="74"/>
  <c r="D439" i="74" s="1"/>
  <c r="C439" i="74"/>
  <c r="C410" i="74" s="1"/>
  <c r="E439" i="74"/>
  <c r="E410" i="74" s="1"/>
  <c r="B457" i="74"/>
  <c r="C457" i="74"/>
  <c r="C460" i="74" s="1"/>
  <c r="D457" i="74"/>
  <c r="E457" i="74"/>
  <c r="E460" i="74" s="1"/>
  <c r="C458" i="74"/>
  <c r="D458" i="74"/>
  <c r="E458" i="74"/>
  <c r="C459" i="74"/>
  <c r="D459" i="74"/>
  <c r="E459" i="74"/>
  <c r="D460" i="74"/>
  <c r="B466" i="74"/>
  <c r="C466" i="74"/>
  <c r="D466" i="74"/>
  <c r="E466" i="74"/>
  <c r="B478" i="74"/>
  <c r="C478" i="74"/>
  <c r="D478" i="74"/>
  <c r="D481" i="74" s="1"/>
  <c r="E478" i="74"/>
  <c r="C479" i="74"/>
  <c r="D479" i="74"/>
  <c r="E479" i="74"/>
  <c r="C480" i="74"/>
  <c r="D480" i="74"/>
  <c r="E480" i="74"/>
  <c r="C481" i="74"/>
  <c r="E481" i="74"/>
  <c r="B487" i="74"/>
  <c r="C487" i="74"/>
  <c r="D487" i="74"/>
  <c r="E487" i="74"/>
  <c r="C506" i="74"/>
  <c r="C541" i="74" s="1"/>
  <c r="E506" i="74"/>
  <c r="E541" i="74" s="1"/>
  <c r="C507" i="74"/>
  <c r="E507" i="74"/>
  <c r="C508" i="74"/>
  <c r="D508" i="74"/>
  <c r="E508" i="74"/>
  <c r="B537" i="74"/>
  <c r="B506" i="74" s="1"/>
  <c r="C537" i="74"/>
  <c r="D537" i="74"/>
  <c r="D506" i="74" s="1"/>
  <c r="E537" i="74"/>
  <c r="B548" i="74"/>
  <c r="B581" i="74" s="1"/>
  <c r="D548" i="74"/>
  <c r="D581" i="74" s="1"/>
  <c r="B549" i="74"/>
  <c r="D549" i="74"/>
  <c r="C550" i="74"/>
  <c r="D550" i="74"/>
  <c r="E550" i="74"/>
  <c r="B577" i="74"/>
  <c r="C577" i="74"/>
  <c r="C548" i="74" s="1"/>
  <c r="D577" i="74"/>
  <c r="E577" i="74"/>
  <c r="E548" i="74" s="1"/>
  <c r="B592" i="74"/>
  <c r="C592" i="74"/>
  <c r="C595" i="74" s="1"/>
  <c r="D592" i="74"/>
  <c r="E592" i="74"/>
  <c r="E595" i="74" s="1"/>
  <c r="C593" i="74"/>
  <c r="D593" i="74"/>
  <c r="E593" i="74"/>
  <c r="C594" i="74"/>
  <c r="D594" i="74"/>
  <c r="E594" i="74"/>
  <c r="D595" i="74"/>
  <c r="B601" i="74"/>
  <c r="C601" i="74"/>
  <c r="D601" i="74"/>
  <c r="E601" i="74"/>
  <c r="B613" i="74"/>
  <c r="C613" i="74"/>
  <c r="D613" i="74"/>
  <c r="D616" i="74" s="1"/>
  <c r="E613" i="74"/>
  <c r="C614" i="74"/>
  <c r="D614" i="74"/>
  <c r="E614" i="74"/>
  <c r="C615" i="74"/>
  <c r="D615" i="74"/>
  <c r="E615" i="74"/>
  <c r="C616" i="74"/>
  <c r="E616" i="74"/>
  <c r="B622" i="74"/>
  <c r="C622" i="74"/>
  <c r="D622" i="74"/>
  <c r="E622" i="74"/>
  <c r="B636" i="74"/>
  <c r="C636" i="74"/>
  <c r="C639" i="74" s="1"/>
  <c r="D636" i="74"/>
  <c r="E636" i="74"/>
  <c r="E639" i="74" s="1"/>
  <c r="C637" i="74"/>
  <c r="D637" i="74"/>
  <c r="E637" i="74"/>
  <c r="C638" i="74"/>
  <c r="D638" i="74"/>
  <c r="E638" i="74"/>
  <c r="D639" i="74"/>
  <c r="B645" i="74"/>
  <c r="C645" i="74"/>
  <c r="D645" i="74"/>
  <c r="E645" i="74"/>
  <c r="B657" i="74"/>
  <c r="C657" i="74"/>
  <c r="D657" i="74"/>
  <c r="D660" i="74" s="1"/>
  <c r="E657" i="74"/>
  <c r="C658" i="74"/>
  <c r="D658" i="74"/>
  <c r="E658" i="74"/>
  <c r="C659" i="74"/>
  <c r="D659" i="74"/>
  <c r="E659" i="74"/>
  <c r="C660" i="74"/>
  <c r="E660" i="74"/>
  <c r="B666" i="74"/>
  <c r="C666" i="74"/>
  <c r="D666" i="74"/>
  <c r="E666" i="74"/>
  <c r="C685" i="74"/>
  <c r="C720" i="74" s="1"/>
  <c r="E685" i="74"/>
  <c r="E688" i="74" s="1"/>
  <c r="C686" i="74"/>
  <c r="C687" i="74"/>
  <c r="D687" i="74"/>
  <c r="E687" i="74"/>
  <c r="C688" i="74"/>
  <c r="B716" i="74"/>
  <c r="B685" i="74" s="1"/>
  <c r="B686" i="74" s="1"/>
  <c r="C716" i="74"/>
  <c r="D716" i="74"/>
  <c r="D685" i="74" s="1"/>
  <c r="E716" i="74"/>
  <c r="B720" i="74"/>
  <c r="D720" i="74"/>
  <c r="E736" i="74"/>
  <c r="E771" i="74" s="1"/>
  <c r="C737" i="74"/>
  <c r="E737" i="74"/>
  <c r="C738" i="74"/>
  <c r="D738" i="74"/>
  <c r="E738" i="74"/>
  <c r="B767" i="74"/>
  <c r="B736" i="74" s="1"/>
  <c r="C767" i="74"/>
  <c r="D767" i="74"/>
  <c r="D736" i="74" s="1"/>
  <c r="E767" i="74"/>
  <c r="C771" i="74"/>
  <c r="B786" i="74"/>
  <c r="B821" i="74" s="1"/>
  <c r="D786" i="74"/>
  <c r="D821" i="74" s="1"/>
  <c r="B787" i="74"/>
  <c r="D787" i="74"/>
  <c r="C788" i="74"/>
  <c r="D788" i="74"/>
  <c r="E788" i="74"/>
  <c r="B817" i="74"/>
  <c r="C817" i="74"/>
  <c r="C786" i="74" s="1"/>
  <c r="D817" i="74"/>
  <c r="E817" i="74"/>
  <c r="E786" i="74" s="1"/>
  <c r="B826" i="74"/>
  <c r="B824" i="74" s="1"/>
  <c r="C826" i="74"/>
  <c r="D826" i="74"/>
  <c r="D824" i="74" s="1"/>
  <c r="E826" i="74"/>
  <c r="C827" i="74"/>
  <c r="E827" i="74"/>
  <c r="B828" i="74"/>
  <c r="C828" i="74"/>
  <c r="C829" i="74" s="1"/>
  <c r="D828" i="74"/>
  <c r="E828" i="74"/>
  <c r="E824" i="74" s="1"/>
  <c r="D829" i="74"/>
  <c r="B830" i="74"/>
  <c r="C830" i="74"/>
  <c r="D830" i="74"/>
  <c r="D831" i="74" s="1"/>
  <c r="E830" i="74"/>
  <c r="C831" i="74"/>
  <c r="B836" i="74"/>
  <c r="C836" i="74"/>
  <c r="D836" i="74"/>
  <c r="D837" i="74" s="1"/>
  <c r="E836" i="74"/>
  <c r="C837" i="74"/>
  <c r="E837" i="74"/>
  <c r="E184" i="76" l="1"/>
  <c r="E206" i="76"/>
  <c r="E739" i="74"/>
  <c r="D737" i="74"/>
  <c r="D740" i="74" s="1"/>
  <c r="D739" i="74"/>
  <c r="D771" i="74"/>
  <c r="B771" i="74"/>
  <c r="B737" i="74"/>
  <c r="C739" i="74"/>
  <c r="E740" i="74"/>
  <c r="E844" i="74"/>
  <c r="E825" i="74"/>
  <c r="E821" i="74"/>
  <c r="E823" i="74"/>
  <c r="E787" i="74"/>
  <c r="E790" i="74" s="1"/>
  <c r="E789" i="74"/>
  <c r="D789" i="74"/>
  <c r="C787" i="74"/>
  <c r="C790" i="74" s="1"/>
  <c r="C789" i="74"/>
  <c r="C821" i="74"/>
  <c r="C823" i="74"/>
  <c r="C740" i="74"/>
  <c r="C824" i="74"/>
  <c r="E686" i="74"/>
  <c r="E829" i="74"/>
  <c r="D827" i="74"/>
  <c r="E720" i="74"/>
  <c r="D686" i="74"/>
  <c r="D689" i="74" s="1"/>
  <c r="D688" i="74"/>
  <c r="C689" i="74"/>
  <c r="D552" i="74"/>
  <c r="E411" i="74"/>
  <c r="E443" i="74"/>
  <c r="D410" i="74"/>
  <c r="D443" i="74"/>
  <c r="B410" i="74"/>
  <c r="B443" i="74"/>
  <c r="E357" i="74"/>
  <c r="E359" i="74"/>
  <c r="E344" i="74"/>
  <c r="D344" i="74"/>
  <c r="C357" i="74"/>
  <c r="C359" i="74"/>
  <c r="C344" i="74"/>
  <c r="E360" i="74"/>
  <c r="E363" i="74"/>
  <c r="C360" i="74"/>
  <c r="D361" i="74" s="1"/>
  <c r="C363" i="74"/>
  <c r="E581" i="74"/>
  <c r="E549" i="74"/>
  <c r="E552" i="74" s="1"/>
  <c r="E551" i="74"/>
  <c r="D551" i="74"/>
  <c r="C581" i="74"/>
  <c r="C549" i="74"/>
  <c r="C552" i="74" s="1"/>
  <c r="C551" i="74"/>
  <c r="E509" i="74"/>
  <c r="D541" i="74"/>
  <c r="D507" i="74"/>
  <c r="D510" i="74" s="1"/>
  <c r="D509" i="74"/>
  <c r="C509" i="74"/>
  <c r="B541" i="74"/>
  <c r="B507" i="74"/>
  <c r="C510" i="74" s="1"/>
  <c r="E510" i="74"/>
  <c r="C411" i="74"/>
  <c r="C413" i="74"/>
  <c r="C443" i="74"/>
  <c r="B380" i="74"/>
  <c r="D363" i="74"/>
  <c r="D359" i="74"/>
  <c r="D380" i="74" s="1"/>
  <c r="B359" i="74"/>
  <c r="E380" i="74" l="1"/>
  <c r="E361" i="74"/>
  <c r="C844" i="74"/>
  <c r="C825" i="74"/>
  <c r="B411" i="74"/>
  <c r="C414" i="74" s="1"/>
  <c r="B823" i="74"/>
  <c r="B844" i="74" s="1"/>
  <c r="D411" i="74"/>
  <c r="D414" i="74" s="1"/>
  <c r="D413" i="74"/>
  <c r="D823" i="74"/>
  <c r="D844" i="74" s="1"/>
  <c r="E413" i="74"/>
  <c r="E689" i="74"/>
  <c r="D790" i="74"/>
  <c r="D825" i="74"/>
  <c r="C380" i="74"/>
  <c r="C361" i="74"/>
  <c r="E414" i="74" l="1"/>
  <c r="D35" i="73" l="1"/>
  <c r="D37" i="73" s="1"/>
  <c r="D40" i="73" s="1"/>
  <c r="B37" i="73"/>
  <c r="C37" i="73"/>
  <c r="C40" i="73" s="1"/>
  <c r="E37" i="73"/>
  <c r="C38" i="73"/>
  <c r="D38" i="73"/>
  <c r="C39" i="73"/>
  <c r="D39" i="73"/>
  <c r="E39" i="73"/>
  <c r="C44" i="73"/>
  <c r="C51" i="73" s="1"/>
  <c r="D44" i="73"/>
  <c r="E44" i="73"/>
  <c r="E51" i="73" s="1"/>
  <c r="C45" i="73"/>
  <c r="D45" i="73"/>
  <c r="E45" i="73"/>
  <c r="B51" i="73"/>
  <c r="D51" i="73"/>
  <c r="B52" i="73"/>
  <c r="D52" i="73"/>
  <c r="B60" i="73"/>
  <c r="C60" i="73"/>
  <c r="D60" i="73"/>
  <c r="D63" i="73" s="1"/>
  <c r="E60" i="73"/>
  <c r="C61" i="73"/>
  <c r="D61" i="73"/>
  <c r="E61" i="73"/>
  <c r="C62" i="73"/>
  <c r="D62" i="73"/>
  <c r="E62" i="73"/>
  <c r="C63" i="73"/>
  <c r="E63" i="73"/>
  <c r="B74" i="73"/>
  <c r="C74" i="73"/>
  <c r="D74" i="73"/>
  <c r="E74" i="73"/>
  <c r="B75" i="73"/>
  <c r="C75" i="73"/>
  <c r="D75" i="73"/>
  <c r="E75" i="73"/>
  <c r="B89" i="73"/>
  <c r="C89" i="73"/>
  <c r="D92" i="73" s="1"/>
  <c r="D89" i="73"/>
  <c r="E89" i="73"/>
  <c r="E105" i="73" s="1"/>
  <c r="B90" i="73"/>
  <c r="C90" i="73"/>
  <c r="C93" i="73" s="1"/>
  <c r="D90" i="73"/>
  <c r="E90" i="73"/>
  <c r="E93" i="73" s="1"/>
  <c r="C91" i="73"/>
  <c r="D91" i="73"/>
  <c r="E91" i="73"/>
  <c r="C92" i="73"/>
  <c r="E92" i="73"/>
  <c r="D93" i="73"/>
  <c r="B99" i="73"/>
  <c r="C99" i="73"/>
  <c r="D99" i="73"/>
  <c r="E99" i="73"/>
  <c r="B104" i="73"/>
  <c r="C104" i="73"/>
  <c r="D104" i="73"/>
  <c r="E104" i="73"/>
  <c r="B105" i="73"/>
  <c r="D105" i="73"/>
  <c r="C119" i="73"/>
  <c r="C120" i="73" s="1"/>
  <c r="C123" i="73" s="1"/>
  <c r="D119" i="73"/>
  <c r="B120" i="73"/>
  <c r="D120" i="73"/>
  <c r="D123" i="73" s="1"/>
  <c r="E120" i="73"/>
  <c r="C121" i="73"/>
  <c r="D121" i="73"/>
  <c r="E121" i="73"/>
  <c r="D122" i="73"/>
  <c r="E122" i="73"/>
  <c r="E123" i="73"/>
  <c r="B127" i="73"/>
  <c r="C127" i="73"/>
  <c r="D127" i="73"/>
  <c r="E127" i="73"/>
  <c r="B128" i="73"/>
  <c r="C128" i="73"/>
  <c r="D128" i="73"/>
  <c r="E128" i="73"/>
  <c r="B136" i="73"/>
  <c r="C136" i="73"/>
  <c r="D136" i="73"/>
  <c r="E136" i="73"/>
  <c r="B137" i="73"/>
  <c r="C137" i="73"/>
  <c r="D137" i="73"/>
  <c r="E137" i="73"/>
  <c r="B145" i="73"/>
  <c r="C145" i="73"/>
  <c r="C148" i="73" s="1"/>
  <c r="D145" i="73"/>
  <c r="E145" i="73"/>
  <c r="E148" i="73" s="1"/>
  <c r="C146" i="73"/>
  <c r="D146" i="73"/>
  <c r="E146" i="73"/>
  <c r="C147" i="73"/>
  <c r="D147" i="73"/>
  <c r="E147" i="73"/>
  <c r="D148" i="73"/>
  <c r="B159" i="73"/>
  <c r="B229" i="73" s="1"/>
  <c r="B249" i="73" s="1"/>
  <c r="C159" i="73"/>
  <c r="D159" i="73"/>
  <c r="D229" i="73" s="1"/>
  <c r="E159" i="73"/>
  <c r="B160" i="73"/>
  <c r="C160" i="73"/>
  <c r="D160" i="73"/>
  <c r="E160" i="73"/>
  <c r="C174" i="73"/>
  <c r="C177" i="73" s="1"/>
  <c r="B176" i="73"/>
  <c r="C176" i="73"/>
  <c r="C179" i="73" s="1"/>
  <c r="D176" i="73"/>
  <c r="E176" i="73"/>
  <c r="E179" i="73" s="1"/>
  <c r="D177" i="73"/>
  <c r="E177" i="73"/>
  <c r="C178" i="73"/>
  <c r="D178" i="73"/>
  <c r="E178" i="73"/>
  <c r="D179" i="73"/>
  <c r="B185" i="73"/>
  <c r="C185" i="73"/>
  <c r="D185" i="73"/>
  <c r="E185" i="73"/>
  <c r="B197" i="73"/>
  <c r="C197" i="73"/>
  <c r="D197" i="73"/>
  <c r="D200" i="73" s="1"/>
  <c r="E197" i="73"/>
  <c r="C198" i="73"/>
  <c r="D198" i="73"/>
  <c r="E198" i="73"/>
  <c r="C199" i="73"/>
  <c r="D199" i="73"/>
  <c r="E199" i="73"/>
  <c r="C200" i="73"/>
  <c r="E200" i="73"/>
  <c r="B206" i="73"/>
  <c r="C206" i="73"/>
  <c r="D206" i="73"/>
  <c r="E206" i="73"/>
  <c r="C214" i="73"/>
  <c r="D214" i="73"/>
  <c r="D217" i="73" s="1"/>
  <c r="E214" i="73"/>
  <c r="C215" i="73"/>
  <c r="D215" i="73"/>
  <c r="E215" i="73"/>
  <c r="C216" i="73"/>
  <c r="D216" i="73"/>
  <c r="E216" i="73"/>
  <c r="C217" i="73"/>
  <c r="E217" i="73"/>
  <c r="B223" i="73"/>
  <c r="C223" i="73"/>
  <c r="D223" i="73"/>
  <c r="E223" i="73"/>
  <c r="B226" i="73"/>
  <c r="C226" i="73"/>
  <c r="D226" i="73"/>
  <c r="E226" i="73"/>
  <c r="B228" i="73"/>
  <c r="C228" i="73"/>
  <c r="D228" i="73"/>
  <c r="E228" i="73"/>
  <c r="B231" i="73"/>
  <c r="C231" i="73"/>
  <c r="D231" i="73"/>
  <c r="D232" i="73" s="1"/>
  <c r="E231" i="73"/>
  <c r="C232" i="73"/>
  <c r="E232" i="73"/>
  <c r="B233" i="73"/>
  <c r="C233" i="73"/>
  <c r="C234" i="73" s="1"/>
  <c r="D233" i="73"/>
  <c r="E233" i="73"/>
  <c r="E234" i="73" s="1"/>
  <c r="D234" i="73"/>
  <c r="B235" i="73"/>
  <c r="C235" i="73"/>
  <c r="D235" i="73"/>
  <c r="D236" i="73" s="1"/>
  <c r="E235" i="73"/>
  <c r="C236" i="73"/>
  <c r="E236" i="73"/>
  <c r="B237" i="73"/>
  <c r="C237" i="73"/>
  <c r="C238" i="73" s="1"/>
  <c r="D237" i="73"/>
  <c r="E237" i="73"/>
  <c r="E238" i="73" s="1"/>
  <c r="D238" i="73"/>
  <c r="B239" i="73"/>
  <c r="C239" i="73"/>
  <c r="D239" i="73"/>
  <c r="D240" i="73" s="1"/>
  <c r="E239" i="73"/>
  <c r="C240" i="73"/>
  <c r="E240" i="73"/>
  <c r="B241" i="73"/>
  <c r="C241" i="73"/>
  <c r="C242" i="73" s="1"/>
  <c r="D241" i="73"/>
  <c r="E241" i="73"/>
  <c r="E242" i="73" s="1"/>
  <c r="D242" i="73"/>
  <c r="B243" i="73"/>
  <c r="C243" i="73"/>
  <c r="D243" i="73"/>
  <c r="D244" i="73" s="1"/>
  <c r="E243" i="73"/>
  <c r="C244" i="73"/>
  <c r="E244" i="73"/>
  <c r="C245" i="73"/>
  <c r="D245" i="73"/>
  <c r="D246" i="73" s="1"/>
  <c r="E245" i="73"/>
  <c r="C246" i="73"/>
  <c r="E246" i="73"/>
  <c r="B247" i="73"/>
  <c r="C247" i="73"/>
  <c r="C248" i="73" s="1"/>
  <c r="D247" i="73"/>
  <c r="E247" i="73"/>
  <c r="E248" i="73" s="1"/>
  <c r="D248" i="73"/>
  <c r="D249" i="73" l="1"/>
  <c r="E229" i="73"/>
  <c r="E52" i="73"/>
  <c r="C229" i="73"/>
  <c r="C52" i="73"/>
  <c r="E40" i="73"/>
  <c r="C122" i="73"/>
  <c r="C105" i="73"/>
  <c r="E38" i="73"/>
  <c r="C230" i="73" l="1"/>
  <c r="C249" i="73"/>
  <c r="E230" i="73"/>
  <c r="E249" i="73"/>
  <c r="D230" i="73"/>
</calcChain>
</file>

<file path=xl/comments1.xml><?xml version="1.0" encoding="utf-8"?>
<comments xmlns="http://schemas.openxmlformats.org/spreadsheetml/2006/main">
  <authors>
    <author>Ermira Kopliku</author>
  </authors>
  <commentList>
    <comment ref="B33" authorId="0">
      <text>
        <r>
          <rPr>
            <sz val="9"/>
            <color indexed="81"/>
            <rFont val="Tahoma"/>
            <family val="2"/>
            <charset val="238"/>
          </rPr>
          <t xml:space="preserve">
</t>
        </r>
      </text>
    </comment>
  </commentList>
</comments>
</file>

<file path=xl/comments2.xml><?xml version="1.0" encoding="utf-8"?>
<comments xmlns="http://schemas.openxmlformats.org/spreadsheetml/2006/main">
  <authors>
    <author>Donika</author>
  </authors>
  <commentList>
    <comment ref="E25" authorId="0">
      <text>
        <r>
          <rPr>
            <b/>
            <sz val="9"/>
            <color indexed="81"/>
            <rFont val="Tahoma"/>
            <family val="2"/>
            <charset val="238"/>
          </rPr>
          <t>Donika:</t>
        </r>
        <r>
          <rPr>
            <sz val="9"/>
            <color indexed="81"/>
            <rFont val="Tahoma"/>
            <family val="2"/>
            <charset val="238"/>
          </rPr>
          <t xml:space="preserve">
Treguesi i performances per objektivin 1 ndryshon nga 63 ne 60, pasi nuk perfundon  investimi  i Gjykates se Rrethit Shkoder,me kete tavan, por perfundon vetem rikonstruksioni i Gjykates Rrethit Gjirokaster</t>
        </r>
      </text>
    </comment>
    <comment ref="C37" authorId="0">
      <text>
        <r>
          <rPr>
            <b/>
            <sz val="9"/>
            <color indexed="81"/>
            <rFont val="Tahoma"/>
            <family val="2"/>
            <charset val="238"/>
          </rPr>
          <t>Donika:</t>
        </r>
        <r>
          <rPr>
            <sz val="9"/>
            <color indexed="81"/>
            <rFont val="Tahoma"/>
            <family val="2"/>
            <charset val="238"/>
          </rPr>
          <t xml:space="preserve">
Me tavanin e miratuar ne shpenzime korrente nuk mbulohen pagat e gjyqtareve sipas ligjit te ri.Kosto mesatare per ceshtje vetem per shpenzimet korrente eshte  18 mije leke.  </t>
        </r>
      </text>
    </comment>
    <comment ref="D37" authorId="0">
      <text>
        <r>
          <rPr>
            <b/>
            <sz val="9"/>
            <color indexed="81"/>
            <rFont val="Tahoma"/>
            <family val="2"/>
            <charset val="238"/>
          </rPr>
          <t>Donika:</t>
        </r>
        <r>
          <rPr>
            <sz val="9"/>
            <color indexed="81"/>
            <rFont val="Tahoma"/>
            <family val="2"/>
            <charset val="238"/>
          </rPr>
          <t xml:space="preserve">
Me tavanin e miratuar ne shpenzime korrente nuk mbulohen pagat e gjyqtareve sipas ligjit te ri.Kosto mesatare per ceshtje vetem per shpenzimet korrente eshte rreth 18 mije leke.  </t>
        </r>
      </text>
    </comment>
    <comment ref="E37" authorId="0">
      <text>
        <r>
          <rPr>
            <b/>
            <sz val="9"/>
            <color indexed="81"/>
            <rFont val="Tahoma"/>
            <family val="2"/>
            <charset val="238"/>
          </rPr>
          <t>Donika:</t>
        </r>
        <r>
          <rPr>
            <sz val="9"/>
            <color indexed="81"/>
            <rFont val="Tahoma"/>
            <family val="2"/>
            <charset val="238"/>
          </rPr>
          <t xml:space="preserve">
Me tavanin e miratuar ne shpenzime korrente nuk mbulohen pagat e gjyqtareve sipas ligjit te ri.Kosto mesatare per ceshtje vetem per shpenzimet korrente eshte rreth 18 mije leke.  </t>
        </r>
      </text>
    </comment>
    <comment ref="B125" authorId="0">
      <text>
        <r>
          <rPr>
            <b/>
            <sz val="9"/>
            <color indexed="81"/>
            <rFont val="Tahoma"/>
            <family val="2"/>
            <charset val="238"/>
          </rPr>
          <t>Donika:</t>
        </r>
        <r>
          <rPr>
            <sz val="9"/>
            <color indexed="81"/>
            <rFont val="Tahoma"/>
            <family val="2"/>
            <charset val="238"/>
          </rPr>
          <t xml:space="preserve">
per vitin 2018 ky produkt eshte matur me nr inst, ne vitin 2019 e vazhdim u ndryshua sipas rekomandimit te MF ne cope</t>
        </r>
      </text>
    </comment>
    <comment ref="A261" authorId="0">
      <text>
        <r>
          <rPr>
            <b/>
            <sz val="9"/>
            <color indexed="81"/>
            <rFont val="Tahoma"/>
            <family val="2"/>
            <charset val="238"/>
          </rPr>
          <t>Donika:</t>
        </r>
        <r>
          <rPr>
            <sz val="9"/>
            <color indexed="81"/>
            <rFont val="Tahoma"/>
            <family val="2"/>
            <charset val="238"/>
          </rPr>
          <t xml:space="preserve">
I ndryshuar sipas rekomandimit te MF</t>
        </r>
      </text>
    </comment>
  </commentList>
</comments>
</file>

<file path=xl/comments3.xml><?xml version="1.0" encoding="utf-8"?>
<comments xmlns="http://schemas.openxmlformats.org/spreadsheetml/2006/main">
  <authors>
    <author>Ina Dhaskali</author>
    <author>Windows User</author>
  </authors>
  <commentList>
    <comment ref="E21" authorId="0">
      <text>
        <r>
          <rPr>
            <b/>
            <sz val="9"/>
            <color indexed="81"/>
            <rFont val="Tahoma"/>
            <family val="2"/>
            <charset val="238"/>
          </rPr>
          <t>Ina Dhaskali:</t>
        </r>
        <r>
          <rPr>
            <sz val="9"/>
            <color indexed="81"/>
            <rFont val="Tahoma"/>
            <family val="2"/>
            <charset val="238"/>
          </rPr>
          <t xml:space="preserve">
eshte e pamundur te vendosim nje tregues ne nivel impakti, per shkak se sistemi I drejtesise eshte shume I gjere dhe matja e perceptueshmerise se ketij sistemi eshte e veshtire dhe do te realizohet ne vijim</t>
        </r>
      </text>
    </comment>
    <comment ref="C52" authorId="1">
      <text>
        <r>
          <rPr>
            <b/>
            <sz val="9"/>
            <color indexed="81"/>
            <rFont val="Tahoma"/>
            <family val="2"/>
            <charset val="238"/>
          </rPr>
          <t>Windows User:</t>
        </r>
        <r>
          <rPr>
            <sz val="9"/>
            <color indexed="81"/>
            <rFont val="Tahoma"/>
            <family val="2"/>
            <charset val="238"/>
          </rPr>
          <t xml:space="preserve">
inflacioni 3 %, plush meqe mund te kemi nje shtes prej 10 personel ose rritje 20%</t>
        </r>
      </text>
    </comment>
    <comment ref="D52" authorId="1">
      <text>
        <r>
          <rPr>
            <b/>
            <sz val="9"/>
            <color indexed="81"/>
            <rFont val="Tahoma"/>
            <family val="2"/>
            <charset val="238"/>
          </rPr>
          <t>Windows User:</t>
        </r>
        <r>
          <rPr>
            <sz val="9"/>
            <color indexed="81"/>
            <rFont val="Tahoma"/>
            <family val="2"/>
            <charset val="238"/>
          </rPr>
          <t xml:space="preserve">
inflacioni 3 %</t>
        </r>
      </text>
    </comment>
    <comment ref="E52" authorId="1">
      <text>
        <r>
          <rPr>
            <b/>
            <sz val="9"/>
            <color indexed="81"/>
            <rFont val="Tahoma"/>
            <family val="2"/>
            <charset val="238"/>
          </rPr>
          <t>Windows User:</t>
        </r>
        <r>
          <rPr>
            <sz val="9"/>
            <color indexed="81"/>
            <rFont val="Tahoma"/>
            <family val="2"/>
            <charset val="238"/>
          </rPr>
          <t xml:space="preserve">
inflacioni 3 %</t>
        </r>
      </text>
    </comment>
  </commentList>
</comments>
</file>

<file path=xl/comments4.xml><?xml version="1.0" encoding="utf-8"?>
<comments xmlns="http://schemas.openxmlformats.org/spreadsheetml/2006/main">
  <authors>
    <author>NDOI KOZETA</author>
  </authors>
  <commentList>
    <comment ref="A270" authorId="0">
      <text>
        <r>
          <rPr>
            <b/>
            <sz val="8"/>
            <color indexed="81"/>
            <rFont val="Tahoma"/>
            <family val="2"/>
          </rPr>
          <t>NDOI KOZETA:</t>
        </r>
        <r>
          <rPr>
            <sz val="8"/>
            <color indexed="81"/>
            <rFont val="Tahoma"/>
            <family val="2"/>
          </rPr>
          <t xml:space="preserve">
</t>
        </r>
      </text>
    </comment>
  </commentList>
</comments>
</file>

<file path=xl/comments5.xml><?xml version="1.0" encoding="utf-8"?>
<comments xmlns="http://schemas.openxmlformats.org/spreadsheetml/2006/main">
  <authors>
    <author>Ina Dhaskali</author>
    <author>USER</author>
  </authors>
  <commentList>
    <comment ref="B24" authorId="0">
      <text>
        <r>
          <rPr>
            <b/>
            <sz val="9"/>
            <color indexed="81"/>
            <rFont val="Tahoma"/>
            <family val="2"/>
          </rPr>
          <t>Ina Dhaskali:</t>
        </r>
        <r>
          <rPr>
            <sz val="9"/>
            <color indexed="81"/>
            <rFont val="Tahoma"/>
            <family val="2"/>
          </rPr>
          <t xml:space="preserve">
Rregulli eshte cdo objektiv duhet te kete nje produkt. Pra duhet te besh 3 produkte nese do te mbash 3 objektiva, ose do te shkrish 3 objektivat ne 1 per te mbajtur nje produkt sikurse e ke ne kete material.</t>
        </r>
      </text>
    </comment>
    <comment ref="C161" authorId="1">
      <text>
        <r>
          <rPr>
            <b/>
            <sz val="9"/>
            <color indexed="81"/>
            <rFont val="Tahoma"/>
            <family val="2"/>
          </rPr>
          <t>USER:</t>
        </r>
        <r>
          <rPr>
            <sz val="9"/>
            <color indexed="81"/>
            <rFont val="Tahoma"/>
            <family val="2"/>
          </rPr>
          <t xml:space="preserve">
8 punonjës organik shtese me  aktin normativ nr.1 date 26.07.2018</t>
        </r>
      </text>
    </comment>
  </commentList>
</comments>
</file>

<file path=xl/comments6.xml><?xml version="1.0" encoding="utf-8"?>
<comments xmlns="http://schemas.openxmlformats.org/spreadsheetml/2006/main">
  <authors>
    <author>Dell</author>
  </authors>
  <commentList>
    <comment ref="B77" authorId="0">
      <text>
        <r>
          <rPr>
            <b/>
            <sz val="9"/>
            <color indexed="81"/>
            <rFont val="Tahoma"/>
            <family val="2"/>
          </rPr>
          <t>Dell:</t>
        </r>
        <r>
          <rPr>
            <sz val="9"/>
            <color indexed="81"/>
            <rFont val="Tahoma"/>
            <family val="2"/>
          </rPr>
          <t xml:space="preserve">
sipas shkreses se sugjerimeve te MF</t>
        </r>
      </text>
    </comment>
  </commentList>
</comments>
</file>

<file path=xl/sharedStrings.xml><?xml version="1.0" encoding="utf-8"?>
<sst xmlns="http://schemas.openxmlformats.org/spreadsheetml/2006/main" count="14695" uniqueCount="1705">
  <si>
    <t xml:space="preserve">FORMAT 2.1 : FORMATI STANDARD I PËRGATITJES SË KËRKESAVE BUXHETORE PBA 2019-2021 </t>
  </si>
  <si>
    <t>Politikat Ekzistuese në Përputhje me Tavanet Indikative Buxhetore</t>
  </si>
  <si>
    <t>Emërtimi i Programit Buxhetor</t>
  </si>
  <si>
    <t>Kodi i Programit</t>
  </si>
  <si>
    <t>01110</t>
  </si>
  <si>
    <t>Programi Buxhetor Afatmesëm</t>
  </si>
  <si>
    <t>2019-2021</t>
  </si>
  <si>
    <t>Përshkrimi i Programit</t>
  </si>
  <si>
    <t>Qëllimet e Politikës së Programit</t>
  </si>
  <si>
    <t>Treguesit e Performancës në nivel Qëllimi</t>
  </si>
  <si>
    <t>Buxheti</t>
  </si>
  <si>
    <t>Parashikimi</t>
  </si>
  <si>
    <t>Objektivi 1 i Politikës së Programit</t>
  </si>
  <si>
    <t>Treguesit e Performancës për Objektivin 1</t>
  </si>
  <si>
    <t>Produktet për Objektivin 1</t>
  </si>
  <si>
    <t xml:space="preserve">Shpenzimet Korrente* </t>
  </si>
  <si>
    <t>Produkti 1</t>
  </si>
  <si>
    <t>Përshkrimi i Produktit:</t>
  </si>
  <si>
    <t>Njësia Matëse</t>
  </si>
  <si>
    <t>Sasia</t>
  </si>
  <si>
    <t>Kosto totale (në mijë lekë)</t>
  </si>
  <si>
    <t>Kosto për njësi (në mijë lekë)</t>
  </si>
  <si>
    <t xml:space="preserve">Ndryshimi në % i Sasisë  </t>
  </si>
  <si>
    <t>…</t>
  </si>
  <si>
    <t xml:space="preserve">Ndryshimi në % i kostos totale  </t>
  </si>
  <si>
    <t>Ndryshimi në % i kostos për njësi</t>
  </si>
  <si>
    <t xml:space="preserve">600. Pagat </t>
  </si>
  <si>
    <t>Ndryshimi në % i Pagave si pasojë e ndryshimit të kostos së produktit</t>
  </si>
  <si>
    <t>601. Sigurimet Shoqërore dhe Shendetësore</t>
  </si>
  <si>
    <t>Ndryshimi në % i Sigurimeve Shoqerore dhe Shendetësore si pasojë e ndryshimit të kostos së produktit</t>
  </si>
  <si>
    <t xml:space="preserve">602. Mallrat dhe shërbimet </t>
  </si>
  <si>
    <t>Ndryshimi në % i Mallrave dhe Shërbimeve si pasojë e ndryshimit të kostos së produktit</t>
  </si>
  <si>
    <t xml:space="preserve">603. Subvencionet </t>
  </si>
  <si>
    <t>Ndryshimi në % i Subvencioneve si pasojë e ndryshimit të kostos së produktit</t>
  </si>
  <si>
    <t>604. Transferta të brendshme</t>
  </si>
  <si>
    <t>Ndryshimi në % i Transfertave të brendshme si pasojë e ndryshimit të kostos së produktit</t>
  </si>
  <si>
    <t>605. Transferta të jashtme</t>
  </si>
  <si>
    <t>Ndryshimi në % i Transfertave të jashtme si pasojë e ndryshimit të kostos së produktit</t>
  </si>
  <si>
    <t xml:space="preserve">606. Transferta për familjet dhe individët </t>
  </si>
  <si>
    <t>Ndryshimi në % i Transfertave për familjet dhe individët si pasojë e ndryshimit të kostos së produktit</t>
  </si>
  <si>
    <t>Kosto totale e produktit 1</t>
  </si>
  <si>
    <t>Kontroll</t>
  </si>
  <si>
    <t>Produkti 2</t>
  </si>
  <si>
    <t>Kosto totale e produktit 2</t>
  </si>
  <si>
    <t>Produkti 3</t>
  </si>
  <si>
    <t>Ndryshimi në % i Pagave si pasojë e ndryshimit të sasisë së produktit</t>
  </si>
  <si>
    <t>Ndryshimi në % i Sigurimeve Shoqërore dhe Shendetësore si pasojë e ndryshimit të sasisë së produktit</t>
  </si>
  <si>
    <t>Ndryshimi në % i Mallrave dhe Shërbimeve si pasojë e ndryshimit të sasisë së produktit</t>
  </si>
  <si>
    <t>Ndryshimi në % i Subvencioneve si pasojë e ndryshimit të sasisë së produktit</t>
  </si>
  <si>
    <t>Ndryshimi në % i Transfertave të brendshme si pasojë e ndryshimit të sasisë së produktit</t>
  </si>
  <si>
    <t>Ndryshimi në % i Transfertave të jashtme si pasojë e ndryshimit të sasisë së produktit</t>
  </si>
  <si>
    <t>Ndryshimi në % i Transfertave për familjet dhe individët si pasojë e ndryshimit të sasisë së produktit</t>
  </si>
  <si>
    <t>Kosto totale e produktit 3</t>
  </si>
  <si>
    <t>Produkti 4</t>
  </si>
  <si>
    <t>Kosto totale e produktit 4</t>
  </si>
  <si>
    <t>Shpenzimet Kapitale***</t>
  </si>
  <si>
    <t>Kategoria 1: Shpenzimet Administrative Kapitale</t>
  </si>
  <si>
    <t>numer</t>
  </si>
  <si>
    <t xml:space="preserve">230. Aktive të patrupëzuara </t>
  </si>
  <si>
    <t xml:space="preserve">231. Aktive të trupëzuara </t>
  </si>
  <si>
    <t xml:space="preserve">Shënim: Shpjegoni supozimet dhe llogaritjet për Produktin 1 </t>
  </si>
  <si>
    <t>Kodi i Projektit të Investimeve</t>
  </si>
  <si>
    <t>Shënim: Shpjegoni supozimet dhe llogaritjet për Produktin X</t>
  </si>
  <si>
    <t>Shpenzimet Kapitale</t>
  </si>
  <si>
    <t>Kategoria 2: Shpenzimet për projekte investimesh</t>
  </si>
  <si>
    <t>Shënim: Shpjegoni supozimet dhe llogaritjet për Produktin 3</t>
  </si>
  <si>
    <t>Produkti 4 (shto produkte sipas rastit)</t>
  </si>
  <si>
    <t>Objektivi 2 i Politikës së Programit</t>
  </si>
  <si>
    <t>Treguesit e Performancës për Objektivin 2</t>
  </si>
  <si>
    <t>Produktet për Objektivin 2</t>
  </si>
  <si>
    <t xml:space="preserve">Shpenzimet Korrente </t>
  </si>
  <si>
    <t>Kosto totale e produktit sipas artikujve ekonomikë</t>
  </si>
  <si>
    <t xml:space="preserve">Shënim: Shpjegoni supozimet dhe llogaritjet për Produktin 1 (Metoda 2) </t>
  </si>
  <si>
    <t>cope</t>
  </si>
  <si>
    <t>Kosto totale e produktit X</t>
  </si>
  <si>
    <t>Objektivi 3 i Politikës së Programit</t>
  </si>
  <si>
    <t>Treguesit e Performancës për Objektivin 3</t>
  </si>
  <si>
    <t>Produktet për Objektivin 3</t>
  </si>
  <si>
    <t>Objektivi 4 i Politikës së Programit</t>
  </si>
  <si>
    <t>Kodi i Projektit të Investimeve****</t>
  </si>
  <si>
    <t>Objektivi 5 i Politikës së Programit</t>
  </si>
  <si>
    <t>Treguesit e Performancës për Objektivin 5</t>
  </si>
  <si>
    <t>Totali i shpenzimeve të Programit sipas produkteve*****</t>
  </si>
  <si>
    <t>Totali i shpenzimeve të Programit sipas artikujve*****</t>
  </si>
  <si>
    <t>Ndryshimi në % i totalit të shpenzimeve të Programit</t>
  </si>
  <si>
    <t>Ndryshimi në % i Pagave</t>
  </si>
  <si>
    <t>Ndryshimi në % i Sigurimeve Shoqërore dhe Shëndetësore</t>
  </si>
  <si>
    <t>Ndryshimi në % i Mallrave dhe Shërbimeve</t>
  </si>
  <si>
    <t>Ndryshimi në % i Subvencioneve</t>
  </si>
  <si>
    <t>Ndryshimi në % i Transfertave të brendshme</t>
  </si>
  <si>
    <t>Ndryshimi në % i Transfertave të jashtme</t>
  </si>
  <si>
    <t>Ndryshimi në % i Transfertave për familjet dhe individët</t>
  </si>
  <si>
    <t>230. Aktivet e patrupëzuara</t>
  </si>
  <si>
    <t>Ndryshimi në % i Aktiveve të Patrupëzuara</t>
  </si>
  <si>
    <t>231. Aktivet e trupëzuara</t>
  </si>
  <si>
    <t>Ndryshimi në % i Aktiveve të Trupëzuara</t>
  </si>
  <si>
    <t>Numri i Punonjësve Organik të Programit Buxhetor</t>
  </si>
  <si>
    <t>Numri i Punonjësve me Kontratë të Programit Buxhetor</t>
  </si>
  <si>
    <t>Sqarime</t>
  </si>
  <si>
    <t xml:space="preserve">****Në këtë fushë vendosni kodin e projektit të investimeve që është regjistruar në sistemin e thesarit. </t>
  </si>
  <si>
    <t>*****Totali i Shpenzimeve të Programit duhet të jetë i barabartë me shumën e kostove totale të produkteve të evidentuar më lart. Totali i cdo Artikulli Ekonomik derivohet nga shuma e Artikujve Ekonomikë të evidentuar në kostimin e secilit produkt.</t>
  </si>
  <si>
    <t>Rrjeshti"Kontroll" shërben për të kontrolluar nëse është bërë ndonjë gabim llogjikë. Ai kontrollon që totati I kostos së produktit është I bararabartë me totalin e kostos së produktit sipas artikujve ekonomik. Në rast se ky total nuk është në rregull, formula gjeneron automatikisht mesazhin "Error", duke ju paralajmëruar që është bërë një gabim.</t>
  </si>
  <si>
    <t>Treguesit e Performancës në nivel Qëllimi*</t>
  </si>
  <si>
    <t>Treguesit e Performancës për Objektivin 1**</t>
  </si>
  <si>
    <t>Shpenzimet Korrente</t>
  </si>
  <si>
    <t>Produkti 1***</t>
  </si>
  <si>
    <t>xxxxx</t>
  </si>
  <si>
    <t>Blerje pajisje zyre</t>
  </si>
  <si>
    <t>Numër</t>
  </si>
  <si>
    <r>
      <t xml:space="preserve">Detajimi i Kostos Totale të </t>
    </r>
    <r>
      <rPr>
        <b/>
        <sz val="8"/>
        <color indexed="10"/>
        <rFont val="Garamond"/>
        <family val="1"/>
      </rPr>
      <t>Produktit 1</t>
    </r>
    <r>
      <rPr>
        <b/>
        <sz val="8"/>
        <color indexed="8"/>
        <rFont val="Garamond"/>
        <family val="1"/>
      </rPr>
      <t xml:space="preserve"> sipas Artikujve Ekonomikë</t>
    </r>
  </si>
  <si>
    <t>Trend rritës</t>
  </si>
  <si>
    <t>Emërtimi i Treguesit x (shto tregues sipas rastit)</t>
  </si>
  <si>
    <t>Vlera Bazë</t>
  </si>
  <si>
    <t>Vlera e Synuar</t>
  </si>
  <si>
    <t>Detajimi i Kostos Totale të Produktit 1 sipas Artikujve Ekonomikë</t>
  </si>
  <si>
    <t xml:space="preserve">Shënim: Shpjegoni supozimet dhe llogaritjet për Produktin 2 (Metoda 2) </t>
  </si>
  <si>
    <t xml:space="preserve">Shënim: Shpjegoni supozimet dhe llogaritjet për Produktin X (Metoda 2) </t>
  </si>
  <si>
    <t>Kosto totale e produktit 5</t>
  </si>
  <si>
    <t>Shënim: Shpjegoni supozimet dhe llogaritjet për Produktin 2</t>
  </si>
  <si>
    <t>Shënim: Shpjegoni supozimet dhe llogaritjet për Produktin 4</t>
  </si>
  <si>
    <t>trend rritës</t>
  </si>
  <si>
    <t xml:space="preserve">Produkti 2 </t>
  </si>
  <si>
    <t xml:space="preserve">FORMAT 2: FORMATI STANDARD I PËRGATITJES SË KËRKESAVE BUXHETORE PBA 2019-2021 </t>
  </si>
  <si>
    <t>Produkti X (shto produkte sipas rastit)</t>
  </si>
  <si>
    <t>Emërtimi i Projektit të Investimeve</t>
  </si>
  <si>
    <t>Pajisje zyre</t>
  </si>
  <si>
    <t>Produkti A</t>
  </si>
  <si>
    <t>Kosto totale e produktit A</t>
  </si>
  <si>
    <t>Produkti B</t>
  </si>
  <si>
    <t>Kosto totale e produktit B</t>
  </si>
  <si>
    <t xml:space="preserve">Kodi i Projektit të Investimeve </t>
  </si>
  <si>
    <t>Produkti C</t>
  </si>
  <si>
    <t>Kosto totale e produktit C</t>
  </si>
  <si>
    <t>Kosto totale e produktit D</t>
  </si>
  <si>
    <t>Treguesit e Performancës për Objektivin 2**</t>
  </si>
  <si>
    <t>Produkti E</t>
  </si>
  <si>
    <t>Kosto totale e produktit E</t>
  </si>
  <si>
    <t>Kosto totale e produktit I</t>
  </si>
  <si>
    <t>Planifikimi, Menaxhimi dhe Administrimi</t>
  </si>
  <si>
    <t>trend rrites</t>
  </si>
  <si>
    <t>Produkti 2***</t>
  </si>
  <si>
    <t>Blerje Pajisje</t>
  </si>
  <si>
    <t xml:space="preserve">Produkti 1 </t>
  </si>
  <si>
    <t xml:space="preserve">Numër </t>
  </si>
  <si>
    <t>copë</t>
  </si>
  <si>
    <t>Veprimtaria gjyqsore kushtetuese</t>
  </si>
  <si>
    <t>03320</t>
  </si>
  <si>
    <t>Realizimi i veprimtarise gjyqsore kushtetuese per garantimin e respektimit te Kushtetutës dhe interpretimit përfundimtar të saj, zgjidhja e mosmarrëveshjeve kushtetuese, në lidhje me ndarjen e pushteteve, ankesat e individëve, lidhur  me cënimin e të drejtave kushtetuese, etj. nepermjet nje proçesi te drejte ligjor dhe transparent</t>
  </si>
  <si>
    <t>Garantimi i respektimit te Kushtetutës dhe interpretimit përfundimtar të saj. Gjykata Kushtetuese si nje organ kushtetues i pavarur kontribuon per forcimin e shtetit te se drejtes, nepermjet vendimmarrjes per ndertimin e nje shteti te lire, demokratik e paqedashes, duke garantuar respektimin e te drejtave kushtetuese te çdo shtetasi, zgjidhjen e mosmarrëveshjeve kushtetuese, ne konfliktin e kompetencave ndermjet pushteteve, pajtueshmërinë e marrëveshjeve ndërkombëtare me Kushtetutën, pajtueshmërinë e akteve normative të organeve qëndrore dhe vendore me Kushtetutën dhe me marrëveshjet ndërkombëtare, kushtetueshmërinë e partive, organizatave të tjera politike, si dhe të veprimtarisë së tyre etj.</t>
  </si>
  <si>
    <t>Realizimi i proçeseve gjyqsore, te drejta dhe te hapura ne mbrojtje te kushtetutes dhe lirive e te drejtave themelore te njeriut.</t>
  </si>
  <si>
    <t>Numer vendimesh</t>
  </si>
  <si>
    <t>Informatizimi i veprimtarise se gjykates</t>
  </si>
  <si>
    <t>Informatizimi i veprimtarise se gjykates per nje vendimarrje te drejte dhe te hapur per publikun e gjere, institucionet e shoqerine civile.</t>
  </si>
  <si>
    <t>numer paisjesh/cope</t>
  </si>
  <si>
    <t>Automjete te mirembajtura</t>
  </si>
  <si>
    <t>Numer automjetesh</t>
  </si>
  <si>
    <t>numer/cope</t>
  </si>
  <si>
    <r>
      <t xml:space="preserve">Detajimi i Kostos Totale të </t>
    </r>
    <r>
      <rPr>
        <b/>
        <sz val="12"/>
        <color rgb="FFFF0000"/>
        <rFont val="Garamond"/>
        <family val="1"/>
      </rPr>
      <t>Produktit C</t>
    </r>
    <r>
      <rPr>
        <b/>
        <sz val="12"/>
        <color theme="1"/>
        <rFont val="Garamond"/>
        <family val="1"/>
      </rPr>
      <t xml:space="preserve"> sipas Artikujve Ekonomikë</t>
    </r>
  </si>
  <si>
    <t>Treguesit e Performancës për Objektivin 4</t>
  </si>
  <si>
    <t>Punonjes te motivuar</t>
  </si>
  <si>
    <t>Sigurimi i pavaresise se veprimtarise se institucionit me kapacitetet njerezore, fondet buxhetore dhe burimet materiale te nevojshme.</t>
  </si>
  <si>
    <t>Numer punonjesish</t>
  </si>
  <si>
    <t>Produkti D</t>
  </si>
  <si>
    <r>
      <t xml:space="preserve">Detajimi i Kostos Totale të </t>
    </r>
    <r>
      <rPr>
        <b/>
        <sz val="12"/>
        <color rgb="FFFF0000"/>
        <rFont val="Garamond"/>
        <family val="1"/>
      </rPr>
      <t>Produktit D</t>
    </r>
    <r>
      <rPr>
        <b/>
        <sz val="12"/>
        <color theme="1"/>
        <rFont val="Garamond"/>
        <family val="1"/>
      </rPr>
      <t xml:space="preserve"> sipas Artikujve Ekonomikë</t>
    </r>
  </si>
  <si>
    <t>Emërtimi i Treguesit 1</t>
  </si>
  <si>
    <t>Emërtimi i Treguesit 2</t>
  </si>
  <si>
    <t xml:space="preserve">Veprimtaria e Komisionerit Publik </t>
  </si>
  <si>
    <t>Veprimtaria e Institucionit te Komisionereve Publike</t>
  </si>
  <si>
    <t xml:space="preserve">Respektimi i Afateve ligjore dhe parimit te procesit te rregullt dhe respektimit te te drejtave themelore te subjektit te rivleresimit, gjate ushtrimit te kompetencave ligjore te ankimit ndaj vendimeve te KPK.  </t>
  </si>
  <si>
    <t xml:space="preserve">Krijimi i Kushteve cilesore e profesionale te punes per Komisioneret Publike, Njesine Ligjore dhe stafin administrativ ne funksion te ushtrimit te aktivitetit </t>
  </si>
  <si>
    <t xml:space="preserve">Kushte pune cilesore e profesionale </t>
  </si>
  <si>
    <t xml:space="preserve">Pajisje Elektronike </t>
  </si>
  <si>
    <t>Produkti 1/Objektivi 2</t>
  </si>
  <si>
    <t xml:space="preserve">Blerje pajisje elektronike </t>
  </si>
  <si>
    <t xml:space="preserve">Sete Pune </t>
  </si>
  <si>
    <t>Software menaxhimit çeshtjeve</t>
  </si>
  <si>
    <t>Produkti 2/Objektivi 2</t>
  </si>
  <si>
    <t>Software</t>
  </si>
  <si>
    <t xml:space="preserve">Software per aktivitetin financiar </t>
  </si>
  <si>
    <t>Produkti 3/Objektivi 2</t>
  </si>
  <si>
    <t>Produkti 4/Objektivi 2</t>
  </si>
  <si>
    <t xml:space="preserve">Blerje pajisje e mobilje  ( Sete pune ) </t>
  </si>
  <si>
    <t>Blerje automjeti</t>
  </si>
  <si>
    <t>Produkti 5/Objektivi 2</t>
  </si>
  <si>
    <t>Automjet</t>
  </si>
  <si>
    <t>Programi koordinon dhe monitoron performancën e institucionit, veçanërisht për të promovuar një përdorim më efiçent dhe efektiv të burimeve njerëzore dhe financiare në mbrojtje të të dhënave dhe interesave të ligjshme të kandidatëve, ofertuesve apo furnizuesve nga veprimet apo mosveprimet e paligjshme e të parregullta të autoriteteve kontraktore në fushën e prokurimit publik, nëpërmjet hetimit të procedurave administrative të prokurimeve publike.</t>
  </si>
  <si>
    <t>Vendime mbi hetimin e procedurave të prokurimit</t>
  </si>
  <si>
    <t>Shqyrtimi ne kohe dhe me efiçence i ankesave</t>
  </si>
  <si>
    <t>Vendime të marra</t>
  </si>
  <si>
    <t>VEPRIMTARI  ARSIMORE</t>
  </si>
  <si>
    <t>09820</t>
  </si>
  <si>
    <t>Fusha e veprimit të këtij programi konsiston në planifikimin, menaxhimin dhe administrimin me efikasitet të fondeve buxhetore me qëllim realizimin e objektivave kryesore të tij, në lidhje me procesin e formimit fillestar dhe të vazhduar të magjistratëve, avokatë shteti, keshilltar/ndihmës ligjor, kancelar, si dhe në drejtim të punës kërkimore shkencore dhe botimeve.</t>
  </si>
  <si>
    <t xml:space="preserve">numer kandidate </t>
  </si>
  <si>
    <t>M550001</t>
  </si>
  <si>
    <t>Produkti 3 (shto produkte sipas rastit)</t>
  </si>
  <si>
    <t xml:space="preserve">Shënim: Shpjegoni supozimet dhe llogaritjet për Produktin 3 </t>
  </si>
  <si>
    <t>100%</t>
  </si>
  <si>
    <t>Hartim/krijim te 20 kurikula</t>
  </si>
  <si>
    <t>numer kurikula</t>
  </si>
  <si>
    <t xml:space="preserve">Konsolidimi i Programit të  Formimit/Trajnimit Vazhdues të magjistratëve në detyrë, të avokatëve të shtetit në detyrë dhe këshilltar/ndihmës ligjor e kancelarë që punojnë në gjykata dhe prokurori nëpërmjet zhvillimit të sesioneve trajnuese për të gjitha këto kategori.
</t>
  </si>
  <si>
    <t>Nr. sesione trajnuese</t>
  </si>
  <si>
    <t>Kategoria 2: Shpenzimet per projekte investimesh</t>
  </si>
  <si>
    <t>Blerje  1 cope Autoveture</t>
  </si>
  <si>
    <t>Konsolidimi i veprimtarisë kërkimore-shkencore, botimeve dhe publikimeve në fusha të ndryshme juridike, për krijimin gradual të një qëndre burimore për të drejtën e BE, si dhe rritja e përmirësimi i kapaciteteve institucionale nëpërmjet ndërtimit të një godine të re dhe bashkëkohore për Shkollën e Magjistraturës.</t>
  </si>
  <si>
    <t>50%</t>
  </si>
  <si>
    <t>Produktet për Objektivin 4</t>
  </si>
  <si>
    <t xml:space="preserve">Botimi i 3 nr.te revistes Jeta Juridike  </t>
  </si>
  <si>
    <t>nr.botimesh</t>
  </si>
  <si>
    <t>M550005</t>
  </si>
  <si>
    <t>M550008</t>
  </si>
  <si>
    <t>Buxheti Gjyqesor</t>
  </si>
  <si>
    <t>Ky program konsiston ne mbeshtetjen buxhetore te sherbimeve gjyqesore dhe permiresimin e infrastruktures se  gjykatave me qellim sjelljen e tyre ne parametrat dhe cilesine e performances se ngjashme me vendet e BE.</t>
  </si>
  <si>
    <t>Numer Institucioni</t>
  </si>
  <si>
    <t>M290072</t>
  </si>
  <si>
    <t>Produkti K</t>
  </si>
  <si>
    <t>03310</t>
  </si>
  <si>
    <t>Menaxhimi me efektivitet dhe eficence i fondeve buxhetore qe miratohen per pushtetin gjyqesor.</t>
  </si>
  <si>
    <t>Çeshtje te gjykuara</t>
  </si>
  <si>
    <t>Realizimi i proceseve gjyqesore nga gjyqtaret dhe stafi mbeshtetes</t>
  </si>
  <si>
    <t>Numer ceshtjesh</t>
  </si>
  <si>
    <t>M290068</t>
  </si>
  <si>
    <t>Siperfaqe godine e rikonstruktuar</t>
  </si>
  <si>
    <t>metra 2</t>
  </si>
  <si>
    <t>Produkti F</t>
  </si>
  <si>
    <t>Mobilje per zyra dhe salla gjyqi ne gjykata</t>
  </si>
  <si>
    <t>Do furnizohen gjykatat me pajisje dhe mobilje per zyra dhe salla gjyqi</t>
  </si>
  <si>
    <t>Nr institucionesh</t>
  </si>
  <si>
    <t>Kosto totale e produktit F</t>
  </si>
  <si>
    <t>Produkti G</t>
  </si>
  <si>
    <t>Elemente sigurie per gjykatat</t>
  </si>
  <si>
    <t>Do te instalohen  elementeve te sigurise ne gjykata</t>
  </si>
  <si>
    <t>Kosto totale e produktit G</t>
  </si>
  <si>
    <t>Shënim: Shpjegoni supozimet dhe llogaritjet për Produktin G</t>
  </si>
  <si>
    <t>Produkti H</t>
  </si>
  <si>
    <t>Pajisje te tjera ne funksion te aktivitetit te gjykatave</t>
  </si>
  <si>
    <t xml:space="preserve">Pajisje te tjera  te domosdoshme per disa ambjente te gjykatave  </t>
  </si>
  <si>
    <t>Kosto totale e produktit H</t>
  </si>
  <si>
    <t>Shënim: Shpjegoni supozimet dhe llogaritjet për Produktin H</t>
  </si>
  <si>
    <t>M290075</t>
  </si>
  <si>
    <t xml:space="preserve">Blerje automjetesh </t>
  </si>
  <si>
    <t>Produkti I</t>
  </si>
  <si>
    <t>Automjete per gjykatat</t>
  </si>
  <si>
    <t>Do te blihen automjete per gjykatat</t>
  </si>
  <si>
    <t>Blerje Motorçikleta</t>
  </si>
  <si>
    <t>Produkti J</t>
  </si>
  <si>
    <t>Motorçikleta per gjykatat</t>
  </si>
  <si>
    <t>Do te blihen motorçikleta per gjykatat</t>
  </si>
  <si>
    <t>Kosto totale e produktit J</t>
  </si>
  <si>
    <t>Shënim: Shpjegoni supozimet dhe llogaritjet për Produktin J</t>
  </si>
  <si>
    <t>M290087</t>
  </si>
  <si>
    <t>Siperfaqe godine e re</t>
  </si>
  <si>
    <t>Ky produkt konsiston ne ndertimin e godinave te reja per gjykatat.</t>
  </si>
  <si>
    <t xml:space="preserve">M290066 </t>
  </si>
  <si>
    <t>Projekt zbatimi per godina</t>
  </si>
  <si>
    <t>Hartimi i projekteve per ndertimin e godinave te reja per gjykatat</t>
  </si>
  <si>
    <t>Numer projektesh</t>
  </si>
  <si>
    <t>Pajisje elektronike per gjykatat</t>
  </si>
  <si>
    <t>Do realizohet blerja e pajisjeve elektronike per gjykatat</t>
  </si>
  <si>
    <t>"Planifikimi, Menaxhimi dhe Administrimi"</t>
  </si>
  <si>
    <t>1110</t>
  </si>
  <si>
    <t>Fuqizimi i kapaciteteve të nevojshme për mirëfunksionimin e Zyrës së Komisionerit për Mbrojtjen nga Diskriminimi; përafrimi i legjislacionit në fushën e zbatimit të parimit të barazisë dhe mosdiskriminimit me legjislacionin e Bashkimit Europian; sigurimi i zbatimit të legjislacionit ekzistues dhe zbatimi i strategjive për realizimin e këtij synimi; vendosja e marrdhenjeve dhe hartimi marreveshjeve të bashkëpunimit me të gjithë aktorët që ndikojnë në zbatimin e kërkesave ligjore në fushën e zbatimit të parimit të barazisë; nxitja dhe ndërgjegjësimi i komuniteteve që kanë interes të drejtpërdrejtë si dhe të gjithe shoqërisë mbi mundësitë e zbatimit të parimit të mësipërm, për të garantuar maksimalisht parimin e barazisë dhe mosdiskrimimit.</t>
  </si>
  <si>
    <t>Sigurimi i të  drejtës së çdo personi për  barazi përpara ligjit dhe mbrojtje të barabartë nga ligji, barazi të shanseve dhe mundësive për të ushtruar të drejtat, për të gëzuar liritë dhe për të marrë pjesë në jetën publike, mbrojtje efektive nga diskriminimi dhe nga çdo formë sjellje që nxit diskriminimin.</t>
  </si>
  <si>
    <t>Raste të suksesshme diskriminimi ndaj totalit të cështjeve të gjykuara (numri i vendimeve te konfirmuara nga gjykata me forme prere dhe vendime diskriminimi dhe demshperblim, ne raport me numrin total te çeshtjeve gjyqesore)</t>
  </si>
  <si>
    <t xml:space="preserve">Evidentimi në kohë dhe trajtimi me efektivitet i cështjeve të diskriminimit </t>
  </si>
  <si>
    <t>Cështje të iniciuara nga KMD</t>
  </si>
  <si>
    <t xml:space="preserve">Ankesa drejtuar KMD </t>
  </si>
  <si>
    <t>Ankesa ndaj sektorit privat</t>
  </si>
  <si>
    <t xml:space="preserve">Vendime diskriminimi të zbatuara nga subjektet të cilave u drejtohen </t>
  </si>
  <si>
    <t>Cështje të përfaqësuara me efektivitet në gjykatë (numri i vendimeve te konfirmuara nga gjykata me forme prere dhe vendime diskriminimi dhe demshperblim, ne raport me numrin total te çeshtjeve gjyqesore)</t>
  </si>
  <si>
    <t>Vendimet e KMD</t>
  </si>
  <si>
    <t>Procedurat administrative: hetime dhe inspektime, seanca dëgjimore, komunikime shkresore, vendimmarrje</t>
  </si>
  <si>
    <t xml:space="preserve"> numër</t>
  </si>
  <si>
    <t>Produkti2</t>
  </si>
  <si>
    <t xml:space="preserve">Prapësime, shpjegime dhe mendime me shkrim përpara gjykatës dhe procedurat e ekzekutimit te vendimeve te KMD </t>
  </si>
  <si>
    <t>Përfaqësimi në procese gjyqësore, përfshirë hartimin e dokumentacionit, përcjelljen e akteve dhe ndjekjen e seancave, si dhe procedurat për ekzekutimin e titujve ekzekutiv, vendimeve te KMD.</t>
  </si>
  <si>
    <t>Rrjtja e ndërgjegjësimit të qytetarëve, institucioneve dhe organizatave me interesa legjitime, në Shqipëri, lidhur me mbrojtjen nga dsikriminimi dhe rolin e KMD-së dhe bashkëpunimit me aktorë të ndryshëm.</t>
  </si>
  <si>
    <t xml:space="preserve">Vendime mospranimi të ankesës </t>
  </si>
  <si>
    <t>Informacione të referuara nga organizata me interesa legjitime, institucione etj.</t>
  </si>
  <si>
    <t>Rritja e numrit të ankesave</t>
  </si>
  <si>
    <t>Qytetarë të ndërgjegjësuar</t>
  </si>
  <si>
    <t>Qytetarë të informuar lidhur me mbrojtjen nga diskriminimi, rolin e KMD-së dhe Barazinë Gjinore.</t>
  </si>
  <si>
    <t xml:space="preserve">Punonjës, të sektorit publik dhe privat, të trajnuar </t>
  </si>
  <si>
    <t xml:space="preserve">Punonjës, të sektorit publik dhe privat, të trajnuar në lidhje me mbrojtjen nga diskriminimi, rolin e KMD-së dhe Barazinë Gjinore. </t>
  </si>
  <si>
    <t xml:space="preserve">Përshtatje e zyrave </t>
  </si>
  <si>
    <t>Pershtatje e ambjenteve te KMD per Arkiv/Protokoll</t>
  </si>
  <si>
    <t>Sipërfaqe në m2</t>
  </si>
  <si>
    <t xml:space="preserve">Pajisja e zyrave te KMD me qellim permbushjen e nevojave te stafit per mirefunksionimin </t>
  </si>
  <si>
    <t>Pajisje kompjuterike (informatike)</t>
  </si>
  <si>
    <t>Pajisja e punonjësve të KMD me qëllim përmbushjen e nevojave të stafit për ushtrimin e detyrave të tyre</t>
  </si>
  <si>
    <t>Ndergjegjesimi  dhe njohja e opinionit publik, shkencor dhe akademik nepermjet botimit, publikimit dhe shpërndarjes të të gjitha materialeve të mbledhura dhe të analizuara të periudhës së regjimit komunist.</t>
  </si>
  <si>
    <t>% e numrit te librave, vellimet e Enciklopedise, numri dokumentat e marra nga arkivat e ndryshme, dhe nr i intervistave me ish te denuar te mbetur akoma gjalle, dokumentar e minidokumentar per ate periudhe</t>
  </si>
  <si>
    <t xml:space="preserve">trend rrites </t>
  </si>
  <si>
    <t>Pergatitja dhe botimi i "Fjalorit enciklopedik të viktimave të terrorit Komunist", Vëllimi  VII,  germa R-S dhe  Kolanes 13-15 librave qe jane deshmi, memuare, studime shkencore, albume  etj</t>
  </si>
  <si>
    <t>M920008</t>
  </si>
  <si>
    <t xml:space="preserve">Zgjerimi i kapaciteteve te bibliotekes </t>
  </si>
  <si>
    <t>Zgjerimi i rafteve te bibliotekes per ekzpozimin e librave te botuar ne ambjente te tjera brenda ISKK</t>
  </si>
  <si>
    <t>M920009</t>
  </si>
  <si>
    <t>Zevendesimi i pajisjeve kompjuterike</t>
  </si>
  <si>
    <t>ISKK, ne funksion te rritjes se efikasitetit te punes se punonjesve merr persiper te bleje pajisje te reja kompjuterike sipas standarteve ne fuqi te AKSHI-it</t>
  </si>
  <si>
    <t>Veprimtaria   Statistikore</t>
  </si>
  <si>
    <t>01320</t>
  </si>
  <si>
    <t>Konsiston në prodhimin e të dhënave statistikore zyrtare, cilësore dhe të besueshme, të nevojshme për vëzhgimin e situatës socio-ekonomike në Republikën e Shqipërisë, duke respektuar të drejtën e përdoruesve për të dhëna zyrtare si dhe në përmbushje të detyrimeve që lindin nga Programi pesëvjeçar për Statistikat Zyrtare, i miratuar nga Kuvendi. Cilësia statistikore arrihet nëpërmjet përmirësimit të funksionimit dhe menaxhimit të Institucionit, zhvillimit të kapaciteteve menaxhuese në implementimin e objektivave afatshkurtra dhe afatmesme që bëjnë të mundur përmbushjen e standarteve të vendosura nga BE , në garantimin e përmirësimit të vazhdueshëm të përdorimit të burimeve njerzore dhe financiare të INSTAT-it.</t>
  </si>
  <si>
    <t xml:space="preserve">Rritja e cilësisë  së prodhimit statistikor dhe shtimi i burimeve primare të të dhënave nëpërmjet përforcimit të kapaciteteve profesionale të stafit të INSTAT dhe përmirësimit të infrastrukturës së prodhimit statistikor. </t>
  </si>
  <si>
    <t>Përmirësimi i cilësisë së vrojtimeve statistikore</t>
  </si>
  <si>
    <t>Njësi statistikore të vrojtuara</t>
  </si>
  <si>
    <t>Rritja e numrit të njësive statistikore për marrjen e informacioneve ekonomiko- sociale, për të zgjeruar shkallën e përfaqësimit të popullatës.</t>
  </si>
  <si>
    <t>Numer</t>
  </si>
  <si>
    <t>Anketues, operatorë dhe kontrollorë të trajnuar</t>
  </si>
  <si>
    <t>Trajnimi profesional i anketuesve, operatorëve, kontrollorëve për realizimin me cilësi të vrojtimeve statistikore.</t>
  </si>
  <si>
    <t>Prodhimi dhe shpërndarja në kohë e me cilësi  të produkteve statistikore.</t>
  </si>
  <si>
    <t>Produktet për Objektivin2</t>
  </si>
  <si>
    <t>Te dhena statistikore   te publikuara</t>
  </si>
  <si>
    <t>Rritja e perfomancës  së  institucionit duke aplikuar një menaxhim të lartë administrativ, financiar dhe   njerëzor.</t>
  </si>
  <si>
    <t>Rritja e numrit të punonjesve të trajnuar</t>
  </si>
  <si>
    <t>Rritja e numrit të auditimeve të kryera</t>
  </si>
  <si>
    <t>Personel i trajnuar</t>
  </si>
  <si>
    <t xml:space="preserve">Pjesemarrja e personelit në vrojtimet statistikore,në kurse te ndryshme , seminare, work shope  etj.      
</t>
  </si>
  <si>
    <t>Auditime te kryera.</t>
  </si>
  <si>
    <t>Auditime te kryera per zbatimin e ligjishmerise dhe perdorimin me efektivitet te fondeve buxhetore</t>
  </si>
  <si>
    <t>Përmirësimi i infrastrukturës së prodhimit statistikor</t>
  </si>
  <si>
    <t>Blerja e licencave të software-ve për të përditësuar infrastrukturen e nevojshme për kryerjen e proceseve të përpunimit të të dhenave statistikore.</t>
  </si>
  <si>
    <t>Cope</t>
  </si>
  <si>
    <t>Paisje zyre te blera</t>
  </si>
  <si>
    <t>Planifikimi/Menaxhimi/Administrimi</t>
  </si>
  <si>
    <t>Numri i rritur i kerkesave nga institucionet dhe individet</t>
  </si>
  <si>
    <t>Numri i aktiviteteve dhe botimeve nga AIDSSH</t>
  </si>
  <si>
    <t>Koha e trajtimit të një kërkese</t>
  </si>
  <si>
    <t>60 ditë</t>
  </si>
  <si>
    <t>45 ditë</t>
  </si>
  <si>
    <t>35 ditë</t>
  </si>
  <si>
    <t>30 ditë</t>
  </si>
  <si>
    <t>Numri i ankesave</t>
  </si>
  <si>
    <t>Copë</t>
  </si>
  <si>
    <t>Aktivitete  studimore- kërkimore-shkencore</t>
  </si>
  <si>
    <t>Rishqyrtimin historik të veprimtarisë së ish-Sigurimit të Shtetit apo të edukimit qytetar nëpërmjet garantimit të mundësisë për shqyrtimin e dokumentave .</t>
  </si>
  <si>
    <t xml:space="preserve"> Numër aktivitetesh</t>
  </si>
  <si>
    <t>Ruajtje,  pershkrim, skanim, indeksim i dokumenteve te ish-Sigurimit te Shtetit.</t>
  </si>
  <si>
    <t>Rikonstruksion i godinës</t>
  </si>
  <si>
    <t xml:space="preserve">Zhvillimi dhe përshtatja e hapësirave të godinës ekzistuese,që përfshin zyrat e informacionit, ambjentet e shërbimit për publikun , zyrat e administratës si dhe arkivën fizike të Autoritetit. </t>
  </si>
  <si>
    <t>Metër katror</t>
  </si>
  <si>
    <t>Trend rrites</t>
  </si>
  <si>
    <t>Shënim: Shpjegoni supozimet dhe llogaritjet për Produktin 2  (Metoda 2)</t>
  </si>
  <si>
    <t>Planifikimi, Menaxhimi dhe Administrim</t>
  </si>
  <si>
    <t>Programi mundëson projektimin dhe planifikimin efiçent dhe efikas të shërbimeve që do të kryhen në Kuvendin e Shqipërisë me një impakt të lartë në veprimtarinë parlamentare, në përmbushje të funksioneve kushtetuese të Institucionit. Për të administruar me efikasistet resurset teknologjike, financiare dhe njerëzore, programi përcakton objektiva të qartë, të pranueshëm, realistë dhe të matshëm në kohë. Përmbushja e tyre garanton maksimizimin e rezultateve, një performancë në rritje, transparencë dhe përgjegjshmëri të lartë në përdorimin e fondeve buxhetore.</t>
  </si>
  <si>
    <t>Garantimi i standarteve bashkëkohore dhe shërbimeve cilësore në mbështetje të veprimtarisë parlamentare në Kuvendin e Shqipërisë. Zhvillimi dhe organizimi i kapaciteteve të nevojshme financiare, teknologjike dhe njerëzore për të siguruar mbarëvajtjen e aktiviteteve parlamentare në kohë, me cilësi dhe në shërbim të interesit publik.</t>
  </si>
  <si>
    <t>Sisteme elektronike funksionale</t>
  </si>
  <si>
    <t>Ambiente të përshtatshme pune</t>
  </si>
  <si>
    <t>Staf profesional dhe i trajnuar</t>
  </si>
  <si>
    <t>Të rritet niveli i transparencës, objektivitetit të informimit dhe aksesi i publikut në çështjet parlamentare</t>
  </si>
  <si>
    <t>Materiale informuese</t>
  </si>
  <si>
    <t>Analiza kërkimore në çështje parlamentare</t>
  </si>
  <si>
    <t>Diskutime në seanca dhe mbledhje komisione parlamentare të transkriptuara në mënyrë cilësore</t>
  </si>
  <si>
    <t>Informimi publik mbi veprimtarinë parlamentare</t>
  </si>
  <si>
    <t xml:space="preserve">Numër aktivitetesh </t>
  </si>
  <si>
    <t xml:space="preserve">Bazë të dhënash e pasuruar </t>
  </si>
  <si>
    <t>Pasurimi i fondit te librit në gjuhën shqipe dhe përmes blerjes së librave në gjuhë të huaj. Pasurimi i bazës me të dhëna Pro Cite, Juristi, ECPRD , si dhe zhvillimi i proceseve kërkimore në fushën legjislative dhe më gjerë mbi bazën e të dhënave ekzistuese dhe të tjerave në vijim. Hartimi i materialeve kërkimore mbi bazën e kërkesave të detajuara dhe të specifikuara nga deputetët e Kuvendit të Shqipërisë, por edhe proaktive bazuar në kalendarin dhe programin e punës së Kuvendit.</t>
  </si>
  <si>
    <t xml:space="preserve">Numër shërbimesh </t>
  </si>
  <si>
    <t>M020043      M020054       M020048</t>
  </si>
  <si>
    <t>Numër projekt investimesh</t>
  </si>
  <si>
    <t>Blerje Libra    ( M020029)</t>
  </si>
  <si>
    <t xml:space="preserve">Numër projektesh </t>
  </si>
  <si>
    <t>Të sigurohet arkitekturë optimale dhe bashkëkohore e teknologjisë së Informacionit</t>
  </si>
  <si>
    <t>Numër pajisjeve dhe sistemeve elekronike për tu përditësuar</t>
  </si>
  <si>
    <t>Numër pajisjeve dhe sistemeve elekronike të reja</t>
  </si>
  <si>
    <t>TI e mirëmbajtur, e zhvilluar dhe përditësuar</t>
  </si>
  <si>
    <t xml:space="preserve">Shërbim i TIK i avancuar </t>
  </si>
  <si>
    <t>Të sigurohet infrastrukturë dhe kushte optimale pune për veprimtarinë parlamentare</t>
  </si>
  <si>
    <t>Treguesit e Performancës për Objektivin 3**</t>
  </si>
  <si>
    <t>Transport i garantuar dhe i sigurtë për pritje përcjellje</t>
  </si>
  <si>
    <t>Kushte optimale pune</t>
  </si>
  <si>
    <t>Kuvendi i Shqipërisë ushtron veprimtarinë e tij në ambiente relativisht të gjera, në disa ndërtesa dhe qindra zyra pune, salla pritje, mbledhje për konferenca,  salla për media, salla e seancave plenare, salla të përshtatme për sisteme audio video për mbledhjet e komisioneve parlamentare, hapësira koridore, tualete, magazina, park autovetura etj.</t>
  </si>
  <si>
    <t>Transport i garantuar e cilësor</t>
  </si>
  <si>
    <t>Shërbimi i transportit në Kuvendin e Shqipërisë përfshin një flotë autoveturash të amortizuar për të cilat është hartuar një strategji për rinovim. Ky shërbim siguron transport të garantuar për Kryesinë e Kuvendit, për delegacione të huaja, aktivitetet e Kreut të Kuvendit etj.</t>
  </si>
  <si>
    <t>Të sigurohen kapacitete njerëzore profesionale në përgjigje të sfidave të reja</t>
  </si>
  <si>
    <t>Treguesit e Performancës për Objektivin 4**</t>
  </si>
  <si>
    <t>Burime njerëzore profesionale e ambicioze</t>
  </si>
  <si>
    <t xml:space="preserve"> Burimeve njerëzore të mirëmenaxhuara dhe efektive</t>
  </si>
  <si>
    <t xml:space="preserve">Përshtatja e strukturës organizative me misionin dhe qëllimin e Institucionit, ndjekja e procesit të vlerësimit të performancës që përcakton në mënyrë të detajuar hapat që ndiqen për vlerësimin periodik të punës së çdo punonjësi. Analiza e këtij vlerësimi për të planifikuar nevojat për trajnim. </t>
  </si>
  <si>
    <r>
      <t xml:space="preserve">Detajimi i Kostos Totale të </t>
    </r>
    <r>
      <rPr>
        <b/>
        <sz val="11"/>
        <color rgb="FFFF0000"/>
        <rFont val="Times New Roman"/>
        <family val="1"/>
        <charset val="238"/>
      </rPr>
      <t xml:space="preserve">Produktit 1 </t>
    </r>
    <r>
      <rPr>
        <b/>
        <sz val="11"/>
        <color theme="1"/>
        <rFont val="Times New Roman"/>
        <family val="1"/>
        <charset val="238"/>
      </rPr>
      <t>sipas Artikujve Ekonomikë</t>
    </r>
  </si>
  <si>
    <t xml:space="preserve">Numri i takimeve dhe aktiviteteve </t>
  </si>
  <si>
    <t>Funksionimi i zyrave zgjedhore synon afrimin e deputetit me zgjedhësit, duke ndikuar në njohjen e shqetësimeve dhe problemeve të tyre, për ti adresuar ato në sektorët përkatës.</t>
  </si>
  <si>
    <t>Takime dhe aktivitete të deputetëve me zgjedhësit</t>
  </si>
  <si>
    <t>Produktet për Objektivin 5</t>
  </si>
  <si>
    <t xml:space="preserve">Shpeshtësia e takimeve të deputetëve me zgjedhësit </t>
  </si>
  <si>
    <t xml:space="preserve">Tirazh </t>
  </si>
  <si>
    <t>Botime parlamentare</t>
  </si>
  <si>
    <t>Tirazhi i botimeve të Revistës së Kuvendit dhe kolanës së Punimeve Parlamentare</t>
  </si>
  <si>
    <t>Të realizojë botime parlamentare që sigurojne transparencën e veprimtarisë parlamentare ndër vite.</t>
  </si>
  <si>
    <t xml:space="preserve">Veprimtari e intensifikuar në përputhje me direktivat europiane </t>
  </si>
  <si>
    <t>Opininone ligjore/relacione për tu paraqitur në KIe</t>
  </si>
  <si>
    <t>Monitorimi i institucioneve të pavarura</t>
  </si>
  <si>
    <t>Akte ligjore të përafruara me legjislacionin e BE-së</t>
  </si>
  <si>
    <t xml:space="preserve">Të sigurohet përqindje më e lartë e pranueshmërisë nga KiE të opinioneve ligjore dhe rekomandimeve për projektligjet që i propozohen Kuvendit. </t>
  </si>
  <si>
    <r>
      <t xml:space="preserve">Detajimi i Kostos Totale të </t>
    </r>
    <r>
      <rPr>
        <b/>
        <sz val="11"/>
        <color rgb="FFFF0000"/>
        <rFont val="Times New Roman"/>
        <family val="1"/>
        <charset val="238"/>
      </rPr>
      <t>Produktit X</t>
    </r>
    <r>
      <rPr>
        <b/>
        <sz val="11"/>
        <color theme="1"/>
        <rFont val="Times New Roman"/>
        <family val="1"/>
        <charset val="238"/>
      </rPr>
      <t xml:space="preserve"> sipas Artikujve Ekonomikë</t>
    </r>
  </si>
  <si>
    <r>
      <t xml:space="preserve">Detajimi i Kostos Totale të </t>
    </r>
    <r>
      <rPr>
        <b/>
        <sz val="11"/>
        <color rgb="FFFF0000"/>
        <rFont val="Times New Roman"/>
        <family val="1"/>
        <charset val="238"/>
      </rPr>
      <t>Produktit 1</t>
    </r>
    <r>
      <rPr>
        <b/>
        <sz val="11"/>
        <color theme="1"/>
        <rFont val="Times New Roman"/>
        <family val="1"/>
        <charset val="238"/>
      </rPr>
      <t xml:space="preserve"> sipas Artikujve Ekonomikë</t>
    </r>
  </si>
  <si>
    <r>
      <t xml:space="preserve">Detajimi i Kostos Totale të </t>
    </r>
    <r>
      <rPr>
        <b/>
        <sz val="11"/>
        <color rgb="FFFF0000"/>
        <rFont val="Times New Roman"/>
        <family val="1"/>
        <charset val="238"/>
      </rPr>
      <t xml:space="preserve">Produktit 2 </t>
    </r>
    <r>
      <rPr>
        <b/>
        <sz val="11"/>
        <color theme="1"/>
        <rFont val="Times New Roman"/>
        <family val="1"/>
        <charset val="238"/>
      </rPr>
      <t>sipas Artikujve Ekonomikë</t>
    </r>
  </si>
  <si>
    <t xml:space="preserve">vizita pune dhe zyrtare </t>
  </si>
  <si>
    <t xml:space="preserve"> Ky produkt konsiston në pritjet dhe përcjelljet e delegacioneve parlamentare në Shqipëri, ceremoniali zyrtar, përkthime si dhe vizita në parlamentet e vendeve të tjera.</t>
  </si>
  <si>
    <t>Marrëdhenie parlamentare dypalëshe</t>
  </si>
  <si>
    <t>Numër konferencash</t>
  </si>
  <si>
    <t>Delegacionet e përhershme parlamentare shqiptare marrin pjesë në sesionet e asambleve parlamentare, në mbledhjet e komisioneve, etj të NATO-s, OSBE, PABSEC, IPU, PAM, SEECP, CEI, KiE etj</t>
  </si>
  <si>
    <t>Marrëdhënie ndërkombëtare shumëpalëshe</t>
  </si>
  <si>
    <t>Numri i delegacioneve parlamentare në Shqipëri</t>
  </si>
  <si>
    <t>Numri i delegacioneve parlamentare jashtë vendit</t>
  </si>
  <si>
    <t>Numri i konferencave brenda dhe jashtë vendit</t>
  </si>
  <si>
    <r>
      <t>Shënim: Shpjegoni supozimet dhe llogaritjet për Produktin 1 (Metoda 2)</t>
    </r>
    <r>
      <rPr>
        <b/>
        <sz val="11"/>
        <color rgb="FFFF0000"/>
        <rFont val="Times New Roman"/>
        <family val="1"/>
        <charset val="238"/>
      </rPr>
      <t>***</t>
    </r>
  </si>
  <si>
    <r>
      <t>Ndryshimi në % i Transfertave për familjet dhe individët si pasojë e ndryshimit të sasisë së produktit</t>
    </r>
    <r>
      <rPr>
        <b/>
        <i/>
        <sz val="11"/>
        <color rgb="FFFF0000"/>
        <rFont val="Times New Roman"/>
        <family val="1"/>
        <charset val="238"/>
      </rPr>
      <t>**</t>
    </r>
  </si>
  <si>
    <r>
      <t>Ndryshimi në % i Transfertave të jashtme si pasojë e ndryshimit të sasisë së produktit</t>
    </r>
    <r>
      <rPr>
        <b/>
        <i/>
        <sz val="11"/>
        <color rgb="FFFF0000"/>
        <rFont val="Times New Roman"/>
        <family val="1"/>
        <charset val="238"/>
      </rPr>
      <t>**</t>
    </r>
  </si>
  <si>
    <r>
      <t>Ndryshimi në % i Transfertave të brendshme si pasojë e ndryshimit të sasisë së produktit</t>
    </r>
    <r>
      <rPr>
        <b/>
        <i/>
        <sz val="11"/>
        <color rgb="FFFF0000"/>
        <rFont val="Times New Roman"/>
        <family val="1"/>
        <charset val="238"/>
      </rPr>
      <t>**</t>
    </r>
  </si>
  <si>
    <r>
      <t>Ndryshimi në % i Subvencioneve si pasojë e ndryshimit të sasisë së produktit</t>
    </r>
    <r>
      <rPr>
        <b/>
        <i/>
        <sz val="11"/>
        <color rgb="FFFF0000"/>
        <rFont val="Times New Roman"/>
        <family val="1"/>
        <charset val="238"/>
      </rPr>
      <t>**</t>
    </r>
  </si>
  <si>
    <r>
      <t>Ndryshimi në % i Mallrave dhe Shërbimeve si pasojë e ndryshimit të sasisë së produktit</t>
    </r>
    <r>
      <rPr>
        <b/>
        <i/>
        <sz val="11"/>
        <color rgb="FFFF0000"/>
        <rFont val="Times New Roman"/>
        <family val="1"/>
        <charset val="238"/>
      </rPr>
      <t>**</t>
    </r>
  </si>
  <si>
    <r>
      <t>Ndryshimi në % i Sigurimeve Shoqërore dhe Shendetësore si pasojë e ndryshimit të sasisë së produktit</t>
    </r>
    <r>
      <rPr>
        <b/>
        <i/>
        <sz val="11"/>
        <color rgb="FFFF0000"/>
        <rFont val="Times New Roman"/>
        <family val="1"/>
        <charset val="238"/>
      </rPr>
      <t>**</t>
    </r>
  </si>
  <si>
    <r>
      <t>Ndryshimi në % i Pagave si pasojë e ndryshimit të sasisë së produktit</t>
    </r>
    <r>
      <rPr>
        <b/>
        <i/>
        <sz val="11"/>
        <color rgb="FFFF0000"/>
        <rFont val="Times New Roman"/>
        <family val="1"/>
        <charset val="238"/>
      </rPr>
      <t>**</t>
    </r>
  </si>
  <si>
    <t>Numër aktesh</t>
  </si>
  <si>
    <t>Akte të miratuara gjatë veprimtarisë parlamentare në Kuvend</t>
  </si>
  <si>
    <t xml:space="preserve">Akte të miratuara nga Kuvendi   </t>
  </si>
  <si>
    <t>Numër mbledhje komisione</t>
  </si>
  <si>
    <t>Numër mbledhje seanca plenare</t>
  </si>
  <si>
    <t xml:space="preserve">Të rritet niveli i ekspertizës ligjore, transparenca dhe bashkëpunimi me shoqërinë civile dhe grupet e interesit në mbledhjen e komisioneve të Kuvendit dhe në të gjithë procesin legjislativ. </t>
  </si>
  <si>
    <t xml:space="preserve">Zyra zgjedhore </t>
  </si>
  <si>
    <t>Opinone dhe relacione për projektligje të përafruara</t>
  </si>
  <si>
    <t xml:space="preserve">Tirazh botimesh </t>
  </si>
  <si>
    <t>Numër aktivitetesh të Shërbimit të Marrdhënieve me Jashtë</t>
  </si>
  <si>
    <t>Numër aktesh që miratohen</t>
  </si>
  <si>
    <t>Politika e Kuvendit synon rritjen e cilësisë së ligjeve dhe vendimeve, të perafruara  me legjislacionin e BE-së, rritjen e mëtejshme të përformancës institucionale në kontrollin parlamentar, aktivizimin dhe forcimin e marrëdhënieve nderparlamentare me vendet e rajonit, vendet e BE-së, Parlamentin Europian, vendet anëtare të NATO-s, me vendet e Gjirit e më gjerë, në shërbim të prioriteteve, etj.</t>
  </si>
  <si>
    <t>Në përmbushje të detyrimeve kushtetuese, Kuvendi i Shqipërisë ushtron funksionin ligjvënës, të kontrollit mbi zbatueshmërinë e ligjeve, të zgjedhjes së qeverisë dhe miratimit të programit politik të saj, si dhe të emërimit ose dhënies së pëlqimit për anëtarët e organeve kushtetuese apo të krijuara me ligj, monitorimit dhe zbatimit të kuadrit ligjor dhe mbikqyrjen e zbatimit të pllitikave për çeshtjet e integrimit europian. Deputetët apo grupet parlamentare, të shumicës qeverisëse dhe të opozitës zhvillojnë debatin politik në Kuvend si përfaqësues të popullit. Veprimtaria parlamentare ushtrohet në komisionet e Kuvendit dhe në seancë plenare. Përmes marrëdhënieve intensive ndërparlamentare bilaterale dhe multiraterale, Kuvendi zhvillon një diplomaci parlamentare me synimin e forcimit të marredhenieve  me vendet e BE, rajonit dhe të gjitha ato vende me interesa strategjike. Monitorimi dhe zbatimi i kuadrit ligjor dhe mbikqyrja e politikave per ceshtjet e integrimit europian janë prioritete të punës në Kuvend.</t>
  </si>
  <si>
    <t>1120</t>
  </si>
  <si>
    <t>Veprimtaria legjislative, diplomacia dhe kontrolli parlamentar</t>
  </si>
  <si>
    <t>në /000 lek</t>
  </si>
  <si>
    <t>04120</t>
  </si>
  <si>
    <t>Mbikëqyrja e tregut për vendosjen e konkurrencës së lirë dhe efektive në treg nëpërmjet ndalimit të abuzimit me pozitën dominuese, evidentimit të marrëveshjeve të ndaluara si dhe kontrollit të përqëndrimeve dhe advokacia e konkurrencës.</t>
  </si>
  <si>
    <t>Mbikëqyrja dhe hetimi i tregjeve prodhuese dhe jo-prodhuese (abuzimi me pozitën dominuese dhe marrëveshjet e ndaluara)</t>
  </si>
  <si>
    <t>Niveli I zbatueshmërisë vendimeve të konkurrencës</t>
  </si>
  <si>
    <t xml:space="preserve"> Marrëveshje të ndaluara dhe abuzimi me pozitën dominuese</t>
  </si>
  <si>
    <t>Realizimi I procedurave investigative në tregjet përkatëse deri në hartimin e raportit përfundimtar dhe marrjes së vendimit nga komisioni I konkurrencës</t>
  </si>
  <si>
    <t>Numër Vendime/Raporte</t>
  </si>
  <si>
    <r>
      <t xml:space="preserve">Detajimi i Kostos Totale të </t>
    </r>
    <r>
      <rPr>
        <b/>
        <sz val="12"/>
        <color rgb="FFFF0000"/>
        <rFont val="Garamond"/>
        <family val="1"/>
      </rPr>
      <t>Produktit 1</t>
    </r>
    <r>
      <rPr>
        <b/>
        <sz val="12"/>
        <color theme="1"/>
        <rFont val="Garamond"/>
        <family val="1"/>
      </rPr>
      <t xml:space="preserve"> sipas Artikujve Ekonomikë</t>
    </r>
  </si>
  <si>
    <t>M770030</t>
  </si>
  <si>
    <t>Pajisje informatike</t>
  </si>
  <si>
    <t>Blerje pajisje informatike për përmirësimin e cilësisë së punës</t>
  </si>
  <si>
    <t>M770032</t>
  </si>
  <si>
    <t>Punime te brendshme rifinitura</t>
  </si>
  <si>
    <t>Riparime të pjesshme dhe punime të brendshme të zyrave të godinës</t>
  </si>
  <si>
    <t>Monitorimi dhe studimi i tregjeve dhe Kontrolli i përqëndrimeve për sigurimin e nje ekonomie tregu me efektive</t>
  </si>
  <si>
    <t>Numri i Vendimeve te Autorizimeve autorizimit te perqendrimeve</t>
  </si>
  <si>
    <t>Tregje ne monitorim</t>
  </si>
  <si>
    <t>Monitorimi, studimi i tregjeve dhe kontrolli i përqendrimeve</t>
  </si>
  <si>
    <t>Realizimi i raporteve për studim dhe monitorim tregjesh dhe raporteve për njoftim dhe autorizim përqendrimesh</t>
  </si>
  <si>
    <t>Numër Vendime/raporte</t>
  </si>
  <si>
    <r>
      <t xml:space="preserve">Detajimi i Kostos Totale të </t>
    </r>
    <r>
      <rPr>
        <b/>
        <sz val="12"/>
        <color rgb="FFFF0000"/>
        <rFont val="Garamond"/>
        <family val="1"/>
      </rPr>
      <t xml:space="preserve">Produktit 1 </t>
    </r>
    <r>
      <rPr>
        <b/>
        <sz val="12"/>
        <color theme="1"/>
        <rFont val="Garamond"/>
        <family val="1"/>
      </rPr>
      <t>sipas Artikujve Ekonomikë</t>
    </r>
  </si>
  <si>
    <t>M770002</t>
  </si>
  <si>
    <t>Pajisje zyrash</t>
  </si>
  <si>
    <t>Blerje pajisje zyrash tavoline etj për përmirësimin e cilësisë së punës</t>
  </si>
  <si>
    <t>Advokacia e Konkurrencës: Vlerësimi I akteve ligjore,  Përafrimi i legjislacionit sipas standardeve Europiane, Bashkëpunimi me entet rregullatore dhe organizmat ndërkombëtare.</t>
  </si>
  <si>
    <t>Akte te vleresuara dhe te perafruara</t>
  </si>
  <si>
    <t>Semirare dhe workshope te realizuara brenda dhe jashte vendit</t>
  </si>
  <si>
    <t>Advokacia e konkurrencës  dhe Integrimi Europian</t>
  </si>
  <si>
    <t>Numri i akteve te përafruara sipas PKIE dhe akteve të vlerësuara sipas neneve 69, 70 të ligjit 9121/2003</t>
  </si>
  <si>
    <t>Konferenca, seminare, trajnime, tryeza te rrumbullakëta nëpërmjet bashkëpunimeve rajonale dhe ndërkombëtare</t>
  </si>
  <si>
    <t xml:space="preserve">Realizime trajnimesh, seminaresh konferenca për forcim kapacitetesh administrative të vendeve homologe të BE në fushën e konkurrencës </t>
  </si>
  <si>
    <t xml:space="preserve"> Unifikimi i procedurave dhe menaxhimi i dokumentacionit arkivor ne RSH, per te siguruar ruajtjen, permiresimin dhe dixhitalizimin e tij.</t>
  </si>
  <si>
    <t>Ruajtja e vlerave historike kombetare permes aplikimit te standarteve bashkekohore per arkivimin e dokumentave</t>
  </si>
  <si>
    <t>Perpunimi i fondit arkivor dhe dixhitalizimi per te vene ne dispozicion te interesuarve informacione te ndryshme.</t>
  </si>
  <si>
    <t>Dokumenta te trajtuara ne vit</t>
  </si>
  <si>
    <t>Ruajtje, restaurim, pershkrim, skanim dhe sherbim i fondeve arkivore.</t>
  </si>
  <si>
    <t>meter linear</t>
  </si>
  <si>
    <t>M200006</t>
  </si>
  <si>
    <t>Blerje pajisjesh kompjuterike</t>
  </si>
  <si>
    <t>M200039</t>
  </si>
  <si>
    <t>Godine e re</t>
  </si>
  <si>
    <t>Ndertim godine e re ne Vendruajtjen Shkoze</t>
  </si>
  <si>
    <t>Nr godine</t>
  </si>
  <si>
    <t>M200040</t>
  </si>
  <si>
    <t>Godina te rikonstruktuara</t>
  </si>
  <si>
    <t>Rikonstruksion te godinave te DRASH-ve</t>
  </si>
  <si>
    <t>Nr. godine</t>
  </si>
  <si>
    <t>Produkti 5</t>
  </si>
  <si>
    <t>01520</t>
  </si>
  <si>
    <t>Projekte në kuadër të Protokollit AShSh – AShAShAK</t>
  </si>
  <si>
    <t>1. Projekte të reja në fushën e sizmologjisë, hidrologjisë, biodiversitetit (vazhdim)
2. Shkëmbime informacionesh në fusha të ndryshme të veprimtarive shkencore
3. Ekspedita të përbashkëta ndërdisiplinore
4. Shkëmbime reciproke të periodikëve dhe botimeve shkencore
5. Ligjërata të ndërsjella të akademikëve.</t>
  </si>
  <si>
    <t>Projekte, ekspedita, Ligjerata te ndersjellta te akademikeve</t>
  </si>
  <si>
    <t>Projekte në kuadër të marreveshjeve te bashkepunimit me Akademite e Shkencave dhe Arteve ne Kroaci, Mal te Zi dhe Maqedoni dhe arbereshet e Italise</t>
  </si>
  <si>
    <t>1. Projekte të reja në fusha te ndryshme
2. Shkëmbime informacionesh në fusha të ndryshme të veprimtarive shkencore
3. Ekspedita të përbashkëta ndërdisiplinore
4. Shkëmbime reciproke të periodikëve dhe botimeve shkencore
5. Ligjërata të ndërsjella të akademikëve.</t>
  </si>
  <si>
    <t>Projekte, ekspedita, Ligjerata te ndersjellta te akademikeve dhe botime ne fushat e strategjise rajonale per kerkim, zhvillim dhe inovacion</t>
  </si>
  <si>
    <t>M220071</t>
  </si>
  <si>
    <t>Blerje Pajisje Zyre</t>
  </si>
  <si>
    <t>M220078</t>
  </si>
  <si>
    <t>Blerje Pajisje Elektronike</t>
  </si>
  <si>
    <t>Propozon fusha të reja kërkimore e studimore, në përputhje me nevojat e zhvillimit të vendit</t>
  </si>
  <si>
    <t>Konferenca Shkencore Kombëtare dhe Ndërkombëtare</t>
  </si>
  <si>
    <t>• Analiza shkencore multidisiplinore me partnere kombetare dhe nderkombetare per vlerësimin e studimeve 
• Sensibilizimi i të gjithë vendimmarrësve politikë, të komunitetit mbarëshkencor, të shoqërisë civile e të sipërmarrësve privatë per problemet qe kerkojne zgjidhje
• Projekt-ide dhe propozime per hartimin e planeve të veprimit për zgjidhjen e problemeve qe kerkojne zgjidhje</t>
  </si>
  <si>
    <t>• Vlerësimi me interes të madh për zhvillimin e shkences ne vendin tonë.
• Rritja e interesit te te rinjve per edukimin ne shkence nepermjet ekspeditave ne terren, leksioneve</t>
  </si>
  <si>
    <t xml:space="preserve"> Konferenca Nderkombetare dhe pantnership ne organizma nderkombetare</t>
  </si>
  <si>
    <t>Ash, eshte anetare e nje sere organizmash nderkombetare prestigjoze si: ALLEA,IAP, TWAS, ETJ.Pjesemarrja ne to bene te detyrueshem pagimin e kuotizacionit te antaresimit dhe pjesemarrjen ne aktivitete te organizuara nga keto organizma. Njekohesisht Ash mbeshtet antaresimin e akademikeve ne organizmat nderkombetare.</t>
  </si>
  <si>
    <t>Partnership</t>
  </si>
  <si>
    <t>M220070</t>
  </si>
  <si>
    <t>Pasurim Fondi Biblioteke</t>
  </si>
  <si>
    <t>U ofron institucioneve të larta shtetërore këshillimin dhe ekspertizën e nevojshme në zgjidhjen e çështjeve të rëndësishme për zhvillimin e vendit</t>
  </si>
  <si>
    <t>Ngritja e Komisioneve me anetare te Akademise se Shkencave dhe specialistet me te kualifikuar ne fushat perkatese. Hartimi I nje broshure informative mbi problemet e trajtuara gjate Tryezes. Takime perkujtimore per figura te shquara dhe Promovime botimesh</t>
  </si>
  <si>
    <t xml:space="preserve">Tryeza të rrumbullakëta me grup ekspertësh për probleme te ndryshme shkencore </t>
  </si>
  <si>
    <t>Krijim baze i te dhenave, shkembim eksperience dhe transferim teknologjishe ne fusha respektive. Perkujtim I figurave te shquara  te ASHSH  dhe publikim veprash me karakter kombetar</t>
  </si>
  <si>
    <t>Tryeza të rrumbullakëta me grup ekspertësh për probleme te ndryshme shkencore Takime perkujtimore per figura te shquara dhe Promovime botimesh</t>
  </si>
  <si>
    <t>• Organizimi i Komisioneve me anëtarë të Akademisë së Shkencave dhe specialistët më të kualifikuar të fushave perkatese
• Realizimi i Tryezës së Rrumbullakët me anëtarët e Komisionit dhe specialistë të tjerë të fushës;</t>
  </si>
  <si>
    <t>Komisione Hartimi I broshurave informative Takime perkujtimore Promovime botimesh</t>
  </si>
  <si>
    <t xml:space="preserve"> Programi Edukimi ne shkence</t>
  </si>
  <si>
    <t>• Realizimi i Konferences me specialistët e fushës, 
• Organizimi i nje Tryeze te Rrumbullaket 
• Ekspedita ne terren</t>
  </si>
  <si>
    <t>Leksione, konferenca, ekspedita ne terren</t>
  </si>
  <si>
    <t>Boton organe periodike dhe vepra të tjera me nivel të lartë shkencor</t>
  </si>
  <si>
    <t xml:space="preserve">Publikim cilesor I dy revistave shkencore "Studia Albanica " "JNTS".Te botuara ne gjuhe te huaj ato perhapin eksperiencenn e kerkueseve me te mire shqipetare ne bote dhe evidentojne arritjet me te mire ne bashkepunim me kerkuesit e huaj . </t>
  </si>
  <si>
    <t>Publikime me karakter shkencor dhe hulumtues te akademikeve.</t>
  </si>
  <si>
    <t>Rritja e bashkepunimit ne fushen e botimeve me ASHAK dhe institucionet kerkimore dhe mesimore te Kosoves ne kuader te protokollit te bashkepunimit shkencor dhe artistik.</t>
  </si>
  <si>
    <t>Botime (revista dhe libra )</t>
  </si>
  <si>
    <t>1. Botime (revista dhe libra ) 1."Studia Albanica dhe AJNTS" jane dy revista shkencore ku kerkuesit botojne punimet e tyre me cilesore. Te botuara ne gjuhe te huaj ato perhapin eksperiencenn e kerkueseve me te mire shqipetare ne bote dhe evidentojne arritjet me te mire ne bashkepunim me kerkuesit e huaj . Revistat jane me grup editorial te huaj dhe shqipetare. revistat do te publikohen dhe on-line.2. Botimi i Raportit Vjetor te Akademise se Shkencave te Shqiperise per vitin 2014 ne gjuhen shqipe dhe angleze.3. Botim i veprave me te arrira dhe cilesore te akademikeve.4.Perditesimi i faqes se internetit te  ASHSh</t>
  </si>
  <si>
    <t>Botime dhe libra</t>
  </si>
  <si>
    <t>Organizon kongrese dhe konferenca shkencore dhe problemore në shkallë kombëtare e ndërkombëtare</t>
  </si>
  <si>
    <t>Këshilli Ndërakademik për gjuhën shqipe  ku do të diskutohen çështje të drejtshkrimit, saktësimit e plotësimit të normës drejtshkrimore.</t>
  </si>
  <si>
    <t>Projekte në kuadër të Protokollit AShSh – AShAShAK Projekte, ekspedita, Ligjerata te ndersjellta te akademikeve</t>
  </si>
  <si>
    <t xml:space="preserve">Konferenca Shkencore Kombëtare dhe Ndërkombëtare      • Analiza shkencore multidisiplinore me partnere kombetare dhe nderkombetare per vlerësimin e studimeve </t>
  </si>
  <si>
    <t xml:space="preserve">Konferenca Shkencore Kombëtare dhe Ndërkombëtare </t>
  </si>
  <si>
    <t xml:space="preserve"> Mbajtja e Konferences Shkencore Nderkombetare mbi problemet e mjedisit , biodiversitetit dhe hidrologjise etj.ne bashkëpunim me institucionet e tjera te kesaj fushe.  Ruajtja e fondit gjenetik në rrezik zhdukje dhe traditat etno-kulturore në përdorimin e biodiversitetit si pjesë e trashëgimisë kulturore;
</t>
  </si>
  <si>
    <t xml:space="preserve">Nr. Aktivitete shkencore; Botim i "Permbledhjeve te prezantimeve" dhe Rezoluta </t>
  </si>
  <si>
    <t xml:space="preserve">Këshilli Ndërakademik për gjuhën shqipe  </t>
  </si>
  <si>
    <t>Do të paraqiten në një buletin të veçantë rezultatet dhe vendimet përkatëse të Këshillit.</t>
  </si>
  <si>
    <t>Hartimi I nje buletini  per gjuhen Shqipe</t>
  </si>
  <si>
    <t>Objektivi 6 i Politikës së Programit</t>
  </si>
  <si>
    <t>Organizon konkurse dhe dhënie çmimesh shkencore</t>
  </si>
  <si>
    <t>Të mbështesë dhe promovojë studimet dhe hulumtimet origjinale shkencore, në përputhje me prioritetet thelbësore të kërkimit shkencor akademik dhe universitar, duke pasur parasysh zhvillimin social, ekonomik dhe kulturor të vendit.</t>
  </si>
  <si>
    <t>Për të inkurajuar konkurrencën dhe për të njohur cilësinë shkencore të arritjeve më të shquara në kërkimin shkencor, inovacionin e autorëve nga autorë shqiptarë / shqiptarë nga vende të tjera të botës, të cilat kanë vlera të shquara dhe origjinalitet, nivel të lartë kreativiteti, pavarësie, globale Rëndësinë dhe rëndësinë</t>
  </si>
  <si>
    <t>Të sigurohet përkrahja e kërkuesve të rinj më të suksesshëm, me kërkesa për cilësi shkencore dhe kërkime origjinale; Për të promovuar ndërveprimin dhe vazhdimësinë midis gjeneratave të studiuesve.
Të vlerësojë meritat shkencore të jetës së personaliteteve dhe karrierën</t>
  </si>
  <si>
    <t>Mbështet dhe promovojë studimet dhe hulumtimet origjinale shkencore.            
Njohjen e arritjeve më të shquara në kërkimin shkencor, inovacionin e autorëve nga autorë shqiptarë / shqiptarë nga vende të tjera të botës             
Siguron përkrahjen e kërkuesve të rinj më të suksesshëm,   
Të vlerësojë meritat shkencore të jetës së personaliteteve dhe karrierën</t>
  </si>
  <si>
    <t>çmimet shkencore vjetore, procedura e organizimit të garave shkencore</t>
  </si>
  <si>
    <t>M220076</t>
  </si>
  <si>
    <t>Rikontruksion dhe Lyerje Godine</t>
  </si>
  <si>
    <r>
      <t>Detajimi i Kostos Totale të</t>
    </r>
    <r>
      <rPr>
        <b/>
        <sz val="11"/>
        <color rgb="FFFF0000"/>
        <rFont val="Times New Roman"/>
        <family val="1"/>
        <charset val="238"/>
      </rPr>
      <t xml:space="preserve"> Produktit 2 </t>
    </r>
    <r>
      <rPr>
        <b/>
        <sz val="11"/>
        <color theme="1"/>
        <rFont val="Times New Roman"/>
        <family val="1"/>
        <charset val="238"/>
      </rPr>
      <t>sipas Artikujve Ekonomikë</t>
    </r>
  </si>
  <si>
    <r>
      <t xml:space="preserve">Detajimi i Kostos Totale të </t>
    </r>
    <r>
      <rPr>
        <b/>
        <sz val="11"/>
        <color rgb="FFFF0000"/>
        <rFont val="Times New Roman"/>
        <family val="1"/>
        <charset val="238"/>
      </rPr>
      <t>Produktit  3</t>
    </r>
    <r>
      <rPr>
        <b/>
        <sz val="11"/>
        <color theme="1"/>
        <rFont val="Times New Roman"/>
        <family val="1"/>
        <charset val="238"/>
      </rPr>
      <t xml:space="preserve"> sipas Artikujve Ekonomikë</t>
    </r>
  </si>
  <si>
    <r>
      <t xml:space="preserve">Detajimi i Kostos Totale të </t>
    </r>
    <r>
      <rPr>
        <b/>
        <sz val="11"/>
        <color rgb="FFFF0000"/>
        <rFont val="Times New Roman"/>
        <family val="1"/>
        <charset val="238"/>
      </rPr>
      <t>Produktit 2</t>
    </r>
    <r>
      <rPr>
        <b/>
        <sz val="11"/>
        <color theme="1"/>
        <rFont val="Times New Roman"/>
        <family val="1"/>
        <charset val="238"/>
      </rPr>
      <t xml:space="preserve"> sipas Artikujve Ekonomikë</t>
    </r>
  </si>
  <si>
    <t>Informacione në kohë reale</t>
  </si>
  <si>
    <t>Transport/udhëtime për pritje përcjellje</t>
  </si>
  <si>
    <t>1. (Veprimtaria e Ash për ShTI e zhvillim social-ekonomik të vendit                                         
Ash protagonist i zhvillimit të ShTI dhe zhvillimit ekonomik, social e kulturor të vendit.  Ky program synon realizimin e misionit të ASh në zhvillimet shkencore, teknologjike dhe intelektuale, në interes të integrimit europian të vendit, nëpërmjet: 
(i) hulumtimit të aspekteve më të rëndësishme social-ekonomike e trashëgimisë historiko-kulturore me qëllim ruajtjen e promovimin e vlerave me te mira kombëtare dhe zhvillimin e vlerave universale te demokracisë e respektimit të të drejtave të njeriut; 
(ii) hulumtimit të shkencave natyrore e teknike me qëllim përdorimin e metodologjive dhe teknologjive të përparuara; eficiente nga pikpamje ekonomike, të pranueshme nga pikpamja sociale dhe miqësore me mjedisin; 
(iii) rritjes së bashkëpunimit kombëtar e ndërkombëtar me institucionet e sistemit të ShTI dhe me akademitë e botës (ALLEA, TWOS, IAP) dhe organizma të tjera shkencore; 
(iv) vazhdimesisë së bashkëpunimit me Akademinë e Shkencave e Arteve të Kosovës, Kroaci, Mal te Zi dhe Maqedoni</t>
  </si>
  <si>
    <t>Veprimtaria mbikqyrese e Keshillit te Larte te Drejtesise</t>
  </si>
  <si>
    <t>Përmisimi i sistemit gjyqësor, duke forcuar pavarsinë, efikasitetin, trasparencën dhe qasjen e tij, me standartet më të mira europiane.</t>
  </si>
  <si>
    <t>Emërtimi i Treguesit 1: Eshte e pamundur te vendosim nje tregues ne nivel impakti, per shkak se sistemi i drejtesise eshte shume i gjere dhe matja e perceptueshmerise se ketij sistemi eshte e veshtire dhe do te realizohet ne vijim.</t>
  </si>
  <si>
    <t>Numri i inspektimeve të kryera për vleresimin etiko profesional te gjyqtareve dhe kryetarëve të gjykatave, kundrejtë programimit.</t>
  </si>
  <si>
    <t>Inspektime te kryera</t>
  </si>
  <si>
    <t>Nr. dosjesh</t>
  </si>
  <si>
    <t>Pajisjet e zyrave jane kryesisht zevendesim asetesh dhe shtim i tyre</t>
  </si>
  <si>
    <t>Produkti 2 (shto produkte sipas rastit)</t>
  </si>
  <si>
    <t>Veprimtaria e rivlerësimit kalimtar të magjistratit</t>
  </si>
  <si>
    <t>03330</t>
  </si>
  <si>
    <t>Rivleresimi kalimtar i prokuroreve dhe gjyqtareve ne bazuar ne tre kritere:
a) vlerësimi i pasurisë;
b) kontrolli i figurës; dhe
c) vlerësimi i aftësive profesionale e profesionalizmit.</t>
  </si>
  <si>
    <t>Përcaktimi i rregullave të posaçme për rivlerësimin kalimtar të të gjithë subjekteve të rivlerësimit për të garantuar funksionimin e shtetit të së drejtës, pavarësisë së sistemit të drejtësisë, si dhe rikthimin e besimit të publikut tek institucionet e këtij sistemi.</t>
  </si>
  <si>
    <t>Rivleresimi kalimtar i prokuroreve dhe gjyqetareve</t>
  </si>
  <si>
    <t>Dosje te perfunduara kundrejt totalit te dosjeve per shqyrtim</t>
  </si>
  <si>
    <t xml:space="preserve">Dosje te shqyrtuara </t>
  </si>
  <si>
    <t>Organizimi në 4 trupa gjykuese.
Shpërndarja e çështjeve në trupat gjykuese, tw cilwt kanw kwto aktivitete:             1. thërritja e mbledhjeve dhe seancave dëgjimore;
2. bashkërendimi i punës dhe marrja e masave për të garantuar zbardhjen e vendimeve.
3. Përgatitja e dosjes.
4. ndërmarrja e procedurave për të garantuar provat e nevojshme për procesin.
5. marrja e  masave për të hartuar dokumentacionin e nevojshëm, 
6. marrja e  informacionit shtesw. 
7.  marrja e vendimit .</t>
  </si>
  <si>
    <t xml:space="preserve">  Planifikimi, Menaxhimi dhe Administrim</t>
  </si>
  <si>
    <t>Ky Program konsiston në Planifikim, Menaxhim, Administrim, me eficensë të burimeve financiare, për mbarëvajtjen dhe mirefunksionimin institucional, për mbështetjen e stafit të ILDKPKI , në administrimin dhe kontrollin e interesave private, të zyrtarëve që mbartin detyrim për deklarim, duke patur si qëllim, hartimin e politikave dhe procedurave për administrimin efektiv të fondeve buxhetore nëpërmjet analizës dhe përcaktimit të standarteve në menyrë të matshme të shpenzimeve, realizim efektiv në forme të matshme për cdo vit të PBA-së të fondeve të akorduara nga buxheti i shtetit.</t>
  </si>
  <si>
    <t>Totali i Shpenzimeve</t>
  </si>
  <si>
    <t>Deklarata Pasurie te Kontrolluara sipas llojeve</t>
  </si>
  <si>
    <t xml:space="preserve"> Deklarata të  Pasurive me Kontroll i Plotë </t>
  </si>
  <si>
    <t>Detajimi i Kostos Totale të Produktit  1 sipas Artikujve Ekonomikë</t>
  </si>
  <si>
    <t>Perfshin  sasine e deklaratave te pasurive te subjekteve te rivleresimit ne kontroll te plote ne proces Vetingu</t>
  </si>
  <si>
    <t>Kontroll dhe hetimi administrativ  i pasurive te deklaruara, parandalimi i korrupsionit në sektorin publik dhe privat dhe mbrojtja e individëve  që sinjalizojnë veprimet korruptive.</t>
  </si>
  <si>
    <t>Verifikimi në vend I përmbajtjes së aseteve të deklaruara dhe sigurimi I provës brenda dhe jashtë vendit , parandalimi I korrupsionit në sektorin publik dhe privat, në permbushje të detyrimit  ligjor</t>
  </si>
  <si>
    <t>Detajimi i Kostos Totale të Produktit  2 sipas Artikujve Ekonomikë</t>
  </si>
  <si>
    <t>Blerje Pajisje Kompjuterike dhe  Elektronike</t>
  </si>
  <si>
    <t>Blerje pajisje kompjuterike per permiresimin e infrastruktures Teknologji-Informacion nëpërmjet implementimit të një platforme zhvillimi  me pajisje elektronike, për mbështeshtetjen e sistemit te menaxhimit dhe të kontrollit të deklarimit sipas llojeve dhe të Konfliktit te Interesit, duke arritur plotësimin e nevojave  te institucionit.</t>
  </si>
  <si>
    <t xml:space="preserve">Ky investim ka si objektiv rritjen e standardeve teknike, ku nenkuptojme eficencen e mbledhjeve, takimeve dhe prezantimeve te ndryshme te zhvilluara ne sallen e ILDKPKI-se.   </t>
  </si>
  <si>
    <t>Detajimi i Kostos Totale të Produktit 2 sipas Artikujve Ekonomikë</t>
  </si>
  <si>
    <t>Blerje dhe instalim Sistem Aksesi</t>
  </si>
  <si>
    <t>Detajimi i Kostos Totale të Produktit 4 sipas Artikujve Ekonomikë</t>
  </si>
  <si>
    <t>Objektivi 6. Ofrimin e kushteve cilesore te punes, me qellim arritjen e standarteve bashkohore nepermjet sherbimeve duke arritur plotesimin e nevojave.</t>
  </si>
  <si>
    <t>Sherbime të pergjithshme dhe ambjent infrastrukturor I mirëmbajtur</t>
  </si>
  <si>
    <t>Produktet për Objektivin 6</t>
  </si>
  <si>
    <t>Materiale dhe sherbime te nevojshme te prokuruara</t>
  </si>
  <si>
    <t>Objektivi  7 i Politikës së Programit</t>
  </si>
  <si>
    <t>Produktet për Objektivin 7</t>
  </si>
  <si>
    <t>Kundravajtje administrative dhe ligjore te ndjekura</t>
  </si>
  <si>
    <t>Masat e marra per Kundravajtje administrative dhe ligjore te ndjekura</t>
  </si>
  <si>
    <t>Objektivi  8 i Politikës së Programit</t>
  </si>
  <si>
    <t>8. Permiresimi I kapaciteteve te burimeve njerezore nepermjet rritjes profesionale dhe trajnimit te tyre ne masen 92%</t>
  </si>
  <si>
    <t>Treguesit e Performancës për Objektivin 8**</t>
  </si>
  <si>
    <t>Punonjes te trajnuar</t>
  </si>
  <si>
    <t>Produktet për Objektivin 8</t>
  </si>
  <si>
    <t>Perfshin shpenzimet e kryera per trajnimin e stafit administrativ te institucionit</t>
  </si>
  <si>
    <t>Detajimi i Kostos Totale të Produktit 8 sipas Artikujve Ekonomikë</t>
  </si>
  <si>
    <t>Kosto totale e produktit 8</t>
  </si>
  <si>
    <t>Pajisje kompjuterike</t>
  </si>
  <si>
    <t>Veprimtaria e apelimit të rivlerësimit kalimtar</t>
  </si>
  <si>
    <t>03340</t>
  </si>
  <si>
    <t>Mbështetja e veprimtarisë së Kolegjit të Posaçëm të Apelimit për shqyrtimin e ankimeve ndaj vendimeve të Komisionit të Pavarur të Kualifikimit; ushtrimin e juridiksionit disiplinor ndaj subjekteve të përcaktuara në ligj si dhe shqyrtimin e ankimeve kundër vendimeve të organeve të sistemit të drejtësisë për vendosjen e masave disiplinore.</t>
  </si>
  <si>
    <t>Funksionimi i shtetit të së drejtës, pavarësisë së sistemit të drejtësisë si dhe rikthimi i besimit të publikut tek institucionet e këtij sistemi.</t>
  </si>
  <si>
    <t>Niveli i korrupsionit</t>
  </si>
  <si>
    <t>Niveli i besimit publik</t>
  </si>
  <si>
    <t>Të shqyrtojë çështjet e ankimuara nën juridiksion, bazuar në një proçes të rregullt ligjor.</t>
  </si>
  <si>
    <t>Numri i çështjeve të përfunduara në raport me numrin e çështjeve të ankimuara.</t>
  </si>
  <si>
    <t>Çështje të përfunduara</t>
  </si>
  <si>
    <t>Çështjet e ankimuara, shqyrtuara dhe marrë vendimi</t>
  </si>
  <si>
    <t>Numer çështjesh.</t>
  </si>
  <si>
    <t>Sigurimi i kushteve optimale të punës me qëllim garantimin e standarteve të ushtrimit të veprimtarisë institucionale.</t>
  </si>
  <si>
    <t>Ambjente pune me kushte optimale</t>
  </si>
  <si>
    <t>M630001</t>
  </si>
  <si>
    <t>Numër ambjentesh</t>
  </si>
  <si>
    <t>Për këtë produkt luhatja e rezultuar në sasi, në kosto totale dhe kosto për njësi ka ardhur si rezultat i shperndarjes se mallrave me karakter te ndryshem si dhe numrit te punonjesve ne to.(për më gjerë relacioni bashkëlidhur)</t>
  </si>
  <si>
    <t>M630013</t>
  </si>
  <si>
    <t>Numër poste pune</t>
  </si>
  <si>
    <t>M630021</t>
  </si>
  <si>
    <t>Software te menaxhimit te ceshtjeve</t>
  </si>
  <si>
    <t>Informatizim te procesit te menaxhimit të çështjes gjyqësore</t>
  </si>
  <si>
    <t>Numër programi kompjuterik</t>
  </si>
  <si>
    <t>Detajimi i Kostos Totale të Produktit 3 sipas Artikujve Ekonomikë</t>
  </si>
  <si>
    <t>M630022</t>
  </si>
  <si>
    <t>Software aktiviteti financiar</t>
  </si>
  <si>
    <t>Informatizim i aktivitetit financiar të institucionit</t>
  </si>
  <si>
    <t>M630012</t>
  </si>
  <si>
    <t>Sistemi audio- video sallë gjyqi dhe mbledhje</t>
  </si>
  <si>
    <t>Sistem për rregjistrimin audio-video të seancave gjyqësore dhe mbledhjeve të gjyqtarëve</t>
  </si>
  <si>
    <t>Numër sistemi</t>
  </si>
  <si>
    <t>Detajimi i Kostos Totale të Produktit 5 sipas Artikujve Ekonomikë</t>
  </si>
  <si>
    <t>Shënim: Shpjegoni supozimet dhe llogaritjet për Produktin 5</t>
  </si>
  <si>
    <t>M630019</t>
  </si>
  <si>
    <t>Paisje scaner  per kontroll, ure metali dedektor</t>
  </si>
  <si>
    <t>Produkti 6</t>
  </si>
  <si>
    <t xml:space="preserve">Instalim sistem kontrolli dhe dedektorë skanimi për kontrollin e flukseve hyrëse </t>
  </si>
  <si>
    <t>Detajimi i Kostos Totale të Produktit 6 sipas Artikujve Ekonomikë</t>
  </si>
  <si>
    <t>Kosto totale e produktit 6</t>
  </si>
  <si>
    <t>Shënim: Shpjegoni supozimet dhe llogaritjet për Produktin 6</t>
  </si>
  <si>
    <t>M630020</t>
  </si>
  <si>
    <t>Blerje automjeti për institucionin</t>
  </si>
  <si>
    <t>Produkti 7</t>
  </si>
  <si>
    <t>Numër automjetesh</t>
  </si>
  <si>
    <t>Detajimi i Kostos Totale të Produktit 7 sipas Artikujve Ekonomikë</t>
  </si>
  <si>
    <t>Kosto totale e produktit 7</t>
  </si>
  <si>
    <r>
      <t xml:space="preserve">Detajimi i Kostos Totale të </t>
    </r>
    <r>
      <rPr>
        <b/>
        <sz val="8"/>
        <color rgb="FFFF0000"/>
        <rFont val="Garamond"/>
        <family val="1"/>
      </rPr>
      <t>Produktit 1</t>
    </r>
    <r>
      <rPr>
        <b/>
        <sz val="8"/>
        <color theme="1"/>
        <rFont val="Garamond"/>
        <family val="1"/>
      </rPr>
      <t xml:space="preserve"> sipas Artikujve Ekonomikë</t>
    </r>
  </si>
  <si>
    <r>
      <t>Detajimi i Kostos Totale të</t>
    </r>
    <r>
      <rPr>
        <b/>
        <sz val="8"/>
        <color rgb="FFFF0000"/>
        <rFont val="Garamond"/>
        <family val="1"/>
      </rPr>
      <t xml:space="preserve"> Produktit 2 </t>
    </r>
    <r>
      <rPr>
        <b/>
        <sz val="8"/>
        <color theme="1"/>
        <rFont val="Garamond"/>
        <family val="1"/>
      </rPr>
      <t>sipas Artikujve Ekonomikë</t>
    </r>
  </si>
  <si>
    <r>
      <t xml:space="preserve">Detajimi i Kostos Totale të </t>
    </r>
    <r>
      <rPr>
        <b/>
        <sz val="8"/>
        <color rgb="FFFF0000"/>
        <rFont val="Garamond"/>
        <family val="1"/>
      </rPr>
      <t>Produktit X</t>
    </r>
    <r>
      <rPr>
        <b/>
        <sz val="8"/>
        <color theme="1"/>
        <rFont val="Garamond"/>
        <family val="1"/>
      </rPr>
      <t xml:space="preserve"> sipas Artikujve Ekonomikë</t>
    </r>
  </si>
  <si>
    <r>
      <t xml:space="preserve">Detajimi i Kostos Totale të </t>
    </r>
    <r>
      <rPr>
        <b/>
        <sz val="8"/>
        <color rgb="FFFF0000"/>
        <rFont val="Garamond"/>
        <family val="1"/>
      </rPr>
      <t xml:space="preserve">Produktit 1 </t>
    </r>
    <r>
      <rPr>
        <b/>
        <sz val="8"/>
        <color theme="1"/>
        <rFont val="Garamond"/>
        <family val="1"/>
      </rPr>
      <t>sipas Artikujve Ekonomikë</t>
    </r>
  </si>
  <si>
    <r>
      <rPr>
        <b/>
        <sz val="8"/>
        <color rgb="FFFF0000"/>
        <rFont val="Garamond"/>
        <family val="1"/>
      </rPr>
      <t>Produkti X</t>
    </r>
    <r>
      <rPr>
        <sz val="8"/>
        <color theme="1"/>
        <rFont val="Garamond"/>
        <family val="1"/>
      </rPr>
      <t xml:space="preserve"> (shto produkte sipas rastit)</t>
    </r>
  </si>
  <si>
    <t>Veprimtari Akademike</t>
  </si>
  <si>
    <t>Bashkëpunon me institucione kërkimore dhe mësimore, brenda dhe jashtë vendit, që kanë kapacitetet e nevojshme fizike për kërkim, për kryerjen e studimeve në fusha të ndryshme të shkencës</t>
  </si>
  <si>
    <t>Veprimtaria Informative Shtetërore</t>
  </si>
  <si>
    <t>03520</t>
  </si>
  <si>
    <t xml:space="preserve">e pa matshme </t>
  </si>
  <si>
    <t xml:space="preserve">Numri shtese i informacioneve ne %, krahasuar me vitin paraardhes </t>
  </si>
  <si>
    <t xml:space="preserve">Informacione për veprimtari që cënojnë sigurinë kombëtare </t>
  </si>
  <si>
    <t xml:space="preserve">Numer Informacionesh </t>
  </si>
  <si>
    <t>sekret</t>
  </si>
  <si>
    <t>M180017 (Blerje paisje dhe orendi zyre per zevendesim.)</t>
  </si>
  <si>
    <t>M180043 (Blerje dhe instalim kondicionerë për zëvendësim.)</t>
  </si>
  <si>
    <t>M180046 (Blerje pajisje te teknologjise se Informacionit: kompjutera, printera, ups-a etj.)</t>
  </si>
  <si>
    <t xml:space="preserve">Te tjere inventar ekonomik per filialet e kualifik-trajnimit per zevendesim. </t>
  </si>
  <si>
    <t>M180037 (Blerje automjete per rinovimin e parkut te SHISH.)</t>
  </si>
  <si>
    <t>20(kap.6) +1(buxh)</t>
  </si>
  <si>
    <t>21(kap.6) +1(buxh)</t>
  </si>
  <si>
    <t>24(kap.6) +1(buxh)</t>
  </si>
  <si>
    <t>08220</t>
  </si>
  <si>
    <t>Shërbimi i Avokatisë</t>
  </si>
  <si>
    <t>1066001</t>
  </si>
  <si>
    <t>Fusha e veprimit kosiston në ofrimin e shërbimit ndaj indivitit në mënyrë të pavarur, të paanshëm, fleksibël dhe transparente.Funksioni  dhe misioni i Avokatit të Popullit është të shqyrtojë çështjet që lindin si pasojë e keqadministrimit në administratën publike. Instrumenti  i përditshëm është rekomandimi nëpërmjet të cilit synon ti zgjidhë problemet mbi baza ligjore. Zgjidhjet e arritura synojnë të sjellin përmirësime në standartet dhe cilësinë e shërbime të administratës publike ndaj qytetarëve.</t>
  </si>
  <si>
    <t>Ofrimi i shërbimt ndaj indivitit në mënyrë të pavarur, të paanshëm, fleksibël dhe transparent.</t>
  </si>
  <si>
    <t xml:space="preserve">Akreditimi si Institucion Kombëtar për të Drejtat e Njeriut, konformë Parime të Parisit, nga Aleanca Globale e Institucioneve Kombëtare për të Drejtat e Njeriut (GANHRI) </t>
  </si>
  <si>
    <t>Statusi A</t>
  </si>
  <si>
    <t xml:space="preserve">Zgjidhja e ankesave apo kërkesave të qytetarëve ndaj sjelljes,vendimeve apo mosveprimeve të parregullta e të paligjshme të administratës publike, si dhe rrugët dhe format që Avokati Popullit ndjek për t'ju ofruar shërbimin dhe rivendosur të drejtën e pretenduar ose shkelur qytetarit.
 </t>
  </si>
  <si>
    <t>Numri i rekomandimeve që kanë gjetur zbatim ndaj totalit</t>
  </si>
  <si>
    <t>Kërkesa të trajtuara</t>
  </si>
  <si>
    <t>Zgjidhja e ankesave apo kërkesave të qytetarëve ndaj sjelljes,vendimeve apo mosveprimeve të parregullta e të paligjshme të administratës publike</t>
  </si>
  <si>
    <t>Numri i kërkesave</t>
  </si>
  <si>
    <t>M660016</t>
  </si>
  <si>
    <t>Produkti 1 (shto produkte sipas rastit)</t>
  </si>
  <si>
    <t xml:space="preserve">Blerje e sistemit te kamerave </t>
  </si>
  <si>
    <t xml:space="preserve">Blerje kamera për sistemit e ruajtjes së institucionit </t>
  </si>
  <si>
    <t>numër</t>
  </si>
  <si>
    <t>*****</t>
  </si>
  <si>
    <t>Pajisje për nevojat e institucionit</t>
  </si>
  <si>
    <t>M660005</t>
  </si>
  <si>
    <t>Rikonstruksion i taraces dhe lyerje e institucionit</t>
  </si>
  <si>
    <t>metra katrore</t>
  </si>
  <si>
    <t xml:space="preserve">Garantimi dhe respektimi i ligjit për shërbimin civil në institucionet qendrore, të pavarura dhe ato vendore. </t>
  </si>
  <si>
    <t>Përqindja/Niveli i zbatimit të vendimeve të Komisionerit</t>
  </si>
  <si>
    <t>Mbështetje për Kultet fetare</t>
  </si>
  <si>
    <t>08480</t>
  </si>
  <si>
    <t>Në zbatim të politikës qeveritare në fushën e marrëdhënieve ndërmjet Shtetit dhe bashkësive fetare në Republikën e Shqipërisë, mbështet financiarisht bashkësitë fetare, për përmirësimin e infrastrukturës së tyre administrative, arsimore, shpirtërore e kulturore, si faktorë që kontribuojnë në ruajtjen e traditës, harmonisë dhe tolerancës fetare në vend.</t>
  </si>
  <si>
    <t>Garantimi i një mjedisi ku, çdo bashkësi fetare të shprehë dhe praktikojë lirisht të drejtën kushtetuese të besimit, nëpërmjet mbështetjes financiare nga shteti.</t>
  </si>
  <si>
    <t>Harmonia Fetare</t>
  </si>
  <si>
    <t>Trend në rritje</t>
  </si>
  <si>
    <t>Forcimi i harmonisë e bashkëjetesës fetare të trashëguar nëpërmjet përmirësimit të kushteve të veprimtarisë së tyre arsimore e shpirtërore, me anë të mbështetjes financiare  dhe hartimin e akteve ligjore dhe nënligjore për këtë qëllim.</t>
  </si>
  <si>
    <t>Forcimi i kontributit të bashkësive fetare në të mirë të shoqërisë</t>
  </si>
  <si>
    <t>Numri i bashkësive</t>
  </si>
  <si>
    <t xml:space="preserve">Harta dixhitale </t>
  </si>
  <si>
    <t>Numër objektesh  kulti</t>
  </si>
  <si>
    <t>INSPEKTORATI QENDROR</t>
  </si>
  <si>
    <t>01150</t>
  </si>
  <si>
    <t>Mbikëqyrja dhe koordinimi i veprimtarisë të  të gjithë Inspektorave Shtetërore, sipas Ligjit Nr.10 433, Datë 16.06.2011</t>
  </si>
  <si>
    <t xml:space="preserve">Kryerja e inpektimeve on-line, nëpërmjet portalit “e-Inspektimi” , për të siguruar programimin e inspektimeve  bazuar mbi vlerësimin e riskut,  dokumentimin e veprimtarisë inspektuese konform ligjit për inspektimin dhe ligjeve sektoriale, duke bashkërenduar  veprimtarinë inspektuese ndërmjet inspektorateve shtetërore, në përmbushje të misionit të Inspektoratit Qendror, për të rritur efektivitetin dhe përgjegjshmërinë e veprimtarisë inspektuese. </t>
  </si>
  <si>
    <t xml:space="preserve">Inspektoratet shteterore qe kryejne inspektime onlineqe </t>
  </si>
  <si>
    <t>Realizimi i inspektimit online, si nje proces i rregullt administrativo ligjor dhe transparent, duke udhehequr dhe koordinuar trupa inspektuese profesionale, duke i qenderzuar ne nje godine, duke ulur korrupsionin dhe barren administrative te biznesit</t>
  </si>
  <si>
    <t>Pajisje hardware per sistemimin online te inspekimit ( blerje tableta per inspektimin online, infrastrukture e sistemit elektronik)</t>
  </si>
  <si>
    <t>blerje tableta per inspektimin online gjithsej 1200 cop 600 cop -2018 dhe 600cop- 2019 , infrastrukture e sistemit elektronik- shtohen 8 servera)</t>
  </si>
  <si>
    <t>Mirembajtja optimale dhe cilesore e sistemit online e- inspektimi</t>
  </si>
  <si>
    <t>Mirembajtja e sistemit online e- inspektimi, kontrate sherbimi 4 vjecare</t>
  </si>
  <si>
    <t xml:space="preserve">Inplementimi I zgjerimeve te sistemit e- inspektimi per njohjen e tabletes si dhe nenshkrimi elektronik </t>
  </si>
  <si>
    <t>sherbim</t>
  </si>
  <si>
    <t>M870013</t>
  </si>
  <si>
    <t>Blerje pajisje informatike per Inspektoratin Qendror</t>
  </si>
  <si>
    <t>4 cope kamerave jashte godines dhe,  kompjutera per punonjesit e rinj fotokopje etj</t>
  </si>
  <si>
    <t>ne vleren 224 000/leke, eshte sistemi I kamereve te sigurise me 4 cope kamera. Ne vitin 2019 2020 dhe 2021 jane parashikuar te blihen kompjutera per punonjesit e rinj ,fotokopje dhe pajisje te tjera informatike</t>
  </si>
  <si>
    <t>M870141</t>
  </si>
  <si>
    <t>Rikonstruksion zyre te IQ</t>
  </si>
  <si>
    <t>rikonstruksion dhe pershtatje per ambjente zyrash te godines afer IQ per arsye  te ndertimit te nje godine te re per IQ dhe inspektoratet shteterore ne vend te godines ekzistuese</t>
  </si>
  <si>
    <t>M870015</t>
  </si>
  <si>
    <t>Mobilim zyre</t>
  </si>
  <si>
    <t>Mobilimi I zyrave te godines se re</t>
  </si>
  <si>
    <t>M870082</t>
  </si>
  <si>
    <t>M870092</t>
  </si>
  <si>
    <t>Mirembajtja e sistemit online e- inspektimi, kontrate sherbimi 4 vjecare( 9450 vlera per I vit)</t>
  </si>
  <si>
    <t>Shërbime të tjera</t>
  </si>
  <si>
    <t>Marrëveshje ndërkombëtare në fushën e shkëmbimit dhe mbrojtjes reciproke të informacionit të klasifikuar me shtete e organizata ndërkombëtare.</t>
  </si>
  <si>
    <t>Numër i marrëveshjeve në proces.</t>
  </si>
  <si>
    <t xml:space="preserve">Inspektime në institucionet shtetërore dhe Operatorët Ekonomikë/Kontraktorët.  </t>
  </si>
  <si>
    <t>Numër inspektimesh</t>
  </si>
  <si>
    <t>Trajnime të ofruara nga DSIK</t>
  </si>
  <si>
    <t>Marrja e masave dhe organizimi i trajnimeve me qëllim rritjen e nivelit profesional të punonjësve të ministrive dhe institucioneve të tjera për administrimin e informacionit të klasifikuar "sekret shtetëror",  informacionin e klasifikuar të NATO-s, BE dhe shteteve e organizatave të tjera  ndërkombëtare.</t>
  </si>
  <si>
    <t>Numër punonjësish të trajnuar</t>
  </si>
  <si>
    <t>Trajnime të përfituara nga personeli i DSIK.</t>
  </si>
  <si>
    <t>Numër punonjësish të trajnuar.</t>
  </si>
  <si>
    <t>Numër aktivitetesh.</t>
  </si>
  <si>
    <t>Blerje orendi zyre</t>
  </si>
  <si>
    <t>Orendi zyre</t>
  </si>
  <si>
    <t>Blerje pajisje sigurie</t>
  </si>
  <si>
    <t>Fond i ngrirë</t>
  </si>
  <si>
    <t>1087026</t>
  </si>
  <si>
    <t xml:space="preserve">Auditimi me përgjegjësi i zbatimit të dispozitave ligjore nga subjektet që perfitojne fonde nga BE per Programet IPA dhe IPARD , i zbatimit të dispozitave ligjore nga Audituesit e Agjencise. 
</t>
  </si>
  <si>
    <t>Emërtimi i Treguesit 2                                 Funksionimit efektiv të sistemeve të menaxhimit, kontrollit e të mbikëqyrjes.</t>
  </si>
  <si>
    <t>Përputhshmëria e sistemit të menaxhimit dhe kontrollit me Marrëveshjen kuadër dhe cdo Marreveshje tjetër të lidhur ndermjet Komisionit Europian dhe Republikës së Shqipërisë në kuadër të programit IPA</t>
  </si>
  <si>
    <t>Emërtimi i Treguesit 2                                   Norma e permiresimit te eficenses ne evidentimin e paligjshmërisë dhe parregullsisë së transaksioneve</t>
  </si>
  <si>
    <t xml:space="preserve"> "Auditim , evidentim te veprimeve të kunderligjshme , në procedurat për shperndarjen e fondeve nga institucionet perkatese dhe perdorimin e fondeve të programit IPA , nga subjektet perfituese .</t>
  </si>
  <si>
    <t>Blerje pajisje zyre dhe pajisje elektronike</t>
  </si>
  <si>
    <t>Përputhshmëria e sistemit të menaxhimit dhe kontrollit me Marrëveshjen kuadër dhe cdo Marreveshje tjetër të lidhur ndermjet Komisionit Europian dhe Republikës së Shqipërisë në kuadër të programit IPARD</t>
  </si>
  <si>
    <t>Emërtimi i Treguesit 1                                   Norma e uljes së veprimeve që bien ndesh me dispozitat e vendosura në Marrëveshjen kuadër dhe cdo dipozite tjeter ligjore ne fuqi , qe percakoton dhenien dhe perdorimin e fondeve te programit IPARD</t>
  </si>
  <si>
    <t>Raporte auditimi</t>
  </si>
  <si>
    <t xml:space="preserve"> "Auditim , evidentim te veprimeve të kunderligjshme , në procedurat për shperndarjen e fondeve nga institucionet perkatese dhe perdorimin e fondeve të programit IPARD , nga subjektet perfituese .</t>
  </si>
  <si>
    <t>01330</t>
  </si>
  <si>
    <t>Numri i shërbimeve të ri-inxhinieruara.</t>
  </si>
  <si>
    <t>Shërbime publike të përmirësuara, të aksesueshme dhe të integruara, duke përmirësuar efektivitetin e ofrimit të tyre.</t>
  </si>
  <si>
    <t xml:space="preserve">Numri i formularëve të aplikimit, të standartizuar për shërbimet publike </t>
  </si>
  <si>
    <t>M870294</t>
  </si>
  <si>
    <t>TVSH-Mbështetje për përmirësimin e ofrimit të shërbimit publik me në qendër qytetarin</t>
  </si>
  <si>
    <t>Asistenca në përmirësimin e shërbimeve publike, përmirësimi i kuadrit ligjor dhe jo vetëm.</t>
  </si>
  <si>
    <t>Pagesa e kostos lokale (TVSH)</t>
  </si>
  <si>
    <t>Kontrata</t>
  </si>
  <si>
    <t>Referuar kontratës midis palëve është përllogaritur TVSH.</t>
  </si>
  <si>
    <t>Blerje paisje TIK</t>
  </si>
  <si>
    <t>Blerje paisje TIK për nevoajt e institucionit</t>
  </si>
  <si>
    <t xml:space="preserve">Ngritja e Qendrave të Integruara të Shërbimeve Publike </t>
  </si>
  <si>
    <t>Qendra e integruar funksionale</t>
  </si>
  <si>
    <t>Krijimi  i Qendrave të Integruar të Shërbimeve Publike levizese</t>
  </si>
  <si>
    <t>Qendra e integruar levizese</t>
  </si>
  <si>
    <t>1150</t>
  </si>
  <si>
    <t>Institucioni Agjencia e Zhvillimit Te Territorit ka ne programin e vet pranimin, pregatitjen dhe  administrimin e dokumentave te aplikuesve per leje ndertimi  per shqyrtim nga Keshilli Kombetar i Territorit.</t>
  </si>
  <si>
    <t>Nr I aplikimeve te pranuara dhe shqyrtuara te cilat kane marre nje pergjigje. (AZHT-ja pranon dhe shqyrton dokumentacionin per ceshtje te formes brenda 5 diteve pune nga marrja e tij ne dorezim si dhe njofton aplikantin per pranimin apo mospranimin e kerkeses.)</t>
  </si>
  <si>
    <t>Dosje te kaluara per shqyrtim ne KKT</t>
  </si>
  <si>
    <t xml:space="preserve">Mbasi Institucioni merr aplikimin dhe pregatit dokumentacionin perkates ceshtja kalon per shqyrtim dhe aprovim te Keshilli  Kombetar I Territorit </t>
  </si>
  <si>
    <t>e-Qeverisja</t>
  </si>
  <si>
    <t>01140</t>
  </si>
  <si>
    <t>Garanton sigurinë për shërbimet e besuara, në veçanti për garantimin e besueshmërisë dhe sigurisë në transaksionet elektronike ndërmjet qytetarëve, biznesit dhe autoriteteve publike, duke rritur efektivitetin e shërbimeve publike e private dhe tregtisë elektronike si dhe përcakton standardet minimale teknike për sigurinë e të dhënave dhe rrjeteve/sistemeve kompjuterike të shoqërisë së informacionit, në përputhje me standardet ndërkombëtare në këtë fushë, me qellim krijimin e nje mjedisi te sigurt elektronik</t>
  </si>
  <si>
    <t xml:space="preserve">"Krijimi i mekanizmave funksionale per rritjen e nivelit te sigurise kibernetike"  </t>
  </si>
  <si>
    <t>Hartimi i Akteve Ligjore dhe Nenligjore</t>
  </si>
  <si>
    <t>Numer Aktesh</t>
  </si>
  <si>
    <t>Blerje pajisjesh  kompjuterike</t>
  </si>
  <si>
    <t>Krijimi i kushteve specifike të punës për stafin e AKCESK, në lidhje me teknikalitetet për prodhimin e informacionit të klasifikuar, me qëllim realizimin dhe përmbushjen e detyrave funksionale te tij.</t>
  </si>
  <si>
    <t>Nr. Pajisjesh</t>
  </si>
  <si>
    <t>M870023</t>
  </si>
  <si>
    <t>Mobilim zyre ( kushte specifike të punës për ngritjen e hapesirës fizike të sigurt për informacionin e klasifikuar)</t>
  </si>
  <si>
    <t>M870300</t>
  </si>
  <si>
    <t>penetration Test</t>
  </si>
  <si>
    <t>Të identifikohen dobësite e rrjetit/sistemit sipas shkalles se rrezikut qe perfaqesojne.</t>
  </si>
  <si>
    <t>Sistem</t>
  </si>
  <si>
    <t>M870301</t>
  </si>
  <si>
    <t>Permiresimi per funksionimin e automatizuar te portal per bllokimin e faqeve te internetit me permbajtje te paligjshme</t>
  </si>
  <si>
    <t>Te lehtesoje komunikimin midis institucioneve publike ne lidhje me bllokimin e faqeve me permbajtje te paligjshme dhe /ose te demshme me ofruesit e sherbimit te internetit ne vend.</t>
  </si>
  <si>
    <t>Nr. Portali</t>
  </si>
  <si>
    <t>Lek</t>
  </si>
  <si>
    <t>Sistemi I raportimit te ngjarjeve per thyerjen e sigurise ne sistemet IT</t>
  </si>
  <si>
    <t xml:space="preserve">nderveprimi i infrastrukturave kritike dhe te rendesishme te informacionit, per te trajtuar dhe zgjidhur ne kohe reale incidentet e mundshme kibernetike. </t>
  </si>
  <si>
    <t>Menaxhimi dhe Zhvillimi I Administrates Publike(Shkolla Shqiptare e Administrates Publike)</t>
  </si>
  <si>
    <t>87</t>
  </si>
  <si>
    <t>Ndërtimi dhe konsolidimi i një administrate publike, efektive, inovative, të përgjegjshme,  sipas standardeve europiane,  në shërbim të qytetarëve duke ofruar  formimin profesional të nëpunësve civilë, si dhe çdo individi tjetër vendas ose të huaj, që nuk është pjesë e shërbimit civil dhe që plotëson kriteret e kërkuara</t>
  </si>
  <si>
    <t>Forcimi i vazhdueshëm i ASPA si ofrues i trajnimeve për shërbimin civil dhe kryerjen e studimeve dhe hulumtimeve në fushën e administratës publike</t>
  </si>
  <si>
    <t xml:space="preserve">Numer  grupesh që marrin shërbimin (usergroups) dhe/ose focusgroup me qëllim që të japin feedback për cilësinë dhe përshtatshmërinë e shërbimit të ofruar nga ASPA. </t>
  </si>
  <si>
    <t xml:space="preserve">Numri I formulareve per Përmirësimi i sistemit të feedback-ut në përgjithësi me qëllim që të sigurohen të dhëna të mjaftueshme dhe informacion i disponueshëm në lidhje me impaktin e trajnimit. </t>
  </si>
  <si>
    <t xml:space="preserve">Numer modulesh te përditësuara dhe zhvillimi i një serie njësish dhe programi aktivitetesh që pasqyrojnë ndryshimin e kërkesave dhe nevojave . </t>
  </si>
  <si>
    <t xml:space="preserve">Trajnimi I detyrueshem ne periudhen e proves per nepunesit civil </t>
  </si>
  <si>
    <t xml:space="preserve">Numer punonjesish ne periudhe prove te trajnuar </t>
  </si>
  <si>
    <t xml:space="preserve">Produktet për Objektivin 1-Numer punonjesish ne periudhe prove te trajnuar </t>
  </si>
  <si>
    <t xml:space="preserve">Punonjes te trajnuar </t>
  </si>
  <si>
    <t>Punonjes</t>
  </si>
  <si>
    <t>Numer aktivitetesh per akeditim</t>
  </si>
  <si>
    <t xml:space="preserve">Aktivitete </t>
  </si>
  <si>
    <t xml:space="preserve">cope </t>
  </si>
  <si>
    <t>Blerje pajisje IT</t>
  </si>
  <si>
    <t>Trajnimi dhe formimi profesional I vazhdueshem per NC ne nivel te qeverisjes qendrore dhe vendore</t>
  </si>
  <si>
    <t xml:space="preserve">Numer nepunesish civil  ne nivel qendror dhe vendor te trajnuar </t>
  </si>
  <si>
    <t>Nepunes TND te trajnuar</t>
  </si>
  <si>
    <t xml:space="preserve">Numer punonjesish te trajnuar ne nivel vendor dhe qendror </t>
  </si>
  <si>
    <t xml:space="preserve">Nepunes TND te trajnuar </t>
  </si>
  <si>
    <t xml:space="preserve">Nepunes </t>
  </si>
  <si>
    <t>E-Qeverisja</t>
  </si>
  <si>
    <t>“Projektimi, Ndërtimi, Operimi, Mirëmbajtja dhe Përmirësimi i një sistemi gjeohapësinor funksional e të integruar (NSDI), i cili do të prodhojë informacion dhe njohuri gjeohapësinore, në përputhje me standardet e BE / INSPIRE”</t>
  </si>
  <si>
    <t>Numri i përdoruesve të Gjeoportalit Kombëtar</t>
  </si>
  <si>
    <t xml:space="preserve">Shërbime online për të dhënat gjeohapësinore </t>
  </si>
  <si>
    <t>Grupe të dhenash të standartizuara</t>
  </si>
  <si>
    <t>Projektimi, ndërtimi, mirëmbajtja dhe përditësimin e Kornizës Referuese Gjeodezike.</t>
  </si>
  <si>
    <t>Krijimi I rrjetit Kombetar Gjeodezik të Republikës së Shqipërisë.</t>
  </si>
  <si>
    <t>Ndërtimi i Rrjetit Kombëtar Gjeodezik Shqiptar (KRGJSH)</t>
  </si>
  <si>
    <t>Ndërtimi i sistemit të rrjeteve gjeodezike të rrjeteve aktiv dhe pasiv (Rendi I Parë dhe Rendi II), ndërtimi i rrjeteve të nivelimit, rrjete gravametrike, magnometrike dhe marografike. Gjthsej 4500 pika nga këto 500 pika të fiksuara në terren në blloqe betoni dhe matja e tyre.</t>
  </si>
  <si>
    <t>Nr. i pikave dhe nr. Km linear</t>
  </si>
  <si>
    <t>M870302</t>
  </si>
  <si>
    <t>Ndërtimi i sistemit të rrjeteve gjeodezike të rrjeteve aktiv dhe pasiv (Rendi i Parë dhe Rendi II), ndërtimi i rrjeteve të nivelimit, rrjete gravametrike, magnometrike dhe marografike. Gjthsej 4500 pika nga këto 500 pika të fiksuara në terren në blloqe betoni dhe matja e tyre.</t>
  </si>
  <si>
    <t>Nr. i pikave dhe nr. km linear</t>
  </si>
  <si>
    <t>Projektimi, ndërtimi, mirëmbajtja dhe përditësimin i Gjeoportalit dhe GIS-it Kombëtar (Ndërtim i sistemit të integruar të gjeoinformacionit, që nënkupton përcaktimin e funksioneve, organizimin strukturor dhe ndërveprimet midis tyre).</t>
  </si>
  <si>
    <t>Ndërtimi i GIS-it Kombëtar</t>
  </si>
  <si>
    <t>Rritja e Infrastrukturës hardware dhe software</t>
  </si>
  <si>
    <t>GIS-i Kombëtar dhe Gjeoportali Kombëtar</t>
  </si>
  <si>
    <t xml:space="preserve">Realizimi i “Infrastrukturës Kombëtare të të Dhënave Gjeohapësinore në Shqipëri -NSDI”, për të cilën ASIG është përgjegjëse në bazë të ligjit 72/2012, përfshin të gjitha sistemet ndërvepruese të informacionit gjeohapësinor që kanë shtrirje kombëtare dhe që ndërtohen nga institucione të ndryshme, për tema të veçanta, sipas fushës së përgjegjësisë dhe bazuar në standardet evropiane të Direktivës INSPIRE. Po sipas kësaj direktive të gjithë informacione dhe sisteme GIS  duhet të nërlidhen nëprmjet një Gjeoportali i cili është ndërtuar dhe administrohet  nga ASIG  (linku http://geoportal.asig.gov.al/) 
Gjeoportali Kombëtar është  një hallkë kryesore në krijimin e Infrastrukturës  Kombëtare të Gjeoinformacionit  të qëndrueshme dhe efektive. Përdoruesit mund të aksesojnë informacione për sa i takon tematikave të ndryshme gjeohapësinore të cilat do ti shërbejnë në radhë të parë institucioneve shtetërore, qendrore dhe vendore por edhe qytetarit të thjeshtë   në  proceset e  Informacionit, Analizës, Vendimmarrjes dhe të Transparencës. Ndërtimi i Gjeoportalit Kombëtar është financuar nga Donacioni i Qeverisë Norvegjeze 2014-2017. Por për të patur nje një informacion të saktë, të plotë, të ndërveprueshëm dhe të azhornuar eshtë thelbësore dhe ndërtimit i GIS Kombëtar  i cili do jetë sistemi i cili do te krijoj dhe të harmonizoj Gjeoinformacion sipas standarteve te permendura më sipër. GIS  Kombëtar është një sistem kompleks ku përfshihen implementi i  standarteve të Direktivës Europiane për Gjeoinformacioni INSPIRE, Software , Hardwere, rritje të kapaciteve teknike në autoritet publike ejt.  
</t>
  </si>
  <si>
    <t>M870018</t>
  </si>
  <si>
    <t>Blerje pajisje zyre dhe elektronike</t>
  </si>
  <si>
    <t>Pajisje</t>
  </si>
  <si>
    <t>Blerje pajisje zyre dhe elektronike të cilat kanë arritur fazën e amortizimit apo që duhet të zëvendësohen.</t>
  </si>
  <si>
    <t>M870303, M870251</t>
  </si>
  <si>
    <t>Ndërtimi I GIS- Kombëtar</t>
  </si>
  <si>
    <t>GIS- Kombëtar</t>
  </si>
  <si>
    <t>M870304</t>
  </si>
  <si>
    <t>Shtimi I kapaciteteve të Infrastrukturës IT (Servera dhe Storage) për foton ajore</t>
  </si>
  <si>
    <t>Servera dhe storage</t>
  </si>
  <si>
    <t>Blerje Servera dhe Storage për të rritur kapacitetin e infrastrukturës së nevojshme për fotografimin e ri që të zhvillohet për zonën Tiranë-Durrës</t>
  </si>
  <si>
    <t>M870250</t>
  </si>
  <si>
    <t>Software inxhinierik GIS dhe Hartografik</t>
  </si>
  <si>
    <t>Blerje programi</t>
  </si>
  <si>
    <t>Program</t>
  </si>
  <si>
    <t>Hartimi i standardeve dhe rregullave uniforme të infrastrukturës së informacionit gjeohapësinor (Programimi i punës dhe proceseve të saj, ngritja dhe zbatimi i politikave, rregullave, procedurave dhe udhëzimeve të punës për elementët e sistemit të gjeoinformacionit).</t>
  </si>
  <si>
    <t>Standartet, udhëzimet, vendimet e miratuara</t>
  </si>
  <si>
    <t xml:space="preserve">Standartet </t>
  </si>
  <si>
    <t>Standartet e miratuara</t>
  </si>
  <si>
    <t>Nr i standarteve të miratuara</t>
  </si>
  <si>
    <t>Vendimet</t>
  </si>
  <si>
    <t>Vendime të miratuara</t>
  </si>
  <si>
    <t>Nr. i vendimeve të miratuara</t>
  </si>
  <si>
    <t>Sigurimi i burimeve financiare për të garantuar inputet e nevojshmet (burime njerëzore, teknologjike dhe kapacitetet operacionale), për ngritjen dhe operimin e sistemit të integruar të gjeoinformacionit, dhe realizimin e produkteve bazë të gjeoinformacionit, në të njëjtën linjë me strategjinë dhe Programin Kombëtar të Sektorit (PKS).</t>
  </si>
  <si>
    <t>Realizimi i produkteve bazë të gjeoinformacionit.</t>
  </si>
  <si>
    <t>Do të kryhet fotografimi ajror për territorin e Tiranë - Durrës me qëllim përftimin e hartës bazë digitale në shkallë 1:2000 nga përpunimi i fotografive ajrore sipas teknologjisë së avancuar fotogrametrike 3D. Gjithashtu do të kryejmë një seri trajnimesh për stafin e ASIG në lidhje me përdorimin e teknologjive të avancuara që perfitojnë nga ky projekt nëpërmjet komponentit "teknologie transfere)</t>
  </si>
  <si>
    <t>km 2</t>
  </si>
  <si>
    <t>M870305, M870306</t>
  </si>
  <si>
    <t>Kosto lokale + TVSH për JICA</t>
  </si>
  <si>
    <t>Fotografim ajror, krijimi i hartës bazë Digitale shkalla 1:2000, teknologji dhe trajnim.</t>
  </si>
  <si>
    <t>Nr. i projekteve</t>
  </si>
  <si>
    <t>M870307</t>
  </si>
  <si>
    <t>TVSH për SK (Qeveria Norvegjeze)</t>
  </si>
  <si>
    <t>Trajnime dhe rritje kapaciteti të stafit, asistencë teknike në hartimin e draft/standarteve dhe skanimi i hartave dhe fotografive ajore historike në Shqipëri, përftimin teknologji dhe software (programe), asistencë për krijimin e GIS-it Kombëtar etj.</t>
  </si>
  <si>
    <t>Projekti parashikon që ASIG të përfitojë një asistencë shumë të nevojshme teknike për hartimin e standarteve të Informacionit Gjeohapësinor sipas direktivës INSPIRE të BE e cila do të mundësojë unifikimin e informacionit për të gjithë përdoruesit si në nivel qeverisje qëndrore dhe lokale. Do të ketë trajnime në fusha të ndryshme të hartografisë, GIS dhe Gjeodezisë në vecanti për krijimin e një gjeoidi Shqiptar.</t>
  </si>
  <si>
    <t>Krijimi i Hartës Bazë në Republikën e Shqipërisë</t>
  </si>
  <si>
    <t xml:space="preserve">Produkti që do të realizojë ky projekt do të jetë krijimi i hartës Bazë dixhitale për 700 km2 në zona urbane dhe zonat me përparësi zhvillimi në shkallë 1:2000. </t>
  </si>
  <si>
    <t xml:space="preserve">Parashikohen të pergatiten hartat me informacion hartografik të freskët dhe të saktë për shkallët 1:500, 1;2000, 1:5000 dhe 1:10000  për të gjitha qytetet e Shqipërisë në rreth 700 km2, rilevime. Në këtë informacion hartografik parashikohen të paraqiten rreth 45 elemente topografike, gjeografike dhe infrastrukturorë, konture ndërtesash  dhe parcelash, infrastrukturë e të tjera informacione të rëndësishme.Parashikohen të kryhen fotografim ajror të ri për azhornim të informacionit hartografik nëpërmjet përdorimit të metodave fotogrametrike. </t>
  </si>
  <si>
    <r>
      <t>Detajimi i Kostos Totale të</t>
    </r>
    <r>
      <rPr>
        <b/>
        <sz val="8"/>
        <color rgb="FFFF0000"/>
        <rFont val="Garamond"/>
        <family val="1"/>
      </rPr>
      <t xml:space="preserve"> Produktit X </t>
    </r>
    <r>
      <rPr>
        <b/>
        <sz val="8"/>
        <color theme="1"/>
        <rFont val="Garamond"/>
        <family val="1"/>
      </rPr>
      <t>sipas Artikujve Ekonomikë</t>
    </r>
  </si>
  <si>
    <r>
      <t>Ndryshimi në % i Pagave si pasojë e ndryshimit të sasisë së produktit</t>
    </r>
    <r>
      <rPr>
        <b/>
        <i/>
        <sz val="9"/>
        <color rgb="FFFF0000"/>
        <rFont val="Garamond"/>
        <family val="1"/>
      </rPr>
      <t>**</t>
    </r>
  </si>
  <si>
    <r>
      <t>Ndryshimi në % i Sigurimeve Shoqërore dhe Shendetësore si pasojë e ndryshimit të sasisë së produktit</t>
    </r>
    <r>
      <rPr>
        <b/>
        <i/>
        <sz val="9"/>
        <color rgb="FFFF0000"/>
        <rFont val="Garamond"/>
        <family val="1"/>
      </rPr>
      <t>**</t>
    </r>
  </si>
  <si>
    <r>
      <t>Ndryshimi në % i Mallrave dhe Shërbimeve si pasojë e ndryshimit të sasisë së produktit</t>
    </r>
    <r>
      <rPr>
        <b/>
        <i/>
        <sz val="9"/>
        <color rgb="FFFF0000"/>
        <rFont val="Garamond"/>
        <family val="1"/>
      </rPr>
      <t>**</t>
    </r>
  </si>
  <si>
    <r>
      <t>Ndryshimi në % i Subvencioneve si pasojë e ndryshimit të sasisë së produktit</t>
    </r>
    <r>
      <rPr>
        <b/>
        <i/>
        <sz val="9"/>
        <color rgb="FFFF0000"/>
        <rFont val="Garamond"/>
        <family val="1"/>
      </rPr>
      <t>**</t>
    </r>
  </si>
  <si>
    <r>
      <t>Ndryshimi në % i Transfertave të brendshme si pasojë e ndryshimit të sasisë së produktit</t>
    </r>
    <r>
      <rPr>
        <b/>
        <i/>
        <sz val="9"/>
        <color rgb="FFFF0000"/>
        <rFont val="Garamond"/>
        <family val="1"/>
      </rPr>
      <t>**</t>
    </r>
  </si>
  <si>
    <r>
      <t>Ndryshimi në % i Transfertave të jashtme si pasojë e ndryshimit të sasisë së produktit</t>
    </r>
    <r>
      <rPr>
        <b/>
        <i/>
        <sz val="9"/>
        <color rgb="FFFF0000"/>
        <rFont val="Garamond"/>
        <family val="1"/>
      </rPr>
      <t>**</t>
    </r>
  </si>
  <si>
    <r>
      <t>Ndryshimi në % i Transfertave për familjet dhe individët si pasojë e ndryshimit të sasisë së produktit</t>
    </r>
    <r>
      <rPr>
        <b/>
        <i/>
        <sz val="9"/>
        <color rgb="FFFF0000"/>
        <rFont val="Garamond"/>
        <family val="1"/>
      </rPr>
      <t>**</t>
    </r>
  </si>
  <si>
    <r>
      <t>Shënim: Shpjegoni supozimet dhe llogaritjet për Produktin 1 (Metoda 2)</t>
    </r>
    <r>
      <rPr>
        <b/>
        <sz val="8"/>
        <color rgb="FFFF0000"/>
        <rFont val="Garamond"/>
        <family val="1"/>
      </rPr>
      <t>***</t>
    </r>
  </si>
  <si>
    <r>
      <t xml:space="preserve">Shënim: </t>
    </r>
    <r>
      <rPr>
        <i/>
        <sz val="8"/>
        <color theme="1"/>
        <rFont val="Garamond"/>
        <family val="1"/>
      </rPr>
      <t>Shpjegoni supozimet dhe llogaritjet (Metoda 1)</t>
    </r>
  </si>
  <si>
    <r>
      <t xml:space="preserve">Detajimi i Kostos Totale të </t>
    </r>
    <r>
      <rPr>
        <b/>
        <sz val="8"/>
        <color rgb="FFFF0000"/>
        <rFont val="Garamond"/>
        <family val="1"/>
      </rPr>
      <t>Produktit 3</t>
    </r>
    <r>
      <rPr>
        <b/>
        <sz val="8"/>
        <color theme="1"/>
        <rFont val="Garamond"/>
        <family val="1"/>
      </rPr>
      <t xml:space="preserve"> sipas Artikujve Ekonomikë</t>
    </r>
  </si>
  <si>
    <t>Blerja e paisjeve të zyrës për krijimin e kushteve të pershtatshme të punës per punonjesit.</t>
  </si>
  <si>
    <r>
      <t xml:space="preserve">Detajimi i Kostos Totale të </t>
    </r>
    <r>
      <rPr>
        <b/>
        <sz val="8"/>
        <color rgb="FFFF0000"/>
        <rFont val="Garamond"/>
        <family val="1"/>
      </rPr>
      <t xml:space="preserve">Produktit 2 </t>
    </r>
    <r>
      <rPr>
        <b/>
        <sz val="8"/>
        <color theme="1"/>
        <rFont val="Garamond"/>
        <family val="1"/>
      </rPr>
      <t>sipas Artikujve Ekonomikë</t>
    </r>
  </si>
  <si>
    <t>Blerja paisjeve teknologjise se informacionit  për të paisur punonjësit me bazën e nevojshme  per grumbullimin edhe perpunimin e te dhenave</t>
  </si>
  <si>
    <t>Paisje te knologjise se informacionit  te blera</t>
  </si>
  <si>
    <t>Infrastrukture e nevojshme software- te perditsuara</t>
  </si>
  <si>
    <t xml:space="preserve">Rritja e numrit te paisjeve te teknologjise se informacionit </t>
  </si>
  <si>
    <t>Rritja e numrit te licencave per   soft-ware</t>
  </si>
  <si>
    <t>231. Aktive të trupëzuara (TVSH)</t>
  </si>
  <si>
    <r>
      <t>Detajimi i Kostos Totale të</t>
    </r>
    <r>
      <rPr>
        <b/>
        <sz val="8"/>
        <color rgb="FFFF0000"/>
        <rFont val="Garamond"/>
        <family val="1"/>
      </rPr>
      <t xml:space="preserve"> Produktit 1 </t>
    </r>
    <r>
      <rPr>
        <b/>
        <sz val="8"/>
        <color theme="1"/>
        <rFont val="Garamond"/>
        <family val="1"/>
      </rPr>
      <t>sipas Artikujve Ekonomikë</t>
    </r>
  </si>
  <si>
    <t>Publikimi i rezultateve të produkteve statistikore  tek përdoruesit me anë të  mjeteve të komunikimit dhe zhvillimit te koferencave</t>
  </si>
  <si>
    <t xml:space="preserve">Rritja e numrit te produkteve statistikore </t>
  </si>
  <si>
    <r>
      <t xml:space="preserve">Detajimi i Kostos Totale të </t>
    </r>
    <r>
      <rPr>
        <b/>
        <sz val="8"/>
        <color rgb="FFFF0000"/>
        <rFont val="Garamond"/>
        <family val="1"/>
      </rPr>
      <t>Produktit 2</t>
    </r>
    <r>
      <rPr>
        <b/>
        <sz val="8"/>
        <color theme="1"/>
        <rFont val="Garamond"/>
        <family val="1"/>
      </rPr>
      <t xml:space="preserve"> sipas Artikujve Ekonomikë</t>
    </r>
  </si>
  <si>
    <t>Rritja e  numrit  të anketuesve të trajnuar</t>
  </si>
  <si>
    <t>Rritja numrit të njësive statistikore të vrojtuara</t>
  </si>
  <si>
    <t>Rritja  e numrit te punonjesve të institucionit</t>
  </si>
  <si>
    <t>Rritja e numrit të publikime</t>
  </si>
  <si>
    <r>
      <t>Konsiston në prodhimin e të dhënave statistikore zyrtare, cilësore dhe të besueshme, të nevojshme për vëzhgimin e situatës socio-ekonomike në Republikën e Shqipërisë, duke respektuar të drejtën e përdoruesve për të dhëna zyrtare si dhe në përmbushje të detyrimeve që lindin nga Programi pesëvjeçar për Statistikat Zyrtare, i miratuar nga Kuvendi. Cilësia statistikore arrihet nëpërmjet përmirësimit të funksionimit dhe menaxhimit të Institucionit, zhvillimit të kapaciteteve menaxhuese në implementimin e objektivave afatshkurtra dhe afatmesme që bëjnë të mundur përmbushjen e standarteve të vendosura nga BE , në garantimin e përmirësimit të vazhdueshëm të përdorimit të burimeve njerzore dhe financiare të INSTAT-it</t>
    </r>
    <r>
      <rPr>
        <sz val="10"/>
        <color rgb="FFFF0000"/>
        <rFont val="Garamond"/>
        <family val="1"/>
      </rPr>
      <t>.</t>
    </r>
  </si>
  <si>
    <t>Veprimtaria Statistikore</t>
  </si>
  <si>
    <t>Programet Buxhetore</t>
  </si>
  <si>
    <t>Misioni i INSTAT-it është të prodhojë statistika asnjëanëse, transparente dhe të përditësuara, të cilat ndihmojnë në gjykimin e përdoruesve mbi proceset e zhvillimit e transformimit në fushat ekonomiko-sociale brenda vendit.</t>
  </si>
  <si>
    <t>Misioni i Njësisë së Qeverisjes Qendrore</t>
  </si>
  <si>
    <t>50</t>
  </si>
  <si>
    <t>Kodi i Njësisë së Qeverisjes Qendrore</t>
  </si>
  <si>
    <t>Instituti Statistikave</t>
  </si>
  <si>
    <t>Emërtimi i Njësisë së Qeverisjes Qendrore</t>
  </si>
  <si>
    <t>FORMATI 1: MISIONI I NJËSISË SË QEVERISJES QENDRORE</t>
  </si>
  <si>
    <t>Të garantohet qëndrimin e deputetëve  sa më pranë zgjedhësve duke mundësuar hapjen e zyrave në të gjithë zonat zgjedhore.</t>
  </si>
  <si>
    <t>Produkti konsiston në përgatitjen e materialeve për botim dhe realizimin e botimit me të tretë të Revistes së Kuvendit,  fjalimeve të personaliteteve, kolanës së "Punimeve Parlamentare në vite" dhe të tjera publikime.</t>
  </si>
  <si>
    <t>Të synohet rritja  dhe intensifikimi  i marrëdhënieve  ndërparlamentare me vendet e BE-së, të rajonit dhe vendeve me interesa strategjike për Shqipërinë.</t>
  </si>
  <si>
    <t>Numër aurovetura</t>
  </si>
  <si>
    <t>Numër sherbimesh</t>
  </si>
  <si>
    <t>Ambiente pune, salla mbledhje  dhe pritje të pwrshtatshme</t>
  </si>
  <si>
    <t>Shërbimi garanton informimin në kohë të deputeteve të Kuvendit dhe strukturave të tjera të institucionit mbi aktualitetin politik, shoqëror, ekonomik, social në vend dhe jashtë tij përmes medias së shkruar, si edhe një panoramë e pasqyrimit të veprimtarive te strukturave të Kuvendit të Shqipërisë në këtë media, e cila është pjesë e arkivit elektronik të Kuvendit. Gjithashtu, në kuader të festave zyrtare, datave historike, kombëtare dhe ndërkombëtare, Kuvendi është i pranishëm përmes organizimit të veprimtarive social kulturore të cilat përcaktohen në kalendarin e festave zyratre apo në kuadër të bashkeveprimit me organizata të tjera ndërkombëtare me këtë qëllim.</t>
  </si>
  <si>
    <t>aktivitete sherbimi</t>
  </si>
  <si>
    <t>Materiale të seancave plenare dhe komisioneve parlamentare të zbardhura, korrektuara, redaktuarar me një standart të lartë profesional dhe të përpiktë.</t>
  </si>
  <si>
    <t xml:space="preserve">     Diskutime në seanca plenare dhe mbledhje të komisioneve parlamentare të redaktuara dhe transkriptuara</t>
  </si>
  <si>
    <t>numer sherbimi</t>
  </si>
  <si>
    <t>Shërbimi garanton informimin në kohë të deputeteve të Kuvendit dhe strukturave të tjera të institucionit mbi aktualitetin politik, shoqëror, ekonomik, social në vend dhe jashtë tij përmes medias së shkruar, si edhe një panoramë e pasqyrimit të veprimtarive te strukturave të Kuvendit të Shqiperisë në këtë media, e cila është pjesë e arkivit elektronik të Kuvendit. Gjithashtu, në kuader të festave zyrtare, datave historike, kombëtare dhe nderkombëtare, Kuvendi është i pranishëm përmes organizimit të veprimtarive social kulturore të cilat përcaktohen në kalendarin e festave zyratre apo në kuadër të bashkeveprimit me organizata të tjera nderkombetare me këtë qëllim.</t>
  </si>
  <si>
    <t>Veprimtari legjislative, diplomacia dhe kontrolli parlamentar</t>
  </si>
  <si>
    <t>Kodi I Programit</t>
  </si>
  <si>
    <t xml:space="preserve">Kuvendi i Shqipërisë, është organi kushtetues më i lartë që në përmbushje të detyrimeve kushtetuese, ushtron funksionin ligjvënës dhe kontrollin e mbikëqyrjen parlamentare si për  zbatueshmërinë e ligjeve, ashtu dhe mbikqyrjen e institucioneve të pavarura. Kuvendi miraton programin politik dhe përbërjen e ekzekutivit, duke i dhënë votbesimin për përmbushjen e premtimeve dhe kryerjen e reformave ekomonike dhe shoqërore për zhvillimin e vendit. </t>
  </si>
  <si>
    <t>Misioni I Njësisë së Qeverisjes Qendrore</t>
  </si>
  <si>
    <t xml:space="preserve">           1002001</t>
  </si>
  <si>
    <t xml:space="preserve">                                               KUVENDI I SHQIPËRISË</t>
  </si>
  <si>
    <t>Informacione për zhvillime dhe veprimtari që cënojnë sigurinë kombëtare nga brenda dhe jashte vendit si terrorizmi, krimi i organizuar, përhapja e armëve të dëmtimit në masë, krimi kibernetik dhe atij ndaj mjedisit, për ruajtjen e integritetit, pavarësisë dhe rendit kushtetues.</t>
  </si>
  <si>
    <t>M180044 Blerje mjete dhe paisje të tjera teknike</t>
  </si>
  <si>
    <t>M180064 (Blerje paisje elektronike dhe mjete te tjera teknike te sektorit operativ, për mbledhjen e informacionit.)</t>
  </si>
  <si>
    <t>M180108 (Implementim i sistemit elektronik te sigurise dhe akses kontrollit ne AQ, SHISH.)</t>
  </si>
  <si>
    <t>Pasi jane evidentuar paisjet, si dhe orendit e zyrave te cilat jane amortizuar (vjeteruar) ka dal domosdoshmeri zevendesimi i tyre per vijemesine normale te punes. Ne perllogaritje eshte reflektuar edhe rritja e cmimeve nga inflacioni. Thekesojme se ende SHISH per keto artikuj nuk ka plotesuar totalisht nevojat e institucionit. Vleren me te madhe te zevendesimit e kompletimit e zene paisjet e teknologjise se informacionit te cilat jane ne mungese por edhe te amortizuara per shkak te ndryshimeve te shpeshta teknologjike duke u bere te paperdorshme. Ne limit jane parashikuar investime administrimi kapitale vetem per zevendesim.</t>
  </si>
  <si>
    <r>
      <t xml:space="preserve">600. Pagat </t>
    </r>
    <r>
      <rPr>
        <b/>
        <sz val="8"/>
        <color theme="1"/>
        <rFont val="Garamond"/>
        <family val="1"/>
      </rPr>
      <t>(tavani i pamjaftueshem per te perballuar nevojat per vitet 2019-2021 sipas strukture se re)</t>
    </r>
  </si>
  <si>
    <t>Realizimi i produktit informativ, me qëllim sigurinë kombëtare nga brenda dhe jashtë vendit.</t>
  </si>
  <si>
    <t xml:space="preserve">Përmirësimin sasior dhe cilësor të punës, duke rritur efektivitetin dhe efiçencën në sigurimin e informacionit, kundër veprimtarive që cënojnë sigurinë kombëtare, duke dhënë kontribut më të madh në kuadër të NATO-s dhe vendeve të BE-së, me synim aplikimin e praktikave më të mira ndërkombëtare në këtë fushë, deri në vitin 2021. </t>
  </si>
  <si>
    <t>Shpenzimet e këtij programi përfaqësojnë grupin e njësive organizativo-strukturore të institucionit, që kryejnë veprimtarinë kryesore të tij: Sigurimin e informacionit të domosdoshëm nga zbulimi dhe kundërzbulimi në funksion të sigurisë kombëtare, rajonale dhe globale, në përputhje me Kushtetutën dhe Ligjet e Republikës së Shqipërisë.</t>
  </si>
  <si>
    <t xml:space="preserve">FORMAT 2 : FORMATI STANDARD I PËRGATITJES SË KËRKESAVE BUXHETORE PBA 2019-2021 </t>
  </si>
  <si>
    <t>Emërtesa e Programit Buxhetor X</t>
  </si>
  <si>
    <t>Veprimtaria Informative Shteterore</t>
  </si>
  <si>
    <t>Emërtesa e Programit Buxhetor 1</t>
  </si>
  <si>
    <t xml:space="preserve">Shërbimi Informativ i Shtetit (SHISH) është Institucioni informativ, që siguron në kohë informacionin e domosdoshëm nga zbulimi dhe kundërzbulimi, për kërcënime dhe rreziqe në fushën e sigurisë kombëtare, në zbatim të Kushtetutës dhe ligjeve të Republikës së Shqipërisë. </t>
  </si>
  <si>
    <t>18</t>
  </si>
  <si>
    <t>Shërbimi Informativ i Shtetit</t>
  </si>
  <si>
    <t>Numri i kerkesave dhe sasia e dokumetave te sherbyera e restauruara</t>
  </si>
  <si>
    <t>Rritje te cilesise, shpejtesise dhe trasparences ne sallen e studimit</t>
  </si>
  <si>
    <t>Rikoonstruksion i sallès sè Studimit dhe Laboratori tè Restaurimit,Instalim i rjeteve, Mobilimi i sallès dhe Laboratori tè Restaurimit</t>
  </si>
  <si>
    <t>M200044</t>
  </si>
  <si>
    <t>Kodi i Projektit të Investimeve M200041</t>
  </si>
  <si>
    <t>Numri i Institucioneve Historike qe do te perfshihen</t>
  </si>
  <si>
    <t>Praktike ndervepruese ne ndihme te kerkimit shkencor</t>
  </si>
  <si>
    <t>Mesojme nepermjet Arkivave</t>
  </si>
  <si>
    <t>M200043</t>
  </si>
  <si>
    <t>r</t>
  </si>
  <si>
    <t>Nr pajisjesh</t>
  </si>
  <si>
    <t>Pajisje te blera e instaluara</t>
  </si>
  <si>
    <t>xx</t>
  </si>
  <si>
    <t>Numri i dokumentave qe do te pershkruhen ne vit</t>
  </si>
  <si>
    <t>Numri i dokumentave te skanuara ne vit</t>
  </si>
  <si>
    <t>Politikat Ekzistuese</t>
  </si>
  <si>
    <t xml:space="preserve"> Udheheqja, kontrolli rrjetit i arkivor , unifikimi i procedurave dhe menaxhimi i dokumentacionit arkivor ne RSH, per te siguruar ruajtjen, permiresimin, dixhitalizimin dhe sherbimin e tij per pulikun.</t>
  </si>
  <si>
    <t>Te evidentoje, ruaje, mirembaje dhe sherbeje per publikun fondet arkivore ne Republiken e Shqiperise</t>
  </si>
  <si>
    <t>20</t>
  </si>
  <si>
    <t>Drejtoria e Pergjithshme e Arkivave</t>
  </si>
  <si>
    <t>TVSH dhe taksa doganore</t>
  </si>
  <si>
    <t>M220075.</t>
  </si>
  <si>
    <t>Çmimet shkencore vjetore, procedura e organizimit të garave shkencore</t>
  </si>
  <si>
    <t>Rritja e bashkepunimit me Akademite perkatese dhe institucionet kerkimore dhe mesimore te ketyre vendeve ne kuader te bashkepunimit shkencor dhe artistik.</t>
  </si>
  <si>
    <t>Projekte në kuadër të marreveshjeve te bashkepunimit me Akademite e Shkencave dhe Arteve ne Kroaci, Mal te Zi, Maqedoni dhe arbereshet e Italise</t>
  </si>
  <si>
    <t xml:space="preserve">Fuqizimi i rolit të Akademisë së Shkencave, e aftë të kryejë misonin në zhvillimin e vendit, duke zbatuar prioritetet kombëtare në shkencë dhe nxitjes së kërkimeve në fushat përparësore, të zhvillimit ekonomik dhe teknologjik si mjedisi, burimet natyrore e të rinovueshme, pyjet, emergjencat civile (gjeorisqet, tërmetet, epidemitë, përmbytjet, zjarri në pyje, orteqet, etj.), pasuritë ujore, bujqësia dhe ushqimi, biodiversiteti dhe bioteknologjia, teknologjitë e informacionit dhe komunikimit, shëndeti publik, si dhe ato të historisë, gjuhës, artit, kulturës e trashëgimisë kulturore kombëtare, kohezionit social etj. </t>
  </si>
  <si>
    <t>Misioni i Akademisë se Shkencave është të zhvillojë, kryejë dhe bashkërendojë, mbështetë dhe nxisë kërkimin shkencor në Shqipëri, sidomos atë të kërkimit me karakter shumë disiplinor dhe strategjik për kombin, të mbështetë strategjitë dhe politikat e të inovacioneve dhe teknologjisë, si dhe të gjithë lëvizjet në drejtim të edukimit të rritjes së cilësisë së mësimdhënies në arsimin e lartë dhe të kërkimit shkencor, ndikimit të saj në zhvillimin ekonomik të vendit, për sektorin shtetëror, për sektorin privat, për arsimin e lartë në Universitet shtetërore por dhe në ato private, të propozojë fusha të reja për kërkim e zhvillim.</t>
  </si>
  <si>
    <t>1022001</t>
  </si>
  <si>
    <t>AKADEMIA E SHKENCAVE E R.SH.</t>
  </si>
  <si>
    <t xml:space="preserve">Perdorimi i pajisjeve  elektronike </t>
  </si>
  <si>
    <t xml:space="preserve"> Permiresimi dhe zhvillimi i infrastruktures elektronike te gjykatave, ne funksion te rritjes  se cilesise dhe transparences se procesit gjyqesor dhe sherbimit  ndaj publikut.</t>
  </si>
  <si>
    <t>Ndertim godine e re gjykate***</t>
  </si>
  <si>
    <r>
      <t xml:space="preserve">Detajimi i Kostos Totale të </t>
    </r>
    <r>
      <rPr>
        <b/>
        <sz val="8"/>
        <color rgb="FFFF0000"/>
        <rFont val="Garamond"/>
        <family val="1"/>
      </rPr>
      <t xml:space="preserve">Produktit J </t>
    </r>
    <r>
      <rPr>
        <b/>
        <sz val="8"/>
        <color theme="1"/>
        <rFont val="Garamond"/>
        <family val="1"/>
      </rPr>
      <t>sipas Artikujve Ekonomikë</t>
    </r>
  </si>
  <si>
    <t>Nr motocikletash</t>
  </si>
  <si>
    <r>
      <t xml:space="preserve">Detajimi i Kostos Totale të </t>
    </r>
    <r>
      <rPr>
        <b/>
        <sz val="8"/>
        <color rgb="FFFF0000"/>
        <rFont val="Garamond"/>
        <family val="1"/>
      </rPr>
      <t xml:space="preserve">Produktit I </t>
    </r>
    <r>
      <rPr>
        <b/>
        <sz val="8"/>
        <color theme="1"/>
        <rFont val="Garamond"/>
        <family val="1"/>
      </rPr>
      <t>sipas Artikujve Ekonomikë</t>
    </r>
  </si>
  <si>
    <t>Nr automjetesh</t>
  </si>
  <si>
    <r>
      <t xml:space="preserve">Detajimi i Kostos Totale të </t>
    </r>
    <r>
      <rPr>
        <b/>
        <sz val="8"/>
        <color rgb="FFFF0000"/>
        <rFont val="Garamond"/>
        <family val="1"/>
      </rPr>
      <t>Produktit H</t>
    </r>
    <r>
      <rPr>
        <b/>
        <sz val="8"/>
        <color theme="1"/>
        <rFont val="Garamond"/>
        <family val="1"/>
      </rPr>
      <t xml:space="preserve"> sipas Artikujve Ekonomikë</t>
    </r>
  </si>
  <si>
    <r>
      <t xml:space="preserve">Detajimi i Kostos Totale të </t>
    </r>
    <r>
      <rPr>
        <b/>
        <sz val="8"/>
        <color rgb="FFFF0000"/>
        <rFont val="Garamond"/>
        <family val="1"/>
      </rPr>
      <t>Produktit G</t>
    </r>
    <r>
      <rPr>
        <b/>
        <sz val="8"/>
        <color theme="1"/>
        <rFont val="Garamond"/>
        <family val="1"/>
      </rPr>
      <t xml:space="preserve"> sipas Artikujve Ekonomikë</t>
    </r>
  </si>
  <si>
    <r>
      <t xml:space="preserve">Detajimi i Kostos Totale të </t>
    </r>
    <r>
      <rPr>
        <b/>
        <sz val="8"/>
        <color rgb="FFFF0000"/>
        <rFont val="Garamond"/>
        <family val="1"/>
      </rPr>
      <t>Produktit F</t>
    </r>
    <r>
      <rPr>
        <b/>
        <sz val="8"/>
        <color theme="1"/>
        <rFont val="Garamond"/>
        <family val="1"/>
      </rPr>
      <t xml:space="preserve"> sipas Artikujve Ekonomikë</t>
    </r>
  </si>
  <si>
    <t>Nderhyrje permiresuese dhe pershtatje ambjentesh ne gjykata</t>
  </si>
  <si>
    <t>Godina të rikonstruktuara</t>
  </si>
  <si>
    <t>Produkti L</t>
  </si>
  <si>
    <t>Rikonstruksion i pjesshem**</t>
  </si>
  <si>
    <r>
      <t xml:space="preserve">Detajimi i Kostos Totale të </t>
    </r>
    <r>
      <rPr>
        <b/>
        <sz val="8"/>
        <color rgb="FFFF0000"/>
        <rFont val="Garamond"/>
        <family val="1"/>
      </rPr>
      <t xml:space="preserve">Produktit E </t>
    </r>
    <r>
      <rPr>
        <b/>
        <sz val="8"/>
        <color theme="1"/>
        <rFont val="Garamond"/>
        <family val="1"/>
      </rPr>
      <t>sipas Artikujve Ekonomikë</t>
    </r>
  </si>
  <si>
    <t>Rikonstruksioni i plotë i godinave te gjykatave</t>
  </si>
  <si>
    <t>Rikonstruksion i plotë</t>
  </si>
  <si>
    <t>Shpenzimet Korrente*</t>
  </si>
  <si>
    <t>Norma e përmiresimit të elementeve të sigurisë në gjykata.</t>
  </si>
  <si>
    <t>Plotësimi i gjykatave me pajisje mobilje sipas standarteve bashkohore</t>
  </si>
  <si>
    <t>Përmirësimi i  kushteve të punes, gjykimit dhe sherbimit sipas standarteve bashkohore.</t>
  </si>
  <si>
    <t>Treguesit e Performancës për Objektivin 1(te rishikuara)</t>
  </si>
  <si>
    <t xml:space="preserve">Krijimi i kushteve cilësore të realizimit  të shërbimit gjyqësor </t>
  </si>
  <si>
    <t xml:space="preserve">Arritja e standarteve bashkohore e sherbimit gjyqesor ne gjykatat e tre niveleve, per te kontribuar ne funksionimin e nje Pushteti Gjyqesor te pavarur,te pergjegjshem dhe transparent. </t>
  </si>
  <si>
    <t>FORMAT 2 : FORMATI STANDARD I PËRGATITJES SË KËRKESAVE BUXHETORE PBA 2019-2021 (sipas tavaneve)</t>
  </si>
  <si>
    <t>Shënim: Shpjegoni supozimet dhe llogaritjet për Produktin D</t>
  </si>
  <si>
    <t xml:space="preserve">Riperteritja e parkut ekzistues te automjeteve nepermjet blerjes se automjeteve te reja </t>
  </si>
  <si>
    <t>Automjete te rinovuara</t>
  </si>
  <si>
    <t xml:space="preserve">Rinovimi i inventarit te automjeteve </t>
  </si>
  <si>
    <t>M300002</t>
  </si>
  <si>
    <t>Shënim: Shpjegoni supozimet dhe llogaritjet për Produktin F</t>
  </si>
  <si>
    <r>
      <t xml:space="preserve">Detajimi i Kostos Totale të </t>
    </r>
    <r>
      <rPr>
        <b/>
        <sz val="12"/>
        <color rgb="FFFF0000"/>
        <rFont val="Garamond"/>
        <family val="1"/>
      </rPr>
      <t>Produktit F</t>
    </r>
    <r>
      <rPr>
        <b/>
        <sz val="12"/>
        <color theme="1"/>
        <rFont val="Garamond"/>
        <family val="1"/>
      </rPr>
      <t xml:space="preserve"> sipas Artikujve Ekonomikë</t>
    </r>
  </si>
  <si>
    <t>Kompletimi i ambienteve te punes me  mjetet pajisjet e nevojshme te punes</t>
  </si>
  <si>
    <t>Zyra te pajisura me mjete pune</t>
  </si>
  <si>
    <t>Sigurimi i kushteve normale te punes me mjetet e pjisjet e nevojshme per punonjesit</t>
  </si>
  <si>
    <t>M300004</t>
  </si>
  <si>
    <r>
      <t>Detajimi i Kostos Totale të</t>
    </r>
    <r>
      <rPr>
        <b/>
        <sz val="12"/>
        <color rgb="FFFF0000"/>
        <rFont val="Garamond"/>
        <family val="1"/>
      </rPr>
      <t xml:space="preserve"> Produktit G </t>
    </r>
    <r>
      <rPr>
        <b/>
        <sz val="12"/>
        <color theme="1"/>
        <rFont val="Garamond"/>
        <family val="1"/>
      </rPr>
      <t>sipas Artikujve Ekonomikë</t>
    </r>
  </si>
  <si>
    <r>
      <rPr>
        <b/>
        <sz val="12"/>
        <color rgb="FFFF0000"/>
        <rFont val="Garamond"/>
        <family val="1"/>
      </rPr>
      <t>Produkti G</t>
    </r>
    <r>
      <rPr>
        <sz val="12"/>
        <color theme="1"/>
        <rFont val="Garamond"/>
        <family val="1"/>
      </rPr>
      <t xml:space="preserve"> </t>
    </r>
  </si>
  <si>
    <r>
      <t>Detajimi i Kostos Totale të</t>
    </r>
    <r>
      <rPr>
        <b/>
        <sz val="12"/>
        <color rgb="FFFF0000"/>
        <rFont val="Garamond"/>
        <family val="1"/>
      </rPr>
      <t xml:space="preserve"> Produktit E </t>
    </r>
    <r>
      <rPr>
        <b/>
        <sz val="12"/>
        <color theme="1"/>
        <rFont val="Garamond"/>
        <family val="1"/>
      </rPr>
      <t>sipas Artikujve Ekonomikë</t>
    </r>
  </si>
  <si>
    <t>Mirembajtja teknike dhe sigurimi i gatishmerise teknike te  automjeteve</t>
  </si>
  <si>
    <t>Sigurimi i pavaresise se veprimtarise se institucionit me realizimin e fondeve buxhetore, burimet njerezore dhe materialet e sherbimet e nevojshme.</t>
  </si>
  <si>
    <t>Shënim: Shpjegoni supozimet dhe llogaritjet për Produktin I</t>
  </si>
  <si>
    <r>
      <t xml:space="preserve">Detajimi i Kostos Totale të </t>
    </r>
    <r>
      <rPr>
        <b/>
        <sz val="12"/>
        <color rgb="FFFF0000"/>
        <rFont val="Garamond"/>
        <family val="1"/>
      </rPr>
      <t>Produktit I</t>
    </r>
    <r>
      <rPr>
        <b/>
        <sz val="12"/>
        <color theme="1"/>
        <rFont val="Garamond"/>
        <family val="1"/>
      </rPr>
      <t xml:space="preserve"> sipas Artikujve Ekonomikë</t>
    </r>
  </si>
  <si>
    <t>numer/cope libra dhe tituj</t>
  </si>
  <si>
    <t>Shtimi i fondit te librave profesionale te bibliotekes se gjykates me tituj te rinj te botimeve profesionale te jurisprudences kushtetuese</t>
  </si>
  <si>
    <t>Biblioteke e pasuruar</t>
  </si>
  <si>
    <t>Pasurimi i fondit te librave te bibliotekes shkencore te gjykates</t>
  </si>
  <si>
    <t>M300003</t>
  </si>
  <si>
    <t>Shënim: Shpjegoni supozimet dhe llogaritjet për Produktin C</t>
  </si>
  <si>
    <t>Sisteme te informatizuar</t>
  </si>
  <si>
    <t>M300001</t>
  </si>
  <si>
    <r>
      <t xml:space="preserve">Detajimi i Kostos Totale të </t>
    </r>
    <r>
      <rPr>
        <b/>
        <sz val="12"/>
        <color rgb="FFFF0000"/>
        <rFont val="Garamond"/>
        <family val="1"/>
      </rPr>
      <t>Produktit B</t>
    </r>
    <r>
      <rPr>
        <b/>
        <sz val="12"/>
        <color theme="1"/>
        <rFont val="Garamond"/>
        <family val="1"/>
      </rPr>
      <t xml:space="preserve"> "Ndertim i kapaciteteve vendimarrese e profesionale", sipas Artikujve Ekonomikë</t>
    </r>
  </si>
  <si>
    <t xml:space="preserve"> Rritja e shkalles se kualifikimit profesional te kapaciteteve vendimmarrese e keshilluese</t>
  </si>
  <si>
    <t>Ndertim i kapaciteteve vendimarrese e profesionale</t>
  </si>
  <si>
    <r>
      <t xml:space="preserve">Detajimi i Kostos Totale të </t>
    </r>
    <r>
      <rPr>
        <b/>
        <sz val="12"/>
        <color rgb="FFFF0000"/>
        <rFont val="Garamond"/>
        <family val="1"/>
      </rPr>
      <t>Produktit A</t>
    </r>
    <r>
      <rPr>
        <b/>
        <sz val="12"/>
        <color theme="1"/>
        <rFont val="Garamond"/>
        <family val="1"/>
      </rPr>
      <t xml:space="preserve"> "Vendime te marra", sipas Artikujve Ekonomikë</t>
    </r>
  </si>
  <si>
    <t>Realizimi i kërkesave për vendime gjyqesore te drejta dhe transparente në afatet ligjore</t>
  </si>
  <si>
    <t>Treguesit 2: Sigurimi i pavaresise se veprimtarise se institucionit me realizimin e fondeve buxhetore, burimet njerezore dhe materialet e sherbimet e nevojshme.</t>
  </si>
  <si>
    <t>Treguesit 1: "Vendimmarrje gjyqesore e drejte, transparente e dhene brenda afateve ligjore."</t>
  </si>
  <si>
    <t>Realizimi i proceseve gjyqsore të drejta dhe të hapura në mbrojtje të kushtetutës dhe lirive e të drejtave themelore të njeriut.</t>
  </si>
  <si>
    <t>Politikat Ekzistuese në Përputhje me Tavanet Perfundimtare Buxhetore sipas VKM nr.476/2018</t>
  </si>
  <si>
    <t>1030001</t>
  </si>
  <si>
    <t>GJYKATA KUSHTETUESE</t>
  </si>
  <si>
    <r>
      <t xml:space="preserve">Detajimi i Kostos Totale të </t>
    </r>
    <r>
      <rPr>
        <b/>
        <sz val="8"/>
        <color rgb="FFFF0000"/>
        <rFont val="Garamond"/>
        <family val="1"/>
      </rPr>
      <t xml:space="preserve">Produktit 6 </t>
    </r>
    <r>
      <rPr>
        <b/>
        <sz val="8"/>
        <color theme="1"/>
        <rFont val="Garamond"/>
        <family val="1"/>
      </rPr>
      <t>sipas Artikujve Ekonomikë</t>
    </r>
  </si>
  <si>
    <t>Ndertimi i Godines se Shkolles</t>
  </si>
  <si>
    <t>Produkti 6 (shto produkte sipas rastit)</t>
  </si>
  <si>
    <t>M550009</t>
  </si>
  <si>
    <r>
      <t xml:space="preserve">Detajimi i Kostos Totale të </t>
    </r>
    <r>
      <rPr>
        <b/>
        <sz val="8"/>
        <color rgb="FFFF0000"/>
        <rFont val="Garamond"/>
        <family val="1"/>
      </rPr>
      <t xml:space="preserve">Produktit 5 </t>
    </r>
    <r>
      <rPr>
        <b/>
        <sz val="8"/>
        <color theme="1"/>
        <rFont val="Garamond"/>
        <family val="1"/>
      </rPr>
      <t>sipas Artikujve Ekonomikë</t>
    </r>
  </si>
  <si>
    <t>Studim projektim i Godines i perfunduar</t>
  </si>
  <si>
    <t>Produkti 5 (shto produkte sipas rastit)</t>
  </si>
  <si>
    <t>Shënim: Shpjegoni supozimet dhe llogaritjet për Produktin 3 (Metoda 2)***</t>
  </si>
  <si>
    <r>
      <t xml:space="preserve">Detajimi i Kostos Totale të </t>
    </r>
    <r>
      <rPr>
        <b/>
        <sz val="8"/>
        <color rgb="FFFF0000"/>
        <rFont val="Garamond"/>
        <family val="1"/>
      </rPr>
      <t xml:space="preserve">Produktit 4 </t>
    </r>
    <r>
      <rPr>
        <b/>
        <sz val="8"/>
        <color theme="1"/>
        <rFont val="Garamond"/>
        <family val="1"/>
      </rPr>
      <t>sipas Artikujve Ekonomikë</t>
    </r>
  </si>
  <si>
    <t>200 libra te blere</t>
  </si>
  <si>
    <t>3 Botime te tjera</t>
  </si>
  <si>
    <t xml:space="preserve"> 3 Botime te tjera</t>
  </si>
  <si>
    <t>5%</t>
  </si>
  <si>
    <t>% nr te autoreve te huaj</t>
  </si>
  <si>
    <t>10%</t>
  </si>
  <si>
    <t>% e nr te autoreve me tituj dhe grada shkencore</t>
  </si>
  <si>
    <t>% e nr. te magjistrateve si autore shkrimesh</t>
  </si>
  <si>
    <t>Ne koston e ketij produkti per vitin 2019 ndikon rritja e pagave sipas 96/2016</t>
  </si>
  <si>
    <t>Realizimi i 250 sesioneve trajnuese per magjistrate, avokate shteti, ndihmesa ligjore, kancelare</t>
  </si>
  <si>
    <t>% e nr. te sesioneve trajnuese per magjistrate</t>
  </si>
  <si>
    <t>% e nr. te magjistrateve te trajnuar</t>
  </si>
  <si>
    <t xml:space="preserve">Blerje 32 cope Pajisje elektronike,  </t>
  </si>
  <si>
    <r>
      <t>Shënim: Shpjegoni supozimet dhe llogaritjet për Produktin2 (Metoda 2)</t>
    </r>
    <r>
      <rPr>
        <b/>
        <sz val="8"/>
        <color rgb="FFFF0000"/>
        <rFont val="Garamond"/>
        <family val="1"/>
      </rPr>
      <t>***</t>
    </r>
  </si>
  <si>
    <t>Permiresimi i kurikulave per 20 lende</t>
  </si>
  <si>
    <t>Ndryshimi i numrit te kanditaveve ne vitet 2020,2021 ne krahasim me vitin 2019 (ulja e nr kandidateve ne vitin  2020, dhe rritja ne vitin 2021)</t>
  </si>
  <si>
    <t>Realizimi i procesit te  Rekrutimit dhe mesimdhenies se kandidateve per magjistrate,avokate shteti/ndihmes e keshilltare ligjor si dhe kancelareve.</t>
  </si>
  <si>
    <t>0%</t>
  </si>
  <si>
    <t>% e  Kurikulave te permiresuara</t>
  </si>
  <si>
    <t>90%</t>
  </si>
  <si>
    <t>% e nr. te kandidateve per magjistrate me vlersimin shkelqyeshem</t>
  </si>
  <si>
    <t>% e nr. te seioneve trajnuese per magjistrate</t>
  </si>
  <si>
    <t>% e nr. te magjiswtrateve te trajnuar</t>
  </si>
  <si>
    <t>% e Kurikulave  te Permiresuara</t>
  </si>
  <si>
    <t xml:space="preserve">Konsolidimi i formimit profesional te magjistrateve , nëpërmjet rritjes profesionale të personelit të gjykatave dhe prokurorive në përputhje me standartet evropiane.                                </t>
  </si>
  <si>
    <t xml:space="preserve">Misioni strategjik i Shkollës së Magjistraturës është formimi profesional i magjistratëve, por edhe i aktorëve të tjerë të rëndësishëm të sistemit të drejtësisë, me aftësi dhe cilësi të larta profesionale, morale dhe etike, me qëllim rritjen e cilësisë në dhënien e drejtësisë, si shërbim ndaj qytetarëve dhe forcimin e shtetit ligjor.
</t>
  </si>
  <si>
    <t>55</t>
  </si>
  <si>
    <t>SHKOLLA  E  MAGJISTRATURES</t>
  </si>
  <si>
    <r>
      <t xml:space="preserve">Detajimi i Kostos Totale të </t>
    </r>
    <r>
      <rPr>
        <b/>
        <sz val="8"/>
        <color rgb="FFFF0000"/>
        <rFont val="Garamond"/>
        <family val="1"/>
      </rPr>
      <t>Produktit 5</t>
    </r>
    <r>
      <rPr>
        <b/>
        <sz val="8"/>
        <color theme="1"/>
        <rFont val="Garamond"/>
        <family val="1"/>
      </rPr>
      <t xml:space="preserve"> sipas Artikujve Ekonomikë</t>
    </r>
  </si>
  <si>
    <t xml:space="preserve">Blerje autovetur per monitorimet e projekteve ne vendet e xhirimit ,pasi kjo qe kemi nuk kalon kontrollet  kolaudimin </t>
  </si>
  <si>
    <t xml:space="preserve">Blerje autoveture  </t>
  </si>
  <si>
    <r>
      <t xml:space="preserve">Detajimi i Kostos Totale të </t>
    </r>
    <r>
      <rPr>
        <b/>
        <sz val="8"/>
        <color rgb="FFFF0000"/>
        <rFont val="Garamond"/>
        <family val="1"/>
      </rPr>
      <t>Produktit 4</t>
    </r>
    <r>
      <rPr>
        <b/>
        <sz val="8"/>
        <color theme="1"/>
        <rFont val="Garamond"/>
        <family val="1"/>
      </rPr>
      <t xml:space="preserve"> sipas Artikujve Ekonomikë</t>
    </r>
  </si>
  <si>
    <t>blerje kondicioner korniza bibloteke</t>
  </si>
  <si>
    <t xml:space="preserve">Blerje orendi zyre </t>
  </si>
  <si>
    <t>Kodi i Projektit të Investimeve M570006</t>
  </si>
  <si>
    <t xml:space="preserve">meter katror </t>
  </si>
  <si>
    <t>Suvatim I ambjentit ku do shfaqen projektet e filmave qe do te monitorohen nga Komisioni I Vizionimit prane QKK</t>
  </si>
  <si>
    <t xml:space="preserve">Rikonstruksioni I zyrave </t>
  </si>
  <si>
    <t>Kodi i Projektit të Investimeve M570001</t>
  </si>
  <si>
    <t>Blerje pajisje kompjuterike ,printer ,kompjutera</t>
  </si>
  <si>
    <t>Kodi i Projektit të Investimeve M570005</t>
  </si>
  <si>
    <t xml:space="preserve">numer pajisjesh </t>
  </si>
  <si>
    <t xml:space="preserve">Pajisje zyre </t>
  </si>
  <si>
    <t>Kodi i Projektit të Investimeve M570002</t>
  </si>
  <si>
    <t>Kosto totale e produktit 12</t>
  </si>
  <si>
    <r>
      <t xml:space="preserve">Detajimi i Kostos Totale të </t>
    </r>
    <r>
      <rPr>
        <b/>
        <sz val="8"/>
        <color rgb="FFFF0000"/>
        <rFont val="Garamond"/>
        <family val="1"/>
      </rPr>
      <t>Produktit 12</t>
    </r>
    <r>
      <rPr>
        <b/>
        <sz val="8"/>
        <color theme="1"/>
        <rFont val="Garamond"/>
        <family val="1"/>
      </rPr>
      <t xml:space="preserve"> sipas Artikujve Ekonomikë</t>
    </r>
  </si>
  <si>
    <t>Numer Marveshje</t>
  </si>
  <si>
    <t>Pagesa kuotizacioni per euroimages,pagese per kuotizacion ne forumin e  europes juglindore te kinemase  dhe ne forumin europian film promotion</t>
  </si>
  <si>
    <t xml:space="preserve">Produkte te ndryshme </t>
  </si>
  <si>
    <t xml:space="preserve">Produkti 12 Produkte te ndryshme(pagese kuotizacioni per eurimage,kuotizacion ne europen juglindore dhe europian film promotions </t>
  </si>
  <si>
    <t>Kosto totale e produktit 11</t>
  </si>
  <si>
    <r>
      <t xml:space="preserve">Detajimi i Kostos Totale të </t>
    </r>
    <r>
      <rPr>
        <b/>
        <sz val="8"/>
        <color rgb="FFFF0000"/>
        <rFont val="Garamond"/>
        <family val="1"/>
      </rPr>
      <t>Produktit 11</t>
    </r>
    <r>
      <rPr>
        <b/>
        <sz val="8"/>
        <color theme="1"/>
        <rFont val="Garamond"/>
        <family val="1"/>
      </rPr>
      <t xml:space="preserve"> Projekte  te ndryshme Kinematografikesipas Artikujve Ekonomikë</t>
    </r>
  </si>
  <si>
    <t xml:space="preserve">Numer Projekti </t>
  </si>
  <si>
    <t>Projekte te ndryshme kinematografike ,jave filmi ,botime mbi kinematografine ,work-shop etj</t>
  </si>
  <si>
    <t xml:space="preserve">Projekte te ndryshme kinematografike </t>
  </si>
  <si>
    <t xml:space="preserve">Produkti 11 Projekte te ndryshme Kinematografike </t>
  </si>
  <si>
    <t>Kosto totale e produktit 10</t>
  </si>
  <si>
    <r>
      <t>Detajimi i Kostos Totale të</t>
    </r>
    <r>
      <rPr>
        <b/>
        <sz val="8"/>
        <color rgb="FFFF0000"/>
        <rFont val="Garamond"/>
        <family val="1"/>
      </rPr>
      <t xml:space="preserve"> Produktit 10  Markete ne Festivale nderkombetare  </t>
    </r>
    <r>
      <rPr>
        <b/>
        <sz val="8"/>
        <color theme="1"/>
        <rFont val="Garamond"/>
        <family val="1"/>
      </rPr>
      <t>sipas Artikujve Ekonomikë</t>
    </r>
  </si>
  <si>
    <t xml:space="preserve">Financimi i festivaleve  te filmit te cilat jane dhe markete te medha per tregun dhe bashkepunimin e kooproduksioneve boterore ,njeri eshte aiqe zhvillohet ne muajin shkurt ne BERLIN,tjetri ne muajin Maj xhvillohet ne qytetin e CANNES ne France  dhe nje ne Trieste ,gjate diteve ku marrin pjese kineaste te cilet kane fituar njjr pjese te financimit nga QKK shkojne per te bere biseda per basjkeprodhime te mundeshm,e per projektet e tyre kinematografike.mer pjese edhe nje pjese e stafit te qkk kukane ne kujdesje stenden e Shqiperise dhe ku zhvillohen takime te ndryshme me personalitete te kinematografise </t>
  </si>
  <si>
    <t xml:space="preserve">Financime per pjesemarje ne markete te festivaleve nderkombetare </t>
  </si>
  <si>
    <t xml:space="preserve">Produkti 10 Markete ne Festivale nderkombetare </t>
  </si>
  <si>
    <t>Kosto totale e produktit 9</t>
  </si>
  <si>
    <r>
      <t>Detajimi i Kostos Totale të</t>
    </r>
    <r>
      <rPr>
        <b/>
        <sz val="8"/>
        <color rgb="FFFF0000"/>
        <rFont val="Garamond"/>
        <family val="1"/>
      </rPr>
      <t xml:space="preserve"> Produktit 9  Festivale ne Shqiperi  </t>
    </r>
    <r>
      <rPr>
        <b/>
        <sz val="8"/>
        <color theme="1"/>
        <rFont val="Garamond"/>
        <family val="1"/>
      </rPr>
      <t>sipas Artikujve Ekonomikë</t>
    </r>
  </si>
  <si>
    <t xml:space="preserve">financimi I pjesshem I festivaleve  te filmit te cilat zhvillohen ne krahina te ndryshme te vendit,psh new Gjirokaster dhe Shkoder zhvillohet festivali ifilmit vizatimor,ne Pogradecfestivali I filmit ballkanik dhe kulinarise,ne Sarande festivalii filmit nderkombetar dea ,ne Tirane festivali Tiff dhe ai per femije  giffoni  etj </t>
  </si>
  <si>
    <t>Financim I festivaleve qe zhvillohen ne  qytete te bdryshme te vendit</t>
  </si>
  <si>
    <t xml:space="preserve">Produkti 9  Festivale ne Shqiperi </t>
  </si>
  <si>
    <r>
      <t>Detajimi i Kostos Totale të</t>
    </r>
    <r>
      <rPr>
        <b/>
        <sz val="8"/>
        <color rgb="FFFF0000"/>
        <rFont val="Garamond"/>
        <family val="1"/>
      </rPr>
      <t xml:space="preserve"> Produktit 8 Filmi Vizatimor  </t>
    </r>
    <r>
      <rPr>
        <b/>
        <sz val="8"/>
        <color theme="1"/>
        <rFont val="Garamond"/>
        <family val="1"/>
      </rPr>
      <t>sipas Artikujve Ekonomikë</t>
    </r>
  </si>
  <si>
    <t>Financimi I ketij zhanri filmik behet nepermjet projektit I cili paraqitet per financim nga qkk, zakonisht ne kete zhaner aplikojn regjizor karriere por edhe regjizor te rinj te cilet paraqesin  projektet per filma vizatimor per femije ose filma autor te cilet destinacionin e tyre e kane neper festivale dhe  kane mbaruar per regji filmi vizatimor  .</t>
  </si>
  <si>
    <t>Financimi I filmit vizatimor per femije dhe atij vizatimor autor</t>
  </si>
  <si>
    <t xml:space="preserve">Produkti 8  Filmi Vizatimor </t>
  </si>
  <si>
    <r>
      <t>Detajimi i Kostos Totale të</t>
    </r>
    <r>
      <rPr>
        <b/>
        <sz val="8"/>
        <color rgb="FFFF0000"/>
        <rFont val="Garamond"/>
        <family val="1"/>
      </rPr>
      <t xml:space="preserve"> Produktit 7 Filmi Dokumentar </t>
    </r>
    <r>
      <rPr>
        <b/>
        <sz val="8"/>
        <color theme="1"/>
        <rFont val="Garamond"/>
        <family val="1"/>
      </rPr>
      <t>sipas Artikujve Ekonomikë</t>
    </r>
  </si>
  <si>
    <t>Financimi I ketij zhanri filmik dokumentar behet nepermjet projekteve qe vijne ne qkk ketu aplikimet jane te te gjithe kineasteve regjizor te rinj apo ato te karrieres te cilet projektet etyre i bazojne ne portrete ,autore,problematika ,ngjarje dhe fakte etj</t>
  </si>
  <si>
    <t xml:space="preserve">Financim I Projekteve per Filmin  Dokumentar </t>
  </si>
  <si>
    <t>Film Dokumentar</t>
  </si>
  <si>
    <t>Produkti 7 Filmi Dokumentar</t>
  </si>
  <si>
    <r>
      <t>Detajimi i Kostos Totale të</t>
    </r>
    <r>
      <rPr>
        <b/>
        <sz val="8"/>
        <color rgb="FFFF0000"/>
        <rFont val="Garamond"/>
        <family val="1"/>
      </rPr>
      <t xml:space="preserve"> Produktit  Film Artistik I Gjate Minority Cooproduction </t>
    </r>
    <r>
      <rPr>
        <b/>
        <sz val="8"/>
        <color theme="1"/>
        <rFont val="Garamond"/>
        <family val="1"/>
      </rPr>
      <t>sipas Artikujve Ekonomikë</t>
    </r>
  </si>
  <si>
    <t>Financimi i ketij zhanri filmik  eshte nje risi e viteve te fundit i cili bazohet ne nje shtese me vkm  nr443 dt 20.05.2015 per financimin e projekteve MINORITY-COOPRODUCTION   te cilet i kane te gjithe komponetet te huaj por qe duan te xhirojne ne shqiperi dhe jane te detyruar te bashkepunojne me producente shqiptare per xhirimin e ketij filmi,keshtu qkk sipas ketij ligji financon  projektit i cili paraqitet per financim nga qkk, ky projekt eshte nje cooproduksion filmik .</t>
  </si>
  <si>
    <t xml:space="preserve">                                                                               FINANCIMI I FILMIT ARTISTIK TE GJATE MINORITY</t>
  </si>
  <si>
    <t>Produkti 6 Film artistik I Gjate Minority Cooproduction</t>
  </si>
  <si>
    <r>
      <t>Detajimi i Kostos Totale të</t>
    </r>
    <r>
      <rPr>
        <b/>
        <sz val="8"/>
        <color rgb="FFFF0000"/>
        <rFont val="Garamond"/>
        <family val="1"/>
      </rPr>
      <t xml:space="preserve"> Produktit 5 Filmi Vizatimor Indipendent </t>
    </r>
    <r>
      <rPr>
        <b/>
        <sz val="8"/>
        <color theme="1"/>
        <rFont val="Garamond"/>
        <family val="1"/>
      </rPr>
      <t>sipas Artikujve Ekonomikë</t>
    </r>
  </si>
  <si>
    <t>Financimi I ketij zhanri filmik behet nepermjet projektit I cili paraqitet per financim nga qkk, zakonisht ne kete zhaner aplikojn studente qe kane mbaruar per regji filmi vizatimor  filmi te cilet e kane edhe alternativa te tjera per montazhin financiar te projektit kinematografik ,kjo eshte nje politike nxitese per te rinjte e apasionuar me kinemane.</t>
  </si>
  <si>
    <t>Financim I filmit indipendent te vizatimor</t>
  </si>
  <si>
    <t>Produkti 5 Filmi Vizatimor Indipendent</t>
  </si>
  <si>
    <r>
      <t>Detajimi i Kostos Totale të</t>
    </r>
    <r>
      <rPr>
        <b/>
        <sz val="8"/>
        <color rgb="FFFF0000"/>
        <rFont val="Garamond"/>
        <family val="1"/>
      </rPr>
      <t xml:space="preserve"> Produktit 4  Filmi I Shkurter (Indipendent)</t>
    </r>
    <r>
      <rPr>
        <b/>
        <sz val="8"/>
        <color theme="1"/>
        <rFont val="Garamond"/>
        <family val="1"/>
      </rPr>
      <t>sipas Artikujve Ekonomikë</t>
    </r>
  </si>
  <si>
    <t>Financimi I ketij zhanri filmik behet nepermjet projektit I cili paraqitet per financim nga qkk, zakonisht ne kete zhaner aplikojn studente qe kane mbaruar per regji filmi te cilet e kane edhe alternativa te tjera per montazhin financiar te projektit kinematografik ,kjo eshte nje politike nxitese per te rinjte e apasionuar me kinemane.</t>
  </si>
  <si>
    <t xml:space="preserve">Financim I filmit indipendent te shkurter </t>
  </si>
  <si>
    <t>Produkti 4 Filmi I Shkurter (Indipendent)</t>
  </si>
  <si>
    <r>
      <t>Detajimi i Kostos Totale të</t>
    </r>
    <r>
      <rPr>
        <b/>
        <sz val="8"/>
        <color rgb="FFFF0000"/>
        <rFont val="Garamond"/>
        <family val="1"/>
      </rPr>
      <t xml:space="preserve"> Produktit 3 Filmi I Gjate Artistik( Indipendent ) </t>
    </r>
    <r>
      <rPr>
        <b/>
        <sz val="8"/>
        <color theme="1"/>
        <rFont val="Garamond"/>
        <family val="1"/>
      </rPr>
      <t>sipas Artikujve Ekonomikë</t>
    </r>
  </si>
  <si>
    <t>Financimi I ketij zhanri filmik behet nepermjet projektit I cili paraqitet per financim nga qkk, zakonisht ne kete zhaner aplikojn regjizoret te cilet e kane filmin e gjate nga ana financiare te kopsitur dhe ne qkk marrin vetem nje financim te vogel .</t>
  </si>
  <si>
    <t>Financim I filmit indipendent</t>
  </si>
  <si>
    <t xml:space="preserve">Produkti 3 Filmi I Gjate Artistik Indipendent </t>
  </si>
  <si>
    <r>
      <t>Detajimi i Kostos Totale të</t>
    </r>
    <r>
      <rPr>
        <b/>
        <sz val="8"/>
        <color rgb="FFFF0000"/>
        <rFont val="Garamond"/>
        <family val="1"/>
      </rPr>
      <t xml:space="preserve"> Produktit 2  Filmi  I Gjate Artistik ( Veper E Pare )</t>
    </r>
    <r>
      <rPr>
        <b/>
        <sz val="8"/>
        <color theme="1"/>
        <rFont val="Garamond"/>
        <family val="1"/>
      </rPr>
      <t>sipas Artikujve Ekonomikë</t>
    </r>
  </si>
  <si>
    <t>Financimi I ketij zhanri filmik behet nepermjet projektit I cili paraqitet per financim nga qkk, zakonisht ne kete zhaner aplikojn regjizoret te cilet e kane filmin e gjate te pare financimi per kete projekt eshte deri 51% te vleres totale ,ky projekt eshte nje cooproduksion filmik .</t>
  </si>
  <si>
    <t xml:space="preserve">Financim per projektin  filmik  artistk te gjate Veper e pare </t>
  </si>
  <si>
    <t xml:space="preserve">Produkti 2  Filmi  I Gjate Artistik  Veper E Pare" </t>
  </si>
  <si>
    <t>Financimi I ketij zhanri filmik behet nepermjet projektit I cili paraqitet per financim nga qkk, zakonisht ne kete zhaner aplikojn regjizoret e karieresfinancimi per kete projekt eshte deri 51% te vleres totale ,ky projekt eshte nje cooproduksion filmik montazhi financiar I te cilit behet nga producenti duke aplikuar neper institucione te tjera te filmit neper europe dhe me gjere si dhe nga institucione te artit dhe kultures ne shqiperi.</t>
  </si>
  <si>
    <t>Financim per projektin  filmik  artistk te gjate (Veper  Karriere)</t>
  </si>
  <si>
    <t>Produkti 1  Filmi  I Gjate Artistik  Veper Karriere"  ***</t>
  </si>
  <si>
    <t>Produktet për Objektivin 1 'Filmi  I Gjate Artistik  Veper Karriere"</t>
  </si>
  <si>
    <t>Emërtimi i Treguesit 2 miratimi nga komisioni vizionimit</t>
  </si>
  <si>
    <t xml:space="preserve">Emërtimi i Treguesit 1 Realizimi ne kohe </t>
  </si>
  <si>
    <t>Treguesit e Performancës për Objektivin 1*Filmi  I Gjate Artistik  Veper Karriere *</t>
  </si>
  <si>
    <t xml:space="preserve">Mbeshtetje Financiare e producenteve per realizimin e produktit kinematografik ,film artistik I gjate,film artistik veper e pare ,film artistik indipendent ,indipendent I shkurter  </t>
  </si>
  <si>
    <t>Realizimi ne kohe dhe cilesi i produktit kinematografik  Filmi Artistik  i gjate ,Veper Karriere ,Filmit Artistik te Gjate Veper e pare ,Filmit artistik I gjate indipendent</t>
  </si>
  <si>
    <t>Financim i  i producenteve shqiptare per te realizuar produktin kinematografik ky  financim synon nxitjen e producenteve shqipetar per perfitimit te fondeve alternative ne europe dhe me gjere ne bote per te bashkeprodhuar  kete produkt kinematografik .Kjo mbeshtetje synon  orjentimin e prodhimit te ri kinematografik  drejt integrimit te tij ne rrjetin dhe tregun europian dhe boter te Kinemase.</t>
  </si>
  <si>
    <t>Mbeshtetje Financiare e Veprimtarise Kinematokrafike</t>
  </si>
  <si>
    <t>Financim i producenteve shqiptar  nepermjet projekteve kinematografike i cili synon nxitjen e tyre per te siguruar fonde alternative ne europe e me gjere per te mundesuar produktin kinematografik shqiptar. Kjo mbeshtetje ekonomike  synon orjentimin e prodhimit kinematografik drejt integrimit ne tregun europian dhe  boteror te filmit .</t>
  </si>
  <si>
    <t>Programi "Mbeshtetje financiare mbi veprimtarine kinematografike"</t>
  </si>
  <si>
    <t>Mbeshtetje Ekonomike dhe Koordinimi i te Gjithe Veprimtarise Kinematografike ne Shqiperi</t>
  </si>
  <si>
    <t>1057001</t>
  </si>
  <si>
    <t>Qendra Kombetare e Kinematografise</t>
  </si>
  <si>
    <r>
      <t xml:space="preserve">Shënim: </t>
    </r>
    <r>
      <rPr>
        <i/>
        <sz val="8"/>
        <color theme="1"/>
        <rFont val="Garamond"/>
        <family val="1"/>
        <charset val="238"/>
      </rPr>
      <t>Shpjegoni supozimet dhe llogaritjet (Metoda 1)</t>
    </r>
  </si>
  <si>
    <r>
      <t xml:space="preserve">Detajimi i Kostos Totale të </t>
    </r>
    <r>
      <rPr>
        <b/>
        <sz val="8"/>
        <color rgb="FFFF0000"/>
        <rFont val="Garamond"/>
        <family val="1"/>
        <charset val="238"/>
      </rPr>
      <t>Produktit 5</t>
    </r>
    <r>
      <rPr>
        <b/>
        <sz val="8"/>
        <color theme="1"/>
        <rFont val="Garamond"/>
        <family val="1"/>
        <charset val="238"/>
      </rPr>
      <t xml:space="preserve"> sipas Artikujve Ekonomikë</t>
    </r>
  </si>
  <si>
    <t xml:space="preserve">Shih relacioni shoqerues </t>
  </si>
  <si>
    <r>
      <t xml:space="preserve">Detajimi i Kostos Totale të </t>
    </r>
    <r>
      <rPr>
        <b/>
        <sz val="8"/>
        <color rgb="FFFF0000"/>
        <rFont val="Garamond"/>
        <family val="1"/>
        <charset val="238"/>
      </rPr>
      <t>Produktit 1</t>
    </r>
    <r>
      <rPr>
        <b/>
        <sz val="8"/>
        <color theme="1"/>
        <rFont val="Garamond"/>
        <family val="1"/>
        <charset val="238"/>
      </rPr>
      <t xml:space="preserve"> sipas Artikujve Ekonomikë</t>
    </r>
  </si>
  <si>
    <t>Zyra te mobiluara</t>
  </si>
  <si>
    <r>
      <t xml:space="preserve">Detajimi i Kostos Totale të </t>
    </r>
    <r>
      <rPr>
        <b/>
        <sz val="8"/>
        <color rgb="FFFF0000"/>
        <rFont val="Garamond"/>
        <family val="1"/>
        <charset val="238"/>
      </rPr>
      <t xml:space="preserve">Produktit 3/Objektivi 2 </t>
    </r>
    <r>
      <rPr>
        <b/>
        <sz val="8"/>
        <color theme="1"/>
        <rFont val="Garamond"/>
        <family val="1"/>
        <charset val="238"/>
      </rPr>
      <t xml:space="preserve"> sipas Artikujve Ekonomikë</t>
    </r>
  </si>
  <si>
    <t>Kosto totale e produktit 2/Objektivi 2</t>
  </si>
  <si>
    <r>
      <t xml:space="preserve">Detajimi i Kostos Totale të </t>
    </r>
    <r>
      <rPr>
        <b/>
        <sz val="8"/>
        <color rgb="FFFF0000"/>
        <rFont val="Garamond"/>
        <family val="1"/>
        <charset val="238"/>
      </rPr>
      <t>Produktit 2</t>
    </r>
    <r>
      <rPr>
        <b/>
        <sz val="8"/>
        <color theme="1"/>
        <rFont val="Garamond"/>
        <family val="1"/>
        <charset val="238"/>
      </rPr>
      <t xml:space="preserve"> sipas Artikujve Ekonomikë</t>
    </r>
  </si>
  <si>
    <t>Kosto totale e produktit 1/Objektivi 2</t>
  </si>
  <si>
    <t>Zyra te pajisura me mjete elektronike</t>
  </si>
  <si>
    <r>
      <t>Shënim: Shpjegoni supozimet dhe llogaritjet për Produktin 1 (Metoda 2)</t>
    </r>
    <r>
      <rPr>
        <b/>
        <sz val="8"/>
        <color rgb="FFFF0000"/>
        <rFont val="Garamond"/>
        <family val="1"/>
        <charset val="238"/>
      </rPr>
      <t>***</t>
    </r>
  </si>
  <si>
    <r>
      <t>Ndryshimi në % i Transfertave për familjet dhe individët si pasojë e ndryshimit të sasisë së produktit</t>
    </r>
    <r>
      <rPr>
        <b/>
        <i/>
        <sz val="8"/>
        <color rgb="FFFF0000"/>
        <rFont val="Garamond"/>
        <family val="1"/>
        <charset val="238"/>
      </rPr>
      <t>**</t>
    </r>
  </si>
  <si>
    <r>
      <t>Ndryshimi në % i Transfertave të jashtme si pasojë e ndryshimit të sasisë së produktit</t>
    </r>
    <r>
      <rPr>
        <b/>
        <i/>
        <sz val="8"/>
        <color rgb="FFFF0000"/>
        <rFont val="Garamond"/>
        <family val="1"/>
        <charset val="238"/>
      </rPr>
      <t>**</t>
    </r>
  </si>
  <si>
    <r>
      <t>Ndryshimi në % i Transfertave të brendshme si pasojë e ndryshimit të sasisë së produktit</t>
    </r>
    <r>
      <rPr>
        <b/>
        <i/>
        <sz val="8"/>
        <color rgb="FFFF0000"/>
        <rFont val="Garamond"/>
        <family val="1"/>
        <charset val="238"/>
      </rPr>
      <t>**</t>
    </r>
  </si>
  <si>
    <r>
      <t>Ndryshimi në % i Subvencioneve si pasojë e ndryshimit të sasisë së produktit</t>
    </r>
    <r>
      <rPr>
        <b/>
        <i/>
        <sz val="8"/>
        <color rgb="FFFF0000"/>
        <rFont val="Garamond"/>
        <family val="1"/>
        <charset val="238"/>
      </rPr>
      <t>**</t>
    </r>
  </si>
  <si>
    <r>
      <t>Ndryshimi në % i Mallrave dhe Shërbimeve si pasojë e ndryshimit të sasisë së produktit</t>
    </r>
    <r>
      <rPr>
        <b/>
        <i/>
        <sz val="8"/>
        <color rgb="FFFF0000"/>
        <rFont val="Garamond"/>
        <family val="1"/>
        <charset val="238"/>
      </rPr>
      <t>**</t>
    </r>
  </si>
  <si>
    <t xml:space="preserve">Rivleresim i Tavanit per shkak te pamjaftueshmerise se buxhetit per vitin 2018. Shih relacioni shoqerues </t>
  </si>
  <si>
    <r>
      <t xml:space="preserve">Ndryshimi në % i Mallrave dhe Shërbimeve si pasojë e ndryshimit të kostos së produktit </t>
    </r>
    <r>
      <rPr>
        <b/>
        <i/>
        <sz val="8"/>
        <color theme="1"/>
        <rFont val="Garamond"/>
        <family val="1"/>
        <charset val="238"/>
      </rPr>
      <t>( Inflacioni )</t>
    </r>
  </si>
  <si>
    <r>
      <t>Ndryshimi në % i Sigurimeve Shoqërore dhe Shendetësore si pasojë e ndryshimit të sasisë së produktit</t>
    </r>
    <r>
      <rPr>
        <b/>
        <i/>
        <sz val="8"/>
        <color rgb="FFFF0000"/>
        <rFont val="Garamond"/>
        <family val="1"/>
        <charset val="238"/>
      </rPr>
      <t>**</t>
    </r>
  </si>
  <si>
    <t xml:space="preserve">Ndryshimi në % i Sigurimeve Shoqerore dhe Shendetësore si pasojë e ndryshimit të kostos së produktit( Per shkak te kerkeses per rritje te numrit te stafit) </t>
  </si>
  <si>
    <r>
      <t>Ndryshimi në % i Pagave si pasojë e ndryshimit të sasisë së produktit</t>
    </r>
    <r>
      <rPr>
        <b/>
        <i/>
        <sz val="8"/>
        <color rgb="FFFF0000"/>
        <rFont val="Garamond"/>
        <family val="1"/>
        <charset val="238"/>
      </rPr>
      <t>**</t>
    </r>
  </si>
  <si>
    <t xml:space="preserve">Ndryshimi në % i Pagave si pasojë e ndryshimit të kostos së produktit ( Per shkak te kerkeses per rritje te numrit te stafit) </t>
  </si>
  <si>
    <t xml:space="preserve">Ushtrimi i plote, bazuar ne detyrimet ligjore, i aktivitetit te institucionit i cili konsiston ne paraqitjen e ankimeve kunder vendimeve te Komisionit te Pavarur te Kualifikimit </t>
  </si>
  <si>
    <t xml:space="preserve">Veprimtaria vjetore Instituconit te Komisionereve Publike </t>
  </si>
  <si>
    <t>Ushtrimi i te drejtes te Komisionereve Publike, per ankimim, ndaj vendimeve te KPK brenda afateve ligjore.</t>
  </si>
  <si>
    <t xml:space="preserve">Mbrojtja e interesit publik gjate kryerjes se procesit te rivleresimit, respektimi i parimit te paanesise dhe pavaresise, procesit te rregullt ligjor, transparences dhe frymes se bashkepunimit ndermjet dy komisionereve publike, Operacionit Nderkombetar te Monitorimit dhe institucioneve te tjera. </t>
  </si>
  <si>
    <t xml:space="preserve">Procesi i Rivleresimit te gjyqtareve dhe prokuroreve ne Republiken e Shqiperise ka per qellim garantimin e funksionimit te shtetit te se drejtes, pavaresine e sistemit te drejtesise si dhe rikthimin e besimit te publikut tek institucionet e ketij sistemi </t>
  </si>
  <si>
    <t>03360</t>
  </si>
  <si>
    <t>Veprimtaria e komisionerit publik</t>
  </si>
  <si>
    <t>O3360</t>
  </si>
  <si>
    <t xml:space="preserve">Institucioni i Komisionerit Publik eshte institucion kushtetues, pjese e institucioneve te rivleresimit te gjyqtareve dhe prokuroreve ne Republiken e Shqipersise, i cili perfaqeson interesin publik ne kete proces, nepermjet ushtrimit te te drejtes se ankimit kunder vendimeve te Komisionit te Pavarur te Kualifikimit. Gjate veprimtarise se tij Institucioni i Komisionereve Publike, udhehiqet nga parimi i paanesise dhe pavaresise, procesit te rregullt ligjor, transparenca dhe fryma e bashkepunimit ndermjet dy komisionereve publike, Operacionit Nderkombetar te Monitorimit dhe institucioneve te tjera, me qellim rikthimin e besimit te publikut tek institucionet e ketij sistemi </t>
  </si>
  <si>
    <t>1063004</t>
  </si>
  <si>
    <t xml:space="preserve">Komisioneret Publike </t>
  </si>
  <si>
    <t>Godine e rikonstruktuar</t>
  </si>
  <si>
    <t>Pajisje te blera</t>
  </si>
  <si>
    <t>Kodi i Projektit të Investimeve  M630001</t>
  </si>
  <si>
    <t>inflancionin</t>
  </si>
  <si>
    <t xml:space="preserve">pasi tavanet aktuale perballojne shpenzimet, pa qene nevoja te indeksohen me koeficientin e </t>
  </si>
  <si>
    <t xml:space="preserve">Koston totale te produktit nuk e kemi indeksuar me koeficientin e inflancionit pasi tavanet aktuale </t>
  </si>
  <si>
    <r>
      <t xml:space="preserve"> </t>
    </r>
    <r>
      <rPr>
        <sz val="8"/>
        <rFont val="Garamond"/>
        <family val="1"/>
      </rPr>
      <t>Vlerësimi etiko profesinal i gjyqtarëve dhe kryerja e inspektimeve të ankesave te shtetasve apo subjekteve te ndryshme.</t>
    </r>
  </si>
  <si>
    <t>Ankesa te shtetasve te trajtuara</t>
  </si>
  <si>
    <t>Zhvillimi i karrieres, emerime objektive, transparente dhe veprimtari administrative profesionale</t>
  </si>
  <si>
    <t>Garantimi i funksionimit normal te aktivitetit te Keshillit te Larte te Drejtesise dhe Inspektoratit te tij.</t>
  </si>
  <si>
    <t>Garantimim i funksionimit normal te aktivitetit te Keshillit te Larte te Drejtesise dhe Inspektoratit te tij</t>
  </si>
  <si>
    <t>Veprimtaria mbikqyrese e KLDrejtesise</t>
  </si>
  <si>
    <t>Dhënia e kontributit të vazhdueshem, për të siguruar një sistem gjyqwsor efektiv,efikas, të pavarur, transparent, rritjen e profesionalizmit dhe besimit ndaj publikut, në përputhje me praktikat më të mira europiane.</t>
  </si>
  <si>
    <t>1063001</t>
  </si>
  <si>
    <t>Këshilli i Lartë i Drejtësisë</t>
  </si>
  <si>
    <t>Kosto totale e produktit  1</t>
  </si>
  <si>
    <t>Numer  personeli</t>
  </si>
  <si>
    <t>Kryerje investimesh te ndryshme</t>
  </si>
  <si>
    <t xml:space="preserve">Detajim i fondit per investime rast pas rastit sipas kerkesave specifike </t>
  </si>
  <si>
    <t>Fond i Ngrire</t>
  </si>
  <si>
    <t>Kodi i Projektit të Investimeve     M630009</t>
  </si>
  <si>
    <t>Meter 2</t>
  </si>
  <si>
    <t>Blerje dhe montim skeleteri xhami</t>
  </si>
  <si>
    <t>Vendosje skeleteri xhami per paradhomen e Kryeteras</t>
  </si>
  <si>
    <t>Blerje skeleteri xhami</t>
  </si>
  <si>
    <t>Kodi i Projektit të Investimeve     M630023</t>
  </si>
  <si>
    <t>Meter</t>
  </si>
  <si>
    <t>Blerje dhe montim moketi ( tapeti rrugice ) ne shkallet e korridoreve</t>
  </si>
  <si>
    <t xml:space="preserve">Blerje  tapeti rrugice </t>
  </si>
  <si>
    <t>Blerje pajisje zyrash ( tapet ) - moket per korridoret</t>
  </si>
  <si>
    <t>Kodi i Projektit të Investimeve     M630002</t>
  </si>
  <si>
    <t>Numer  makinash</t>
  </si>
  <si>
    <t>Blerje  makine per institucionin sipas parametrave specifike</t>
  </si>
  <si>
    <t>Blerje makine per Institucionin</t>
  </si>
  <si>
    <t xml:space="preserve"> M630020</t>
  </si>
  <si>
    <t xml:space="preserve">Kodi i Projektit të Investimeve     </t>
  </si>
  <si>
    <t>Numer  sallash</t>
  </si>
  <si>
    <t>Prishje muri, ribashkim instalimesh elektrike, lyerje, montime postesh pune etj</t>
  </si>
  <si>
    <t>Rikonstruksion i Sallës së  Madhe të Seancave Dëgjimore</t>
  </si>
  <si>
    <t>M630008</t>
  </si>
  <si>
    <t xml:space="preserve">Kodi i Projektit të Investimeve    </t>
  </si>
  <si>
    <t>Numer  televizoresh</t>
  </si>
  <si>
    <t>Blerje e 11 Televizorëve</t>
  </si>
  <si>
    <t>Shpenzime për pajisje Audio-Vizuale "Blerje e 11 Televizorëve"</t>
  </si>
  <si>
    <t>Pajisje te ndryshme elektronike sipas kerkesave te stafit te institucionit  si rregjistrues zeri, usb me permasa te medha , switce me numer te ndryshem portash etj</t>
  </si>
  <si>
    <t>Blerje pajisje të ndryshme elektronike</t>
  </si>
  <si>
    <t>M630018</t>
  </si>
  <si>
    <t>Numer  librash</t>
  </si>
  <si>
    <t xml:space="preserve"> Blerje fjaloresh , permbledhese ligjesh </t>
  </si>
  <si>
    <t>Krijimi i fondit te biblotekes</t>
  </si>
  <si>
    <t xml:space="preserve"> M630005</t>
  </si>
  <si>
    <t>Numer dollapesh</t>
  </si>
  <si>
    <t>Blerje pajisje</t>
  </si>
  <si>
    <t>Bleje e dollapeve  metalike per arkiven</t>
  </si>
  <si>
    <t xml:space="preserve">Kodi i Projektit të Investimeve   </t>
  </si>
  <si>
    <t>Ketu mund te shkruash sqarimet e perllogaritjeve</t>
  </si>
  <si>
    <t>Numer  dosjesh ne proces shqyrtimi</t>
  </si>
  <si>
    <t>Misioni i Komisionit të Pavarur të Kualifikimit, është rivlerësimi kalimtar i të gjithë subjekteve të rivlerësimit (gjyqtarë e prokurorë) për të garantuar funksionimin e shtetit të së drejtës, pavarësinë e sistemit të drejtësisë dhe rikthimin e besimit të publikut tek institucionet e këtij sistemi.</t>
  </si>
  <si>
    <t>1063002</t>
  </si>
  <si>
    <t>KOMISIONI I PAVARUR I KUALIFIKIMIT</t>
  </si>
  <si>
    <r>
      <t xml:space="preserve">Shënim: </t>
    </r>
    <r>
      <rPr>
        <i/>
        <sz val="8"/>
        <rFont val="Garamond"/>
        <family val="1"/>
      </rPr>
      <t>Shpjegoni supozimet dhe llogaritjet (Metoda 1)</t>
    </r>
  </si>
  <si>
    <t>Automjet për levizjet e punonjësve të instucionit</t>
  </si>
  <si>
    <t>Numër sistemesh</t>
  </si>
  <si>
    <t xml:space="preserve"> Pajisje elektronike të blera për veprimtarine e punonjësve të Kolegjit të Apelimit</t>
  </si>
  <si>
    <t>Paisje elektronike</t>
  </si>
  <si>
    <t>Pajisje dhe Mobilje të blera për zyrat e gjyqtareve, personelit administrativ , salles se gjykimit, salles së mbledhjeve dhe ambjenteve te tjera.</t>
  </si>
  <si>
    <t xml:space="preserve"> Paisje dhe mobilje </t>
  </si>
  <si>
    <t>M630002</t>
  </si>
  <si>
    <t>Për këtë produkt luhatja e rezultuar në sasi, në kosto totale dhe kosto për njësi ka ardhur si rezultat i  përllogaritjes për një afat kohor më të gjatë si edhe bazuar ne pritshmërinë e Kolegjit të Apelimit për shqyrtim të ankimeve që do të paraqiten.</t>
  </si>
  <si>
    <r>
      <t>Shënim: Shpjegoni supozimet dhe llogaritjet për Produktin 1 (Metoda 2)</t>
    </r>
    <r>
      <rPr>
        <b/>
        <sz val="8"/>
        <rFont val="Garamond"/>
        <family val="1"/>
      </rPr>
      <t>***</t>
    </r>
  </si>
  <si>
    <r>
      <t>Ndryshimi në % i Transfertave për familjet dhe individët si pasojë e ndryshimit të sasisë së produktit</t>
    </r>
    <r>
      <rPr>
        <b/>
        <i/>
        <sz val="9"/>
        <rFont val="Garamond"/>
        <family val="1"/>
      </rPr>
      <t>**</t>
    </r>
  </si>
  <si>
    <r>
      <t>Ndryshimi në % i Transfertave të jashtme si pasojë e ndryshimit të sasisë së produktit</t>
    </r>
    <r>
      <rPr>
        <b/>
        <i/>
        <sz val="9"/>
        <rFont val="Garamond"/>
        <family val="1"/>
      </rPr>
      <t>**</t>
    </r>
  </si>
  <si>
    <r>
      <t>Ndryshimi në % i Transfertave të brendshme si pasojë e ndryshimit të sasisë së produktit</t>
    </r>
    <r>
      <rPr>
        <b/>
        <i/>
        <sz val="9"/>
        <rFont val="Garamond"/>
        <family val="1"/>
      </rPr>
      <t>**</t>
    </r>
  </si>
  <si>
    <r>
      <t>Ndryshimi në % i Subvencioneve si pasojë e ndryshimit të sasisë së produktit</t>
    </r>
    <r>
      <rPr>
        <b/>
        <i/>
        <sz val="9"/>
        <rFont val="Garamond"/>
        <family val="1"/>
      </rPr>
      <t>**</t>
    </r>
  </si>
  <si>
    <r>
      <t>Ndryshimi në % i Mallrave dhe Shërbimeve si pasojë e ndryshimit të sasisë së produktit</t>
    </r>
    <r>
      <rPr>
        <b/>
        <i/>
        <sz val="9"/>
        <rFont val="Garamond"/>
        <family val="1"/>
      </rPr>
      <t>**</t>
    </r>
  </si>
  <si>
    <r>
      <t>Ndryshimi në % i Sigurimeve Shoqërore dhe Shendetësore si pasojë e ndryshimit të sasisë së produktit</t>
    </r>
    <r>
      <rPr>
        <b/>
        <i/>
        <sz val="9"/>
        <rFont val="Garamond"/>
        <family val="1"/>
      </rPr>
      <t>**</t>
    </r>
  </si>
  <si>
    <r>
      <t>Ndryshimi në % i Pagave si pasojë e ndryshimit të sasisë së produktit</t>
    </r>
    <r>
      <rPr>
        <b/>
        <i/>
        <sz val="9"/>
        <rFont val="Garamond"/>
        <family val="1"/>
      </rPr>
      <t>**</t>
    </r>
  </si>
  <si>
    <t>Formati standart i përgatitjes së kërkesave buxhetore</t>
  </si>
  <si>
    <t>O3340</t>
  </si>
  <si>
    <t>Përmbushja e funksioneve dhe kompetencave ligjore për garantimin e funksionimit të shtetit të së drejtës, pavarësise së sistemit të drejtësisë, si dhe rikthimin e besimit të publikut, tek institucionet e këtij sisitemi.</t>
  </si>
  <si>
    <t>1063003</t>
  </si>
  <si>
    <t>Kolegji i Posaçëm i Apelimit</t>
  </si>
  <si>
    <r>
      <t xml:space="preserve">Kujdes!! </t>
    </r>
    <r>
      <rPr>
        <b/>
        <i/>
        <sz val="12"/>
        <rFont val="Garamond"/>
        <family val="1"/>
        <charset val="238"/>
      </rPr>
      <t>Në format mund të shtohen rreshta për të reflektuar të gjitha produktet e programit. Formati ka formula, të cilat duhen përditësuar sipas llogjikës së paraqitur më sipër.</t>
    </r>
  </si>
  <si>
    <t xml:space="preserve">***Në këtë seksion do të vendosen të gjitha produktet e programit nën objektivin 1 të cilat janë të lidhura me shpenzimet kapitale. Shpenzimet kapitale ndahen në grupe: Shpenzime administrative kapitale dhe shpenzime për projekte investimesh. Kostoja e politikave ekzistuese për shpenzimet kapitale do të llogaritet sipas metodologjisë së përcaktuar në kapitullin 7 të udhëzimit standard të PBA. </t>
  </si>
  <si>
    <r>
      <rPr>
        <b/>
        <i/>
        <sz val="12"/>
        <color rgb="FFFF0000"/>
        <rFont val="Garamond"/>
        <family val="1"/>
        <charset val="238"/>
      </rPr>
      <t>***</t>
    </r>
    <r>
      <rPr>
        <b/>
        <i/>
        <sz val="12"/>
        <rFont val="Garamond"/>
        <family val="1"/>
        <charset val="238"/>
      </rPr>
      <t>Në fushën përbri duhet të jepen shpjegime dhe argumenta të luhatjes së rezultuar në sasi, 
kosto totale apo kosto për njësi të Produktit përkatës sipas Metodës 2 të kostimit të Politikave Ekzistuese</t>
    </r>
  </si>
  <si>
    <r>
      <t xml:space="preserve">** </t>
    </r>
    <r>
      <rPr>
        <b/>
        <i/>
        <sz val="12"/>
        <rFont val="Garamond"/>
        <family val="1"/>
        <charset val="238"/>
      </rPr>
      <t>Ndryshimi në % i sasisë për çdo artikull ekonomik nuk do të vendoset kur përdoret metoda 1 e kostimit të politikave ekzistuese.</t>
    </r>
  </si>
  <si>
    <t>*Në këtë seksion, do të vendosen të gjitha produktet e programit nën objektivin 1 të cilat janë të lidhura vetëm me shpenzimet korrente.</t>
  </si>
  <si>
    <r>
      <t xml:space="preserve">Shënim: </t>
    </r>
    <r>
      <rPr>
        <b/>
        <i/>
        <sz val="12"/>
        <color theme="1"/>
        <rFont val="Garamond"/>
        <family val="1"/>
        <charset val="238"/>
      </rPr>
      <t>Shpjegoni supozimet dhe llogaritjet (Metoda 1)</t>
    </r>
  </si>
  <si>
    <r>
      <t xml:space="preserve">Detajimi i Kostos Totale të </t>
    </r>
    <r>
      <rPr>
        <b/>
        <sz val="12"/>
        <color rgb="FFFF0000"/>
        <rFont val="Garamond"/>
        <family val="1"/>
        <charset val="238"/>
      </rPr>
      <t>Produktit 1</t>
    </r>
    <r>
      <rPr>
        <b/>
        <sz val="12"/>
        <color theme="1"/>
        <rFont val="Garamond"/>
        <family val="1"/>
        <charset val="238"/>
      </rPr>
      <t xml:space="preserve"> sipas Artikujve Ekonomikë</t>
    </r>
  </si>
  <si>
    <t>Numër ankesash</t>
  </si>
  <si>
    <t>Inspektime kryesisht në bazë të informacioneve të ndryshme</t>
  </si>
  <si>
    <t>Informacione të trajtuara/Ankesa</t>
  </si>
  <si>
    <t>Numër mbikëqyrjesh të kryera</t>
  </si>
  <si>
    <t>Mbikëqyrje  të kryera sipas planit vjetor</t>
  </si>
  <si>
    <t>Mbikëqyrje</t>
  </si>
  <si>
    <t xml:space="preserve"> Inspektime kryesisht sipas informacioneve të ndryshme</t>
  </si>
  <si>
    <t>Në llogaritjen e tavanit: 3% inflacioni për 3 vite dhe rritja e sasisë së numrit të mbikëqyrjeve 3.5%</t>
  </si>
  <si>
    <r>
      <t>Shënim: Shpjegoni supozimet dhe llogaritjet për Produktin 1 (Metoda 2)</t>
    </r>
    <r>
      <rPr>
        <b/>
        <sz val="12"/>
        <color rgb="FFFF0000"/>
        <rFont val="Garamond"/>
        <family val="1"/>
        <charset val="238"/>
      </rPr>
      <t>***</t>
    </r>
  </si>
  <si>
    <r>
      <t>Ndryshimi në % i Transfertave për familjet dhe individët si pasojë e ndryshimit të sasisë së produktit</t>
    </r>
    <r>
      <rPr>
        <b/>
        <i/>
        <sz val="12"/>
        <color rgb="FFFF0000"/>
        <rFont val="Garamond"/>
        <family val="1"/>
        <charset val="238"/>
      </rPr>
      <t>**</t>
    </r>
  </si>
  <si>
    <r>
      <t>Ndryshimi në % i Transfertave të jashtme si pasojë e ndryshimit të sasisë së produktit</t>
    </r>
    <r>
      <rPr>
        <b/>
        <i/>
        <sz val="12"/>
        <color rgb="FFFF0000"/>
        <rFont val="Garamond"/>
        <family val="1"/>
        <charset val="238"/>
      </rPr>
      <t>**</t>
    </r>
  </si>
  <si>
    <r>
      <t>Ndryshimi në % i Mallrave dhe Shërbimeve si pasojë e ndryshimit të sasisë së produktit</t>
    </r>
    <r>
      <rPr>
        <b/>
        <i/>
        <sz val="12"/>
        <color rgb="FFFF0000"/>
        <rFont val="Garamond"/>
        <family val="1"/>
        <charset val="238"/>
      </rPr>
      <t>**</t>
    </r>
  </si>
  <si>
    <r>
      <t>Ndryshimi në % i Sigurimeve Shoqërore dhe Shendetësore si pasojë e ndryshimit të sasisë së produktit</t>
    </r>
    <r>
      <rPr>
        <b/>
        <i/>
        <sz val="12"/>
        <color rgb="FFFF0000"/>
        <rFont val="Garamond"/>
        <family val="1"/>
        <charset val="238"/>
      </rPr>
      <t>**</t>
    </r>
  </si>
  <si>
    <r>
      <t>Ndryshimi në % i Pagave si pasojë e ndryshimit të sasisë së produktit</t>
    </r>
    <r>
      <rPr>
        <b/>
        <i/>
        <sz val="12"/>
        <color rgb="FFFF0000"/>
        <rFont val="Garamond"/>
        <family val="1"/>
        <charset val="238"/>
      </rPr>
      <t>**</t>
    </r>
  </si>
  <si>
    <t xml:space="preserve">Mbikëqyrje </t>
  </si>
  <si>
    <t>Rritja e nivelit të zbatimit të ligjit për shërbimin civil.</t>
  </si>
  <si>
    <t>Trend rënës</t>
  </si>
  <si>
    <t>Numri i shkeljeve të konstatuara të ligjit të NC</t>
  </si>
  <si>
    <r>
      <t xml:space="preserve">Realizimi i mbikëqyrjes, inspektimit dhe zbatimit të ligjit për administrimin e shërbimit civil në të gjitha institucionet që punësojnë nëpunës civil, dhe evidentimi i shkeljeve, në bazë të të cilave Komisioneri ushtron vendimarrjen e tij në përputhje me Nenin 15 të ligjit Nr. 152/2013, </t>
    </r>
    <r>
      <rPr>
        <b/>
        <i/>
        <sz val="12"/>
        <color theme="1"/>
        <rFont val="Garamond"/>
        <family val="1"/>
        <charset val="238"/>
      </rPr>
      <t>"Për nëpunësin civil"</t>
    </r>
    <r>
      <rPr>
        <b/>
        <sz val="12"/>
        <color theme="1"/>
        <rFont val="Garamond"/>
        <family val="1"/>
        <charset val="238"/>
      </rPr>
      <t>, i ndryshuar. Menaxhimi me efektivitet dhe korrektësi i fondeve buxhetore të KMSHC-së.</t>
    </r>
  </si>
  <si>
    <t>Planifikim-Menaxhim-Administrim</t>
  </si>
  <si>
    <r>
      <t xml:space="preserve"> Të garantojë </t>
    </r>
    <r>
      <rPr>
        <b/>
        <sz val="12"/>
        <rFont val="Garamond"/>
        <family val="1"/>
        <charset val="238"/>
      </rPr>
      <t>zbatimin e ligjshmërisë në administrimin e shërbimit civil gjatë aplikimit të instituteve të ligjit për nëpunësin civil, me qëllim krijimin e një shërbimi civil të qëndrueshëm, profesional, të bazuar në meritë, integritet moral dhe paanësi politike.</t>
    </r>
  </si>
  <si>
    <t>67</t>
  </si>
  <si>
    <t>Komisioneri për Mbikëqyrjen e Shërbimit Civil</t>
  </si>
  <si>
    <r>
      <rPr>
        <b/>
        <sz val="8"/>
        <color rgb="FFFF0000"/>
        <rFont val="Garamond"/>
        <family val="1"/>
      </rPr>
      <t>Produkti 8</t>
    </r>
    <r>
      <rPr>
        <sz val="8"/>
        <color theme="1"/>
        <rFont val="Garamond"/>
        <family val="1"/>
      </rPr>
      <t xml:space="preserve"> (shto produkte sipas rastit)</t>
    </r>
  </si>
  <si>
    <t>%  (përqindje) realizimi të nevojave</t>
  </si>
  <si>
    <r>
      <rPr>
        <b/>
        <sz val="8"/>
        <rFont val="Garamond"/>
        <family val="1"/>
      </rPr>
      <t>Produkti  1</t>
    </r>
    <r>
      <rPr>
        <sz val="8"/>
        <rFont val="Garamond"/>
        <family val="1"/>
      </rPr>
      <t xml:space="preserve"> (shto produkte sipas rastit)</t>
    </r>
  </si>
  <si>
    <t>7. Intesifikimi punes njohese dhe trajnuese te  Autoriteteve  Pergjegjese , ne njohje te legjislacionit ne fuqi ne target grup.</t>
  </si>
  <si>
    <t>Ambjent infrastrukturor i mirmbajtur</t>
  </si>
  <si>
    <r>
      <rPr>
        <b/>
        <sz val="8"/>
        <color rgb="FFFF0000"/>
        <rFont val="Garamond"/>
        <family val="1"/>
      </rPr>
      <t>Produkti  1</t>
    </r>
    <r>
      <rPr>
        <sz val="8"/>
        <color theme="1"/>
        <rFont val="Garamond"/>
        <family val="1"/>
      </rPr>
      <t xml:space="preserve"> (shto produkte sipas rastit)</t>
    </r>
  </si>
  <si>
    <t>Shërbime të realizuara brenda tavanit buxhetor</t>
  </si>
  <si>
    <t>%  (përqindje) e realizimit të nevojave</t>
  </si>
  <si>
    <t>Treguesit e Performancës për Objektivin 6**</t>
  </si>
  <si>
    <t>Objektivi 6. Ofrimin e kushteve cilesore të punës, me qëllim arritjen e standarteve bashkohore nëpërmjet shërbimeve duke arritur plotësimin e nevojave.</t>
  </si>
  <si>
    <t>Objektivi  6 i Politikës së Programit</t>
  </si>
  <si>
    <t>Blerje dhe instalimi  nje Sistem Aksesi, në përmirësim të standarteve teknike dhe të infrastruktures IT ne ILDKPKI</t>
  </si>
  <si>
    <t>Sistem Aksesi I Blerë</t>
  </si>
  <si>
    <t>Blerje dhe instalimi i nje sistemi audio- prezantimi, ne permiresim te standarteve teknike ne eficensen e takimeve dhe prezantimeve ne ILDKPKI</t>
  </si>
  <si>
    <t>Sistem Audio Prezantimi I  Blerë</t>
  </si>
  <si>
    <t>Pajisje Kompjuterike dhe  Elektronike të Blera për Zyra</t>
  </si>
  <si>
    <t>Kategoria 2: Shpenzimet Administrative Kapitale</t>
  </si>
  <si>
    <t>Numër /Raste</t>
  </si>
  <si>
    <t>!oo%</t>
  </si>
  <si>
    <t>Numri I rasteve te vlerësimit me ekspertë</t>
  </si>
  <si>
    <t xml:space="preserve">                                                       Treguesit e Performancës për Objektivin 4**</t>
  </si>
  <si>
    <t>Vleresimi I përmbajtjes së aseteve të deklaruara dhe sigurimi I provës nga ekspertë te fushës</t>
  </si>
  <si>
    <t>Pasuri të vlerësuara me elspertë të pavarur</t>
  </si>
  <si>
    <r>
      <rPr>
        <b/>
        <sz val="8"/>
        <rFont val="Garamond"/>
        <family val="1"/>
      </rPr>
      <t>Produkti  2</t>
    </r>
    <r>
      <rPr>
        <sz val="8"/>
        <rFont val="Garamond"/>
        <family val="1"/>
      </rPr>
      <t xml:space="preserve"> (shto produkte sipas rastit)</t>
    </r>
  </si>
  <si>
    <t>Numër/ Raste</t>
  </si>
  <si>
    <t>Ekspertiza të realizuara</t>
  </si>
  <si>
    <t>Numri I Hetimeve Administrative kunder korrupsionit</t>
  </si>
  <si>
    <t>4.   Forcimi I kapaciteteve investiguese per parandalimin e konfliktit te interesave,  fshehjes se pasurive dhe i korrupsionit në sektorin publik dhe privat dhe mbrojtja e individëve  që sinjalizojnë veprimet korruptive.</t>
  </si>
  <si>
    <t>Numer /Deklarata</t>
  </si>
  <si>
    <t xml:space="preserve"> Deklarata të  Pasurive me Kontroll të Plotë                                                                                   (Subjekte te Rivlerësimit)</t>
  </si>
  <si>
    <t xml:space="preserve"> Deklarata të  Pasurive me Kontroll të Plotë   (Subjekte te Rivlerësimit)</t>
  </si>
  <si>
    <t>Objektivi nr.3. Kontroll i Plotë per 800 deklarata, mbi deklarimin e pasurive te gjyqtarëve dhe prokurorëve, subjekte të rivlerësimit në zbatim të .ligjit nr. 84/2016 “Për rivlerësimin kalimtar të gjyqtarëve dhe prokurorëve në Republikën e Shqipërisë</t>
  </si>
  <si>
    <t xml:space="preserve"> Perfshin  sasine e deklaratave te pasurive te te zgjedhurve dhe te nepunesve publike te kontrolluara në kontroll të plotë</t>
  </si>
  <si>
    <t>Rritja e numrit të Kontrolleve të Plota, gjatë 3 viteve të PBA</t>
  </si>
  <si>
    <t>2. Kontroll i Plotë per deklarimin e pasurive dhe konfliktin e interesave, në deklaratat sipas kategorive te subjekteve qe mbartin detyrim per deklarim.</t>
  </si>
  <si>
    <r>
      <t>Përfshin  sasine e deklaratave te pasurive të të zgjedhurve dhe të nëpunësve publike te kontrolluara sipas llojeve.                                                                                                     (K</t>
    </r>
    <r>
      <rPr>
        <b/>
        <i/>
        <sz val="9"/>
        <rFont val="Garamond"/>
        <family val="1"/>
      </rPr>
      <t>ontroll Paraprak dhe Kontroll Aritmetik dhe Logjik</t>
    </r>
    <r>
      <rPr>
        <b/>
        <sz val="9"/>
        <rFont val="Garamond"/>
        <family val="1"/>
      </rPr>
      <t>)</t>
    </r>
  </si>
  <si>
    <r>
      <t>Deklarata Pasurie sipas Llojeve të Kontrolluara                            (</t>
    </r>
    <r>
      <rPr>
        <i/>
        <sz val="8"/>
        <color theme="1"/>
        <rFont val="Garamond"/>
        <family val="1"/>
      </rPr>
      <t>Kontroll Paraprak dhe Kontroll Aritmetik dhe Logji</t>
    </r>
    <r>
      <rPr>
        <sz val="8"/>
        <color theme="1"/>
        <rFont val="Garamond"/>
        <family val="1"/>
      </rPr>
      <t>k)</t>
    </r>
  </si>
  <si>
    <t>Kontroll Paraprak, Aritmetik dhe Logjik  per deklarimin e pasurive dhe konfliktin e interesave, I deklaratave sipas llojeve,  te subjekteve qe mbartin detyrim per deklarim.</t>
  </si>
  <si>
    <t>Buxheti I akorduar per funksionimin e aktivitetit te ILDKPKI, I cili konsiston ne permiresimin e infrastruktures kontrolluese te deklarimit te pasurive dhe parandaluese te konfliktit te interesave te personave qe mbartin detyrim per deklarim per te siguruar cilesi te performances te ngjashme  me praktikat bashkohore.</t>
  </si>
  <si>
    <r>
      <t xml:space="preserve"> Objektivi  i Politikës së Programit                                                                                 ( </t>
    </r>
    <r>
      <rPr>
        <b/>
        <i/>
        <sz val="8"/>
        <color theme="1"/>
        <rFont val="Garamond"/>
        <family val="1"/>
      </rPr>
      <t>Planifikim, Menaxhim,Administrim</t>
    </r>
    <r>
      <rPr>
        <b/>
        <sz val="8"/>
        <color theme="1"/>
        <rFont val="Garamond"/>
        <family val="1"/>
      </rPr>
      <t>)</t>
    </r>
  </si>
  <si>
    <t>Deklarata Pasurie sipas Llojeve të Kontrolluara                                                                 (Kontroll Paraprak dhe Kontroll Aritmetik dhe Logjik)</t>
  </si>
  <si>
    <t xml:space="preserve">Zbatimi i politikave buxhetore permes analizes se shpenzimeve dhe perdorimit ekonomik dhe eficent te burimeve financiare </t>
  </si>
  <si>
    <t>2019 - 2021</t>
  </si>
  <si>
    <t xml:space="preserve">FORMAT 2.1 : FORMATI STANDARD I PËRGATITJES SË KËRKESAVE BUXHETORE PBA 2019 -2021 </t>
  </si>
  <si>
    <t>Fusha e ketij programi perfshin teresine e nje sistemi planifikimi dhe menaxhimi te burimeve njerezore  dhe financiare, i modernizuar, eficent dhe transparent per kontrollin e pasurive te deklaruara dhe parandalimin e konfliktit ndermjet interesave publike dhe atyre private, nepermjet implementimit dhe adaptimit te sistemeve dhe praktikave me te mira te menaxhimit bashkohor.</t>
  </si>
  <si>
    <t>Inspektorati i Lartë  ka për mision, përcaktimin e rregullavë për deklarimin  dhe kontrollin e pasurisë, të legjimitetit të burimevë të krijimit të saj, detyrimeve financiarë për të zgjëdhurit, nëpunësit publikë, për familjarët ë tyrë  dhë për personat ë lidhur më ta, si edhe të garantojë një vendimmarrje të paanshme, trasparente, në interesin më të mirë të mundshëm të publikut e të besimit të tij ndaj Institucionëvë publike, nëpërmjët parandalimit të konfliktit  ndërmjët interesavë publikë dhe atyrë privatë të zyrtarëvë në ushtrimin  e funksionëvë të veta si dhe parandalimin dhe goditjen e korrupsionit në sektorin publik dhe privat.</t>
  </si>
  <si>
    <t>1076001</t>
  </si>
  <si>
    <t>Inspektorati I Larte I Deklarimit dhe Kontrollit te Pasurive dhe Konfliktit te Interesit</t>
  </si>
  <si>
    <t>Mbikqyrja e tregut per vendosjen e konkurrences se lire dhe efektive ne treg nepermjet ndalimit te abuzimit me poziten dominuese, evidentimit te marreveshjeve te ndaluara si dhe kontollit te perqendrimeve dhe advokacia e konkurrences.</t>
  </si>
  <si>
    <t>MBIKËQYRJA E TREGUT DHE ADVOKACIA E KONKURRENCËS</t>
  </si>
  <si>
    <t>Autoriteti i Konkurrencës vepron për të siguruar një konkurrencë të lirë dhe efektive në treg në zbatim të ligjit "Për Mbrojtjen e Konkurrencës" duke u mbështetur në tre shtylla kryesore që përcaktojnë mbrojtjen e konkurrencës: abuzimin me pozitën dominuese; marrëveshjet e ndaluara në formën e karteleve dhe kontrollin e përqendrimit te ndërmarrjeve, si dhe të gjithë kuadrin ligjor që rregullon aktivitetin e një institucioni të pavarur në Republikën e Shqipërisë. Ky institucion e koncepton funksionimin e tij si nxitës dhe avokat i konkurrencës dhe i interesave të konsumatorit, me synimin final që tregu të gjenerojë zhvillimin.</t>
  </si>
  <si>
    <t>1077001</t>
  </si>
  <si>
    <t>AUTORITETI I KONKURRENCËS</t>
  </si>
  <si>
    <t>.</t>
  </si>
  <si>
    <t>Punime</t>
  </si>
  <si>
    <t>Rikonstruksion, përshtatje në zyra të reja dhe investimet e duhura për një ambjent të ri zyrash, pas largimi nga ambjenti aktual (heqje nga Garda e Republikës)</t>
  </si>
  <si>
    <t>Ndërtime e konstruksione</t>
  </si>
  <si>
    <t>Rikostruksion, Përforcim solete</t>
  </si>
  <si>
    <t>Të tjera ndërtimore</t>
  </si>
  <si>
    <t>M870257</t>
  </si>
  <si>
    <t>Pajisje dhe punime</t>
  </si>
  <si>
    <t xml:space="preserve"> Zgjatim i rrjetit të sigurt NATO-RSH </t>
  </si>
  <si>
    <t>Blerje pajisje audio vizive për intervista</t>
  </si>
  <si>
    <t>Pajisje audio vizuale</t>
  </si>
  <si>
    <t>M870293</t>
  </si>
  <si>
    <t>Pajisje për sistemin e sigurimit</t>
  </si>
  <si>
    <t>M870292</t>
  </si>
  <si>
    <t>Blerje të tjera pajisje zyre</t>
  </si>
  <si>
    <t>Të tjera pajisje zyre</t>
  </si>
  <si>
    <t>M870029</t>
  </si>
  <si>
    <t>M870072</t>
  </si>
  <si>
    <r>
      <rPr>
        <b/>
        <sz val="9"/>
        <color theme="1"/>
        <rFont val="Garamond"/>
        <family val="1"/>
      </rPr>
      <t xml:space="preserve">Investime në DSIK </t>
    </r>
    <r>
      <rPr>
        <sz val="9"/>
        <color theme="1"/>
        <rFont val="Garamond"/>
        <family val="1"/>
      </rPr>
      <t xml:space="preserve">                                                                                                                                                                                                                                                                                                                                                                                                                          </t>
    </r>
  </si>
  <si>
    <t>Pjesëmarrje në trajnime, konferenca dhe workshope të ndryshme brenda dhe jashtë vendit të nëpunësve të DSIK-së me qëllim rritjen e nivelit profesional, shkëmbimin e eksperiencave me homologët brenda dhe jashtë vendit.</t>
  </si>
  <si>
    <t>730</t>
  </si>
  <si>
    <t>675</t>
  </si>
  <si>
    <t>620</t>
  </si>
  <si>
    <t xml:space="preserve">Trainime </t>
  </si>
  <si>
    <r>
      <rPr>
        <b/>
        <sz val="9"/>
        <color theme="1"/>
        <rFont val="Garamond"/>
        <family val="1"/>
      </rPr>
      <t>Edukimi i sigurisë</t>
    </r>
    <r>
      <rPr>
        <sz val="9"/>
        <color theme="1"/>
        <rFont val="Garamond"/>
        <family val="1"/>
      </rPr>
      <t xml:space="preserve">                                                                         </t>
    </r>
  </si>
  <si>
    <t>Tre dhoma me kafaz faradaw; zgjatimi i sistemit te NATO-s ALSWAN; sistemi RTS</t>
  </si>
  <si>
    <t>Krijimi i infrastrusturës së nevojshme për mbrojtjen e informacionit të klasifikuar "sekret shtetëror" sipas direktivave të NATO, BE  dhe shteteve dhe organizatave të tjera ndërkombëtare.</t>
  </si>
  <si>
    <t>Pjesëmarrje në aktivitete të organizuara brenda e jashtë vendit dhe vizita pune në lidhje me mbrojtjen e informacionit të klasifikuar "sekret shtetëror"</t>
  </si>
  <si>
    <t xml:space="preserve">Aktivitetete brenda dhe jashte vendit </t>
  </si>
  <si>
    <t>Nënshkrimi i marrëveshjeve ndërkombëtare në frymën e bashkëpunimit dhe interesit reciprok me vendet anëtare e partnere të NATO dhe BE.</t>
  </si>
  <si>
    <t>1</t>
  </si>
  <si>
    <t>Krijimi i infrastrukturës së nevojshme</t>
  </si>
  <si>
    <t>Pjesëmarrja në takime dhe aktivitete brenda e jashtë vendit</t>
  </si>
  <si>
    <t>7</t>
  </si>
  <si>
    <t>6</t>
  </si>
  <si>
    <t>5</t>
  </si>
  <si>
    <t xml:space="preserve">Marrëveshje Sigurie me shtete dhe organizata ndërkombëtare.  </t>
  </si>
  <si>
    <t xml:space="preserve">Mbrojtja e informacionit të klasifikuar "sekret shtetëror", të NATO-s, BE-s, shteteve e organizatave të tjera ndërkombëtare në marrëdhëniet ndërkombëtare.                                                                                                                                                                                                                                                                                                                                                                                                                                           </t>
  </si>
  <si>
    <t>Numër certifikatash</t>
  </si>
  <si>
    <t>Certifikata të Sigurisë CSS</t>
  </si>
  <si>
    <t xml:space="preserve">Certifikata të Sigurisë së Sistemeve që nxiren pas procesit të akreditimit të sistemeve që përpunojnë informacion të klasifikuar. </t>
  </si>
  <si>
    <t>Certifikata të Sigurisë CSP dhe CSI</t>
  </si>
  <si>
    <t>Certifikata të Sigurisë që nxiren pas procesit të kontrollit të vetting-ut për Punonjës apo Operatorë ekonomik që kanë akses në informacionin e klasifikuar</t>
  </si>
  <si>
    <t>Mbikqyrja dhe kontrolli i zbatimit të legjislacionit në fushën e informacionit të klasifikuar "sekret shtetëror" nga ministritë, institucionet e tjera shtetërore dhe Operatorët ekonomikë/kontrakorët.</t>
  </si>
  <si>
    <t xml:space="preserve">Inspektim në institucionet shtetërore, Operatorët Ekonomikë/ Kontraktorët, për sigurimin e informacionit të klasifikuar.  </t>
  </si>
  <si>
    <t xml:space="preserve">Certifikata Sigurie Personeli (CSP), per punonjes qe kane akses ne informacionin e klasifikuar "sekret shteteror"; Certifikata të Sigurimit Industrial (CSI) për Operatorët Ekonomik Kontraktorët.                                                                                                                                                                                                                                                                          </t>
  </si>
  <si>
    <t xml:space="preserve">Akreditimi i sistemeve për rrjetet e klasifikuar </t>
  </si>
  <si>
    <r>
      <rPr>
        <b/>
        <sz val="9"/>
        <color theme="1"/>
        <rFont val="Garamond"/>
        <family val="1"/>
      </rPr>
      <t>Implementimi i politikave dhe standartizimi i masave për mbrojtjen e informacionit të klasifikuar "sekret shtetëror", të NATO-s, BE-së, shteteve e organizatave të tjera ndërkombëtare..</t>
    </r>
    <r>
      <rPr>
        <sz val="9"/>
        <color theme="1"/>
        <rFont val="Garamond"/>
        <family val="1"/>
      </rPr>
      <t xml:space="preserve">                                                                                        </t>
    </r>
  </si>
  <si>
    <t>Numer projektaktesh dhe udhezimesh</t>
  </si>
  <si>
    <t>Projektaktet për miratim dhe Udhëzime në zbatim të tyre</t>
  </si>
  <si>
    <t>Projektakte dhe Udhëzime</t>
  </si>
  <si>
    <t>Projektaktet dhe Udhezimet</t>
  </si>
  <si>
    <t>Hartimi i politikave për mbrojtjen e informacionit të klasifikuar "sekret shtetëror", të NATO-s, BE-së, shteteve e organizatave të tjera ndërkombëtare.</t>
  </si>
  <si>
    <t xml:space="preserve">Trajnime nga DSIK me qëllim rritjen e nivelit profesional të punonjësve të ministrive dhe institucioneve të tjera për administrimin e informacionit të klasifikuar "sekret shtetëror", si dhe trajnime të përfituara nga personeli i DSIK-se brenda dhe jashtë vendit. </t>
  </si>
  <si>
    <t xml:space="preserve">Certifikatë e Sigurisë së Personit; Certifikatë e Sigurisë Industriale; Certifikatë e Sigurisë së Sistemeve për akses në informacionin e klasifikuar "sekret shtetëror". </t>
  </si>
  <si>
    <t>Inspektime në institucione dhe mbikëqyrje e zbatimit të masave të sigurisë për informacionin e klasifikuar "sekret shtetëror".</t>
  </si>
  <si>
    <t>Marrëveshjet ndërkombëtare në frymën e bashkëpunimit dhe interesit reciprok me vendet anëtare e partnere të NATO dhe BE.</t>
  </si>
  <si>
    <t>Mbrojtja e informacionit të klasifikuar "sekret shtetëror", të NATO-s, BE-s, shteteve e organizatave të tjera ndërkombëtare.</t>
  </si>
  <si>
    <t>Qëllimi i Politikës së Programit</t>
  </si>
  <si>
    <t>Aktivitete në DSIK</t>
  </si>
  <si>
    <t>Drejtoria e Sigurimit të Informacionit të Klasifikuar (DSIK), ka si mision të saj hartimin e politikave,  programeve e procedurave për sigurimin e informacionit të klasifikuar “sekret shtetëror”, mbikëqyrjen e institucioneve dhe operatorëve ekonomik të interesuar, ndjekjen e procedurave, edukimin dhe sigurimin për mbrojtjen e informacionit të klasifikuar në të gjitha disiplinat e tij.</t>
  </si>
  <si>
    <t>1087004</t>
  </si>
  <si>
    <t>DREJTORIA E SIGURIMIT TE INFORMACIONIT TE KLASIFIKUAR</t>
  </si>
  <si>
    <t>Nr. Kontrate</t>
  </si>
  <si>
    <t>Nr. Pajisje</t>
  </si>
  <si>
    <t>Meter katror te rikonstruktusr</t>
  </si>
  <si>
    <r>
      <t>Detajimi i Kostos Totale të</t>
    </r>
    <r>
      <rPr>
        <b/>
        <sz val="8"/>
        <color rgb="FFFF0000"/>
        <rFont val="Garamond"/>
        <family val="1"/>
      </rPr>
      <t xml:space="preserve"> Produktit 3 </t>
    </r>
    <r>
      <rPr>
        <b/>
        <sz val="8"/>
        <color theme="1"/>
        <rFont val="Garamond"/>
        <family val="1"/>
      </rPr>
      <t>sipas Artikujve Ekonomikë</t>
    </r>
  </si>
  <si>
    <t>Numri I inspektimeve te realizuara online nga Inspektoratet shteterore kundrejt numrit total te inspektimeve</t>
  </si>
  <si>
    <t xml:space="preserve">Numri I Inspektorateve shteterore qe kryejne inspektime online </t>
  </si>
  <si>
    <t>Inspektorati Qendror ka për mision përmirësimin e efektivitetit dhe përgjegjshmërisë së
veprimtarive të inspektimit në 
Republikën e Shqipërisë</t>
  </si>
  <si>
    <t>1087011</t>
  </si>
  <si>
    <r>
      <t xml:space="preserve">Shënim: </t>
    </r>
    <r>
      <rPr>
        <i/>
        <sz val="8"/>
        <color indexed="8"/>
        <rFont val="Garamond"/>
        <family val="1"/>
      </rPr>
      <t>Shpjegoni supozimet dhe llogaritjet (Metoda 1)</t>
    </r>
  </si>
  <si>
    <t xml:space="preserve">NUMËR PAJISJESH </t>
  </si>
  <si>
    <r>
      <t xml:space="preserve">Detajimi i Kostos Totale të </t>
    </r>
    <r>
      <rPr>
        <b/>
        <sz val="8"/>
        <color indexed="10"/>
        <rFont val="Garamond"/>
        <family val="1"/>
      </rPr>
      <t xml:space="preserve">Produktit 1 </t>
    </r>
    <r>
      <rPr>
        <b/>
        <sz val="8"/>
        <color indexed="8"/>
        <rFont val="Garamond"/>
        <family val="1"/>
      </rPr>
      <t>sipas Artikujve Ekonomikë</t>
    </r>
  </si>
  <si>
    <t xml:space="preserve">NUMËR RAPORTE AUDITIMI </t>
  </si>
  <si>
    <r>
      <rPr>
        <b/>
        <sz val="9"/>
        <color indexed="10"/>
        <rFont val="Garamond"/>
        <family val="1"/>
      </rPr>
      <t xml:space="preserve">Objektivi 2 </t>
    </r>
    <r>
      <rPr>
        <b/>
        <sz val="9"/>
        <color indexed="8"/>
        <rFont val="Garamond"/>
        <family val="1"/>
      </rPr>
      <t>i Politikës së Programit</t>
    </r>
  </si>
  <si>
    <t>Numer Paisjesh</t>
  </si>
  <si>
    <r>
      <t>Shënim: Shpjegoni supozimet dhe llogaritjet për Produktin 1 (Metoda 2)</t>
    </r>
    <r>
      <rPr>
        <b/>
        <sz val="8"/>
        <color indexed="10"/>
        <rFont val="Garamond"/>
        <family val="1"/>
      </rPr>
      <t>***</t>
    </r>
  </si>
  <si>
    <r>
      <t>Ndryshimi në % i Transfertave për familjet dhe individët si pasojë e ndryshimit të sasisë së produktit</t>
    </r>
    <r>
      <rPr>
        <b/>
        <i/>
        <sz val="9"/>
        <color indexed="10"/>
        <rFont val="Garamond"/>
        <family val="1"/>
      </rPr>
      <t>**</t>
    </r>
  </si>
  <si>
    <r>
      <t>Ndryshimi në % i Transfertave të jashtme si pasojë e ndryshimit të sasisë së produktit</t>
    </r>
    <r>
      <rPr>
        <b/>
        <i/>
        <sz val="9"/>
        <color indexed="10"/>
        <rFont val="Garamond"/>
        <family val="1"/>
      </rPr>
      <t>**</t>
    </r>
  </si>
  <si>
    <r>
      <t>Ndryshimi në % i Transfertave të brendshme si pasojë e ndryshimit të sasisë së produktit</t>
    </r>
    <r>
      <rPr>
        <b/>
        <i/>
        <sz val="9"/>
        <color indexed="10"/>
        <rFont val="Garamond"/>
        <family val="1"/>
      </rPr>
      <t>**</t>
    </r>
  </si>
  <si>
    <r>
      <t>Ndryshimi në % i Subvencioneve si pasojë e ndryshimit të sasisë së produktit</t>
    </r>
    <r>
      <rPr>
        <b/>
        <i/>
        <sz val="9"/>
        <color indexed="10"/>
        <rFont val="Garamond"/>
        <family val="1"/>
      </rPr>
      <t>**</t>
    </r>
  </si>
  <si>
    <r>
      <t>Ndryshimi në % i Mallrave dhe Shërbimeve si pasojë e ndryshimit të sasisë së produktit</t>
    </r>
    <r>
      <rPr>
        <b/>
        <i/>
        <sz val="9"/>
        <color indexed="10"/>
        <rFont val="Garamond"/>
        <family val="1"/>
      </rPr>
      <t>**</t>
    </r>
  </si>
  <si>
    <r>
      <t>Ndryshimi në % i Sigurimeve Shoqërore dhe Shendetësore si pasojë e ndryshimit të sasisë së produktit</t>
    </r>
    <r>
      <rPr>
        <b/>
        <i/>
        <sz val="9"/>
        <color indexed="10"/>
        <rFont val="Garamond"/>
        <family val="1"/>
      </rPr>
      <t>**</t>
    </r>
  </si>
  <si>
    <r>
      <t>Ndryshimi në % i Pagave si pasojë e ndryshimit të sasisë së produktit</t>
    </r>
    <r>
      <rPr>
        <b/>
        <i/>
        <sz val="9"/>
        <color indexed="10"/>
        <rFont val="Garamond"/>
        <family val="1"/>
      </rPr>
      <t>**</t>
    </r>
  </si>
  <si>
    <t>Numer Raportesh Auditimi</t>
  </si>
  <si>
    <t>NUMËR AUDITIMESH , EVIDENTIM</t>
  </si>
  <si>
    <t>Emërtimi i Treguesit 2                                           Norma e permiresimit te eficenses ne evidentimin e paligjshmërisë dhe parregullsisë së transaksioneve</t>
  </si>
  <si>
    <t>Emërtimi i Treguesit 1                                           Norma e uljes së veprimeve që bien ndesh me dispozitat e vendosura në Marrëveshjen kuadër dhe cdo dipozite tjeter ligjore ne fuqi , qe percakoton dhenien dhe perdorimin e fondeve te programit IPA</t>
  </si>
  <si>
    <r>
      <t xml:space="preserve">Objektivi 1 </t>
    </r>
    <r>
      <rPr>
        <b/>
        <sz val="9"/>
        <rFont val="Garamond"/>
        <family val="1"/>
      </rPr>
      <t>i Politikës së Programit</t>
    </r>
  </si>
  <si>
    <t>Emërtimi i Treguesit 3                                                  Ulja e paligjshmërisë dhe parregullsisë së transaksioneve përkatëse</t>
  </si>
  <si>
    <t xml:space="preserve">Emërtimi i Treguesit 1                                           Norma e uljes së pasaktesive dhe pavertetesi së raporteve dhe pasqyrave/deklaratave financiare vjetore, si dhe të llogarive vjetore që mbështetin këto pasqyra/deklarata . </t>
  </si>
  <si>
    <t xml:space="preserve">Kryerja e veprimtarisë audituese me qëllim:                                       -Verifikimin e vërtetësisë, saktësisë së raporteve dhe pasqyrave financiare vjetore;                                                                               - Llogarive vjetore që mbështetin këto pasqyra . 
</t>
  </si>
  <si>
    <t xml:space="preserve">MISIONI I AAPAA ËSHTË AUDITIMI I SISTEMIT TË MENAXHIMIT DHE KONTROLLIT PËR VEPRIMET, TRANSAKSIONET DHE LLOGARITË VJETORE TË MBËSHTETJES FINANCIARE TË BE-së, PËR FONDET PARA DHE PAS ANËTARËSIMIT.
Kjo arrihet nëpërmjet zbatimit të ligjit nr.90/2016 “Për organizimin dhe funksionimin e Agjencise se Auditimit te Programeve te Asistences akredituar nga Bashkimi Europian ne Republiken e Shqiperise", duke ushtruar përgjegjësitë e veta drejtpërdrejt dhe pa asnjë kufizim, duke ofruar siguri, lidhur me sistemet e drejtimit, kontrollit te brendshem, auditimit te brendshem,mbikqyrjes, kontabilitetit ne perputhje ne stardadet nderkombetare te auditimit, marreveshjet kuader, rregulloret e aplikueshme te BE dhe Strategjine e Audititmit te Agjencise.
</t>
  </si>
  <si>
    <t>AGJENCIA E AUDITIMIT TE PROGRAMEVE TE ASISTENCES AKREDITUAR NGA BASHKIMI EUROPIAN</t>
  </si>
  <si>
    <t>Nr. Qendrash levizese</t>
  </si>
  <si>
    <t>Nr. Qendrash</t>
  </si>
  <si>
    <t>Nr. Sportelesh</t>
  </si>
  <si>
    <t>Konsiston në ngritjen, monitorimin dhe përmirësimin cilësisht të sporteleve të shërbimit ndaj qytetarëve.</t>
  </si>
  <si>
    <t>Sprotele me standard të përmirësuar për ofrimin e shërbimit</t>
  </si>
  <si>
    <t>Shkurtimi i kohës së shërbimit në sportelet pritëse(shkurtimi kohes nga vit ne vit).</t>
  </si>
  <si>
    <t>1300/1300</t>
  </si>
  <si>
    <t>1061/1300</t>
  </si>
  <si>
    <t>821/1300</t>
  </si>
  <si>
    <t>581/1300</t>
  </si>
  <si>
    <t>Numri i kartelave informative te standardizuara per sherbimet publike ndaj totalit te sherbimeve publike</t>
  </si>
  <si>
    <t>Numri i njesive levizese per ofrimin e sherbimeve publike</t>
  </si>
  <si>
    <t>Numri i Bashkive(jo qender-qarku) ne te cilen ADISA eshte prezente nepermjet sporteleve te saj</t>
  </si>
  <si>
    <t>Numri i Qendrave/Njesive te Ofrimit te Sherbimeve Publike te Integruara</t>
  </si>
  <si>
    <t>Rritja e kënaqësisë së qytetarëve në marrjen e shërbimeve në sportelet Adisa</t>
  </si>
  <si>
    <t>390/1300</t>
  </si>
  <si>
    <t>373/1300</t>
  </si>
  <si>
    <t>359/1300</t>
  </si>
  <si>
    <t>343/1300</t>
  </si>
  <si>
    <t>Numri i shërbimeve të ofruara nga Qendrat e Integruara ndaj totalit të shërbimeve publike</t>
  </si>
  <si>
    <t>Implementimi i rregullave për ofrimin e shërbimeve publike nga institucionet publike për personat që banojnë dhe/ose ushtrojnë aktivitetin e tyre në Republikën e Shqipërisë përmes heqjes së pengesave administrative dhe ofrimit të tyre në një kohë sa më të shkurtër.</t>
  </si>
  <si>
    <t>Ky program është pjesë e reformës së ndërmarrë nga Qeveria, e cila ka si synim transformimin e mënyrës së ofrimit të shërbimeve në Shqipëri përmes qasjes me në qendër qytetarin duke realizuar ri-inxhinierimin e proceseve të dhënies së shërbimeve për qytetarët dhe bizneset,  ndarjen funksionale dhe integrimin e shërbimeve publike në sportel, zhvillimin e kanaleve të ofrimit të shërbimeve, dixhitalizimin, marrjen e opinioneve të qytetarëve dhe monitorimin e performancës se administratës shtetërore në dhënien e shërbimeve.</t>
  </si>
  <si>
    <t>Menaxhimi dhe Zhvillimi i Administratës Publike</t>
  </si>
  <si>
    <t>Nëpërmjet këtij programi do të synohet konsolidimi i rregullave për ofrimin e shërbimeve publike, ndaj publikut në mënyrë të drejtëpërdrejtë, nëpërmjet sporteleve në qendrat e ofrimit të shërbimeve publike të integruara, përmes heqjes së pengesave administrative dhe ofrimit të shërbimeve në mënyrë të shpejtë, efikase, transparente dhe me cilësi të lartë.</t>
  </si>
  <si>
    <t>1087017</t>
  </si>
  <si>
    <t>Agjencia e Ofrimit të Shërbimeve Publike të Integruara (ADISA)</t>
  </si>
  <si>
    <t>Nr Pagesash</t>
  </si>
  <si>
    <t>Fotografimi ajror për 300 km 2, krijimi i hartës bazë digitale në shkallë 1:2000 për territorin Tiranë- Durrës 300 km 2, përfitim teknologji, fotogrametrie 3D dhe trajnim.</t>
  </si>
  <si>
    <t>Nr Programi</t>
  </si>
  <si>
    <t xml:space="preserve">ASIG është duke ndërtuar Infrastrukturën Kombëtare të të Dhënave Gjeohapësinore në nivel kombëtar në konfromitet me standartet përcaktuara nga Direktiva e Bashkimit Europian INSPIRE.
Në këto kushte në funksion të realizimit të detyrave të tij funksionale ASIG duhet të ndërmarrë hapat e nevojshëm për krijimin e GIS-eve për secilën temë të parashikuar nga ligji 72/2012 “Për Organizimin dhe Funksionimin e Infrastrukturës Kombëtare të Informacionit Gjeohapësinor në Republikën e Shqipërisë”. 
Qëllimi i ndërtimit të GIS-it Kombëtar është të garantojë gjenerimin dhe shpërndarjen e gjeoinformacionit të azhornuar në mënyrë të pandërprerë për përdoruesit fundorë, sipas standardeve dhe specifikimeve të përgatitura gjatë projektimit, pra sipas përcaktimit të atributeve dhe kërkesave që gjeoinformacioni duhet të përmbushë. GIS Kombëtar është një sistem kompleks ku përfshihen implementi i  standarteve të Direktivës Europiane për Gjeoinformacioni INSPIRE, Software , Hardwere, rritje të kapaciteve teknike në autoritet publike ejt.  
</t>
  </si>
  <si>
    <t>Nr Pajisje</t>
  </si>
  <si>
    <t>nuk kemi parashikuar fonde</t>
  </si>
  <si>
    <t>Programi i implementimit të NSDI-si në Shqipëri është përgjegjësi e ASIG-ut, duke konsideruar gjithashtu fushën e përgjegjësisë së aktorëve të tjerë lidhur me mbledhjen, procesimin, ruajtjen, shpërndarjen dhe përditësimin e të dhënave gjeohapësinore, që aktualisht janë të administruara nga shumë institucione të ndryshme. Bazuar në qëllimin kryesor të ASIG-ut në ngritjen e përhershme të infrastrukturës kombëtare e të dhënave gjeohapësinore në të njëjtën linjë më infrastrukturën e Bashkimit Europian (BE), me synim ngritjen e mekanizmave të bashkëpunimit me institucionet dhe organizatat e përfshira në mbledhjen, mirëmbajtjen dhe shpërndarjen e informacionit gjeohapësinor, si dhe në monitorimin dhe rregullimin/përshtatjen e punës sipas kërkesave të përdoruesve kryesorë, grupeve dhe qytetarëve. Përgjegjësia kryesore e ASIG-ut është koordinimi i punës për të garantuar ofrimin e informacionit i cili është i plotë, i saktë, i përditësuar dhe lehtësisht i aksesueshëm për të gjithë grupet e interesuara. Puna e ASIG-ut konsiston në hartim politikash &amp; vendimmarrje (rregullator dhe certifikues), manaxherial, rekomandues, propozues.</t>
  </si>
  <si>
    <t>E- Qeverisja</t>
  </si>
  <si>
    <t xml:space="preserve">“Projektimi, Ndërtimi, Operimi, Mirëmbajtja dhe Përmirësimi i një sistemi gjeohapësinor funksional e të integruar (NSDI) , i cili do të prodhojë informacion dhe njohuri gjeohapësinore, në përputhje me standardet e BE / INSPIRE”, si dhe të krijoje, manaxhojë, dhe te siguroje funksionimin e vazhdueshëm të sistemit të Integruar te Informacionit Gjeodezik dhe Hartografik  ne perputhje me kerkesat e Direktives INSIPRE (NSDI),  në kohë,kosto efektiv, dhe sipas cilësisë së kërkuara, përgjatë të gjithë ciklit të jetës së tij ne Republiken e Shqiperisë.                                                                                                                                                              </t>
  </si>
  <si>
    <t>1087013</t>
  </si>
  <si>
    <t>Autoriteti Shtetëror për Informacionin Gjeohapësinor</t>
  </si>
  <si>
    <t xml:space="preserve">Per funksionimin e Institucionit jane te nevojshme shpenzimet Administrative kapitale ku jane llogaritur : Blerja e Softeve qe kryhet cdo vit per te bere te mundur kryerjen e detyrave te Punonjesve te Institucionit, blerja e pajisjeve informatike qe mungojne ose duhet te zevendesohen ne Institucion si dhe blerja e nje Automjeti i cili eshte i domosdoshem per kryerjen e monitorimeve ne Terren. </t>
  </si>
  <si>
    <t>Nr. Dosje</t>
  </si>
  <si>
    <t>Sasia (Nr I aplikimeve që kalojnë për shqyrtim ne KKT)</t>
  </si>
  <si>
    <t>Shqyrtimi i te gjitha aplikimeve qe Institucioni merr ne dorezim dhe kthimi I pergjigjes brenda afateve kohore.</t>
  </si>
  <si>
    <t>Shqyrtimi I dosjeve aplikante për leje ndërtimi</t>
  </si>
  <si>
    <t>Pranimi i aplikimeve dhe dhenia e nje pergjigjeje  brenda 5 diteve pune nga marrja e aplikimit nga Institucioni</t>
  </si>
  <si>
    <t>1. Agjencia kryen funksionet e sekretariatit teknik të Këshillit Kombëtar të Territorit. Në këtë kuadër, Agjencia ka përgjegjësi për të:
a) pranuar dokumentacionin për shqyrtim dhe miratim në Këshillin Kombëtar të Territorit;
b) organizuar mbledhjet e KKT-së;
c) përgatitur dhe administruar dokumentacionin që shqyrtohet në to. Agjencia ka kompetencë dhe përgjegjësi për të organizuar, drejtuar dhe bashkërenduar procesin me autoritetet e tjera përgjegjëse, në nivel qendror dhe/ose vendor, me qëllim përgatitjen për shqyrtim dhe miratim të dokumenteve në kompetencë të KKT-së, sipas parimit të shërbimit me një ndalesë;
ç) bashkëpunuar me njësitë e qeverisjes vendore dhe institucionet e tjera përgjegjëse për çështje të planifikimit dhe të zhvillimit të territorit, që janë në kompetencë të KKT-së;
d) kryer komunikimin me palë të treta, për llogari të KKT-së;
dh) komunikuar, për të shpërndarë dhe për të botuar, në sistemin elektronik të lejeve, vendimet dhe dokumentet e miratuara nga Këshilli Kombëtar i Territorit;
e) vënë në zbatim vendimet e Këshillit Kombëtar të Territorit dhe për të monitoruar zbatimin e tyre nga njësitë e qeverisjes vendore e institucionet e tjera përgjegjëse;
ë) kryer monitorimin e zhvillimeve në territor, nëpërmjet sistemit elektronik të lejeve, për të përgatitur raportin përkatës dhe për të informuar Këshillin Kombëtar të Territorit e autoritetet e tjera që kanë përgjegjësi në fushën e planifikimit dhe zhvillimit të territorit;
f) ofruar mbështetje ndaj njësive të qeverisjes vendore në proceset e tyre të zbatimit të instrumenteve të drejtimit të zhvillimit, sipas legjislacionit për planifikimin dhe zhvillimin e territorit.
g) përfaqësuar Këshillin Kombëtar të Territorit, në të gjitha çështjet objekt shqyrtimi gjyqësor, që kanë lidhje me vendimet e miratuara dhe procedurat e kryera nga Këshilli Kombëtar i Territorit.
2. Agjencia siguron që dokumentet e kontrollit të zhvillimit, në nivel qendror e vendor, të jenë në përputhje me dispozitat e këtij ligji dhe me dokumentet e miratuara të planifikimit në çdo nivel.</t>
  </si>
  <si>
    <t>1027028</t>
  </si>
  <si>
    <t>Agjenciae Zhvillimit Të Territorit</t>
  </si>
  <si>
    <t>Garanton sigurinë për shërbimet e besuara, në veçanti për garantimin e besueshmërisë dhe sigurisë në transaksionet elektronike ndërmjet qytetarëve, biznesit dhe autoriteteve publike, duke rritur efektivitetin e shërbimeve publike e private dhe tregtisë elektronike si dhe përcakton standardet minimale teknike për sigurinë e të dhënave dhe rrjeteve/sistemeve kompjuterike të shoqërisë së informacionit, në përputhje me standardet ndërkombëtare në këtë fushë, me qellim krijimin e nje mjedisi te sigurt elektronik.</t>
  </si>
  <si>
    <t>1087027</t>
  </si>
  <si>
    <t>AUTORITETI KOMBËTAR PËR CERTIFIKIMIN ELEKTRONIK DHE SIGURINË KIBERNETIKE (AKCESK)</t>
  </si>
  <si>
    <r>
      <rPr>
        <b/>
        <sz val="8"/>
        <color rgb="FFFF0000"/>
        <rFont val="Garamond"/>
        <family val="1"/>
      </rPr>
      <t>Produkti 2</t>
    </r>
    <r>
      <rPr>
        <sz val="8"/>
        <color theme="1"/>
        <rFont val="Garamond"/>
        <family val="1"/>
      </rPr>
      <t xml:space="preserve"> (shto produkte sipas rastit)</t>
    </r>
  </si>
  <si>
    <t>Shkolla Shqiptare e Administrates Publike</t>
  </si>
  <si>
    <t>Misioni i ASPA-s është të ofrojë trajnime dhe mundësi zhvillimi për nëpunësit civilë të administratës publike të cilat fokusohen në ngritjen e kapaciteteve menaxhuese të qëndrueshme; rritjen e përgjegjshmërisë së punonjësve të administratës; krijimin e një trupe funksionarësh publikë profesionistë, të paanshëm dhe eficentë në kryerjen e funksioneve të tyre</t>
  </si>
  <si>
    <t>Menaxhimi dhe Zhvillimi I Administrates Publike (Shkolla Shqiptare e Administrates Publike)</t>
  </si>
  <si>
    <r>
      <t xml:space="preserve">Shënim: </t>
    </r>
    <r>
      <rPr>
        <i/>
        <sz val="9"/>
        <color indexed="8"/>
        <rFont val="Times New Roman"/>
        <family val="1"/>
      </rPr>
      <t>Shpjegoni supozimet dhe llogaritjet (Metoda 1)</t>
    </r>
  </si>
  <si>
    <r>
      <t xml:space="preserve">Detajimi i Kostos Totale të </t>
    </r>
    <r>
      <rPr>
        <b/>
        <sz val="9"/>
        <color indexed="10"/>
        <rFont val="Times New Roman"/>
        <family val="1"/>
      </rPr>
      <t>Produktit X</t>
    </r>
    <r>
      <rPr>
        <b/>
        <sz val="9"/>
        <color indexed="8"/>
        <rFont val="Times New Roman"/>
        <family val="1"/>
      </rPr>
      <t xml:space="preserve"> sipas Artikujve Ekonomikë</t>
    </r>
  </si>
  <si>
    <t>Emertimi I Projektit te Investimeve</t>
  </si>
  <si>
    <t>M900001</t>
  </si>
  <si>
    <r>
      <t xml:space="preserve">Detajimi i Kostos Totale të </t>
    </r>
    <r>
      <rPr>
        <b/>
        <sz val="9"/>
        <color indexed="10"/>
        <rFont val="Times New Roman"/>
        <family val="1"/>
      </rPr>
      <t>Produktit 1</t>
    </r>
    <r>
      <rPr>
        <b/>
        <sz val="9"/>
        <color indexed="8"/>
        <rFont val="Times New Roman"/>
        <family val="1"/>
      </rPr>
      <t xml:space="preserve"> sipas Artikujve Ekonomikë</t>
    </r>
  </si>
  <si>
    <t>Kosto totale e produktit 1 (në mijë lekë)</t>
  </si>
  <si>
    <t>602. Mallrat dhe shërbimet (në mijë lekë)</t>
  </si>
  <si>
    <t>601. Sigurimet Shoqërore dhe Shendetësore (në mijë lekë)</t>
  </si>
  <si>
    <t>600. Pagat (në mijë lekë)</t>
  </si>
  <si>
    <t>Numër (sasi)</t>
  </si>
  <si>
    <t>Rritja e eficences se numrit te vendimeve ne vite</t>
  </si>
  <si>
    <t>Numri i vendime te marra ne kohe dhe me eticence I ankesave</t>
  </si>
  <si>
    <t xml:space="preserve">Permiresimi i menaxhimit te burimeve financiare, njerezore dhe materiale ne funksion te misionit te institucionit, hetimit te procedurave te prokurimeve te kryera nga autoritetet kontraktore me fondet publike, nepermjet administrimit eficent te burimeve financiare; permiresimit ne vazhdimesi te aftesive profesionale te stafit te institucionit; si dhe permiresimit dhe perafrimit te kushteve  te punes me standardet e BE. </t>
  </si>
  <si>
    <t>Planifikimi, Menaxhimi dhe Administrimi I Komisionit të Prokurimit Publik</t>
  </si>
  <si>
    <t>0 1110</t>
  </si>
  <si>
    <t>Misioni i institucionit është mbrojtja e të drejtave dhe interesave të ligjshme të kandidatëve, ofertuesve apo furnizuesve nga veprimet ose mosveprimet e paligjshme e të parregullta të autoriteteve kontraktore në fushën e prokurimit publik, nëpërmjet hetimit të proçedurave administrative të prokurimeve publike.</t>
  </si>
  <si>
    <t>1090001</t>
  </si>
  <si>
    <t>KOMISIONI I PROKURIMIT PUBLIK</t>
  </si>
  <si>
    <t>Programi Buxhetor "Planifikimi, Menaxhimi dhe Administrimi"</t>
  </si>
  <si>
    <t xml:space="preserve">
Të kontribuojë për mbrojtjen nga të gjitha format e diskriminimit për të gjithë personat e parashikuar në ligj, me anë të:
- Sigurimit të asistencës së pavarur për viktimat e diskriminimit në bazë të ankesave të tyre për diskriminim;
- Rritjes së ndërgjegjësimit përmes informacionit mbi aksesin tek mbrojtja nga diskriminimi, mjetet ligjore në dispozicion për këtë mbrojtje dhe praktikat për të parandaluar diskriminimin dhe për të vendosur parimin e barazisë dhe me anë të zhvillimit të dialogut të rregullt mbi çështjet e diskriminimit me grupet shoqërore përkatëse, duke përfshirë edhe organizatat joqeveritare;
- Kryerjes së anketimeve dhe monitorimeve të pavarura në lidhje me të gjitha format e diskriminimit; dhe
- Publikimit të raporteve dhe dhënies së rekomandimeve për çështjet e bazuara në diskriminim, përfshirë iniciativat politike dhe legjislative.
</t>
  </si>
  <si>
    <t>91</t>
  </si>
  <si>
    <t>KOMISIONERI PËR MBROJTJEN NGA DISKRIMINIMI</t>
  </si>
  <si>
    <r>
      <rPr>
        <b/>
        <sz val="8"/>
        <color indexed="8"/>
        <rFont val="Garamond"/>
        <family val="1"/>
      </rPr>
      <t>Blerjen e nje Automjeti</t>
    </r>
    <r>
      <rPr>
        <sz val="8"/>
        <color indexed="8"/>
        <rFont val="Garamond"/>
        <family val="1"/>
      </rPr>
      <t>, pasi automjeti aktual eshte tejet i amortizuar, dhe kerkon shume shpenzime per mirembajtjen e tij. Gjithashtu automjeti I vjeter nuk eshte me ne gjendje pune, per kete eshte shume e nevojshme qe per vitin 2019 pasja e nje automjeti te ri per ISKK.</t>
    </r>
  </si>
  <si>
    <r>
      <t xml:space="preserve">Detajimi i Kostos Totale të </t>
    </r>
    <r>
      <rPr>
        <b/>
        <sz val="8"/>
        <color indexed="10"/>
        <rFont val="Garamond"/>
        <family val="1"/>
      </rPr>
      <t>Produktit 2</t>
    </r>
    <r>
      <rPr>
        <b/>
        <sz val="8"/>
        <color indexed="8"/>
        <rFont val="Garamond"/>
        <family val="1"/>
      </rPr>
      <t xml:space="preserve"> sipas Artikujve Ekonomikë</t>
    </r>
  </si>
  <si>
    <t>ISKK, ne funksion te rritjes se efikasitetit te punes i nevojitet nje automjet i ri.</t>
  </si>
  <si>
    <t>Blerje e Nje automjeti</t>
  </si>
  <si>
    <t>Blerje e nje automjeti te ri</t>
  </si>
  <si>
    <t>M920001X</t>
  </si>
  <si>
    <t>Blerje e nje nr pajisje kompjuterike</t>
  </si>
  <si>
    <t>Blerje  nr pajisje kompjuterike</t>
  </si>
  <si>
    <t>Blerje e nje Nr pajisje zyre</t>
  </si>
  <si>
    <t>Nr Pajisje zyre</t>
  </si>
  <si>
    <t xml:space="preserve">Per te llogaritur koston e produktit 1 jane marre marasysh disa faktore:                                          1.  Parashikohet rritja e numrit te librave te botuar si dhe rritja e nr te dokumentave te arkivuara qe perdoren per pergatitjen e enciklopedise  dhe  librave  te  tjere.                                                                                               2. Per  shpenzimet operative dhe te mirembajtjes eshte perllogaritur edhe efekti financiar   shtese qe sjell rritja e nr te librave te botuar, si dhe niveli i inflacionit te parashikuar per periudhen 2019-2021                                                                                     </t>
  </si>
  <si>
    <t>Nr i kurrikulave te kontrolluara per dekomunistizimin e tyre ne te gjitha nivelet per sferen e lendeve humanitare    (histori dhe letersi)</t>
  </si>
  <si>
    <r>
      <t xml:space="preserve">Programi përfshin shpenzimet buxhetore që kryhen për studimin, grumbullimin, analizën, informimin dhe vlerësimin objektiv të dokumentacionit të periudhës së regjimit komunist. Aktivitetet  dhe objektivat e </t>
    </r>
    <r>
      <rPr>
        <sz val="10"/>
        <rFont val="Garamond"/>
        <family val="1"/>
      </rPr>
      <t>këtij programi rrisin performancën e ISKK për një përdorim sa më eficent dhe efektiv të burimeve njerëzore dhe financiare.</t>
    </r>
    <r>
      <rPr>
        <sz val="10"/>
        <color indexed="10"/>
        <rFont val="Garamond"/>
        <family val="1"/>
      </rPr>
      <t xml:space="preserve"> </t>
    </r>
  </si>
  <si>
    <t xml:space="preserve"> "Planifikim, Menaxhim dhe Administrim"</t>
  </si>
  <si>
    <t xml:space="preserve">Programi përfshin shpenzimet buxhetore që kryhen për studimin, grumbullimin, analizën  dhe vlerësimin objektiv të dokumentacionit të periudhës së regjimit komunist. Aktivitetet  dhe objektivat e këtij programi rrisin performancën e ISKK për një përdorim sa më eficent dhe efektiv të burimeve njerëzore dhe financiare. </t>
  </si>
  <si>
    <t>Programi "Planifikim, Menaxhim dhe Administrim"</t>
  </si>
  <si>
    <t>Studimi  dhe vlerësimi objektivisht i periudhës së regjimit komunist, përmes analizës, dokumentimit të krimeve të kryera dhe pasojave, identifikimit të akteve ligjore sekrete dhe josekretete, grumbullimit të dokumenteve dhe dëshmive të ish të dënuarve politikë, sistemimit, botimit e publikimit të gjithë informacionit te mbledhur nga periudha e regjimit komunist, nëpërmjet administrimit eficent të burimeve njerëzore dhe financiare.</t>
  </si>
  <si>
    <t>92</t>
  </si>
  <si>
    <t>INSTITUTI I STUDIMEVE PËR KRIMET DHE PASOJAT E KOMUNIZMIT NË SHQIPËRI (ISKK)</t>
  </si>
  <si>
    <t>M950003</t>
  </si>
  <si>
    <t>Numër dokumentesh</t>
  </si>
  <si>
    <t>Arkiva dixhitale e AIDSSH-së e plotësuar</t>
  </si>
  <si>
    <r>
      <rPr>
        <b/>
        <sz val="8"/>
        <rFont val="Garamond"/>
        <family val="1"/>
      </rPr>
      <t>Produkti 3</t>
    </r>
    <r>
      <rPr>
        <sz val="8"/>
        <rFont val="Garamond"/>
        <family val="1"/>
      </rPr>
      <t xml:space="preserve"> </t>
    </r>
  </si>
  <si>
    <t>Numër kërkesash</t>
  </si>
  <si>
    <t>Pranimi, identifikimi, deklasifikimi, përpunimi, dekodifikimi i kërkesës dhe përgjigja ndaj kërkuesit individë</t>
  </si>
  <si>
    <t>Kërkesa të individëve të trajtuara në vit</t>
  </si>
  <si>
    <t>Përmbushja në kohë dhe me cilesi e shërbimit ndaj kërkuesve( qytetar, institucione, media-studiues), nëpërmjet procedurave sa më fleksibël e në përputhje me ligjin nëpërmjet dixhitalizimit për të vënë në dispozicion të interesuarve informacione të ndryshme.</t>
  </si>
  <si>
    <t>Plotësimi i kërkesave  të institucioneve dhe individeve në kopje dixhitale</t>
  </si>
  <si>
    <t>Të sigurojë qasje të rregullt në informacionin në dosje në përputhje me dispozitat e ligjit; Të zhvillojë kërkime, kurse arsimore dhe kurrikula, dhe të angazhohet me publikun nëpërmjet komunikimit strategjik; Skanimin e individëve që kërkojnë të aplikojnë në detyra publike për lidhjet me ish-sigurimin të shtetit;Të konsolidojë në një arkiv të vetëm të gjitha dokumentet e prodhuara nga ish-Sigurimi i Shtetit.</t>
  </si>
  <si>
    <t>Të identifikojë, mbledhë dhe krijojë një arkiv të integruar të të gjitha dokumenteve të njohura të prodhuara nga/ose të lidhura me veprimtarinë e ish-Sigurimit dhe të sigurojë qasje të rregullt në informacionin në dosje në përputhje me dispozitat e ligjit</t>
  </si>
  <si>
    <t>Të sigurojë akses në dosjet e Sigurimit dhe të ruajë të dhënat, dokumentet e shtypjes në mënyrë që të edukojë publikun dhe të mbështesë vlerat demokratike të drejtësisë, të vërtetës, pajtimit dhe përgjegjësisë për gjeneratat e ardhshme.</t>
  </si>
  <si>
    <t>1095001</t>
  </si>
  <si>
    <t>Autoriteti për Informimin mbi Dokumentet e ish-Sigurimit të Shtetit</t>
  </si>
  <si>
    <t>Blerje pajisje komjuterike dhe orendi zyre</t>
  </si>
  <si>
    <t>Fusha e veprimit kosiston në ofrimin e shërbimit ndaj indivitit në mënyrë të pavarur, të paanshëm, fleksibël dhe transparente. Funksioni dhe misioni i Avokatit të Popullit është të shqyrtojë çështjet që lindin si pasojë e keqadministrimit në administratën publike. Instrumenti  i përditshëm është rekomandimi nëpërmjet të cilit synon ti zgjidhë problemet mbi baza ligjore. Zgjidhjet e arritura synojnë të sjellin përmirësime në standartet dhe cilësinë e shërbime të administratës publike ndaj qytetarëve.</t>
  </si>
  <si>
    <t xml:space="preserve">Krijimin dhe zhvillimin e një kulture të qeverisjes së mirë, e cila nënkupton administrim të mirë, transparencë  dhe llogaridhënie të administratës publike para qytetarëve, si dhe të bëjë administratën publike më të ndjeshme ndaj opinionit publik dhe më të përgjegjshëm ndaj kërkesave për drejtësi dhe besueshmëri.
 </t>
  </si>
  <si>
    <t>AVOKATI I POPULLIT</t>
  </si>
  <si>
    <r>
      <t xml:space="preserve">Kujdes!! </t>
    </r>
    <r>
      <rPr>
        <i/>
        <sz val="9"/>
        <rFont val="Calibri"/>
        <family val="2"/>
        <scheme val="minor"/>
      </rPr>
      <t>Në format mund të shtohen rreshta për të reflektuar të gjitha produktet e programit. Formati ka formula, të cilat duhen përditësuar sipas llogjikës së paraqitur më sipër.</t>
    </r>
  </si>
  <si>
    <t>***Produktet do të rishikohen në sasi dhe në kost, sipas rastit, për të reflektuar Tavanet Buxhetore për këtë program</t>
  </si>
  <si>
    <t>**Treguesit e Performancës në nivel Objektivi mund të ndryshojnë nga ato të parashikuara në Formatin 2, si pasojë e Tavaneve Buxhetore për këtë program. EMP duhet të përllogarisë me saktësi se cfarë vlerash të synuara të Treguesve të Performancës në nivel objektivi arrihen me Tavanet Buxhetore për këtë program.</t>
  </si>
  <si>
    <t>*Treguesit e Performancës në nivel Qëllimi mund të ndryshojnë nga ato të parashikuara në Formatin 2, si pasojë e Tavaneve Buxhetore për këtë program. EMP duhet të përllogarisë me saktësi se cfarë vlerash të synuara të Treguesve të Performancës në këtë nivel arrihen me Tavanet Buxhetore për këtë program.</t>
  </si>
  <si>
    <t>Fuqizimi i suportit logjistik për plotësimin e objektivave</t>
  </si>
  <si>
    <t>Blerje pajisjeje zyre</t>
  </si>
  <si>
    <t>Numër dokumenti/studimi</t>
  </si>
  <si>
    <t>Përpilimi i një dokumenti/studimi reflektues, i ndarë sipas zonave gjeografike, bazuar në konstatimin e nivelit të marrëdhënieve mes aktorëve lokalë shtetërore dhe fetarë, të bashkëpunimit me tyre dhe mbi shkallën e zgjidhjes se problematikave, në të mirë të shoqërisë për të forcuar marrëdhëniet mes shtetit dhe fesë.</t>
  </si>
  <si>
    <t xml:space="preserve">Dokument/studim </t>
  </si>
  <si>
    <r>
      <rPr>
        <b/>
        <sz val="8"/>
        <color rgb="FFFF0000"/>
        <rFont val="Garamond"/>
        <family val="1"/>
      </rPr>
      <t>Produkti 3</t>
    </r>
    <r>
      <rPr>
        <sz val="8"/>
        <color theme="1"/>
        <rFont val="Garamond"/>
        <family val="1"/>
      </rPr>
      <t xml:space="preserve"> </t>
    </r>
  </si>
  <si>
    <t xml:space="preserve">Hartë dixhitale e përpiluar nga mbledhja e të dhënave në terren, në sajë të evidentimit të objekteve të kultit në shkallë kombëtare.  </t>
  </si>
  <si>
    <r>
      <rPr>
        <b/>
        <sz val="8"/>
        <color rgb="FFFF0000"/>
        <rFont val="Garamond"/>
        <family val="1"/>
      </rPr>
      <t>Produkti 2</t>
    </r>
    <r>
      <rPr>
        <sz val="8"/>
        <color theme="1"/>
        <rFont val="Garamond"/>
        <family val="1"/>
      </rPr>
      <t xml:space="preserve"> </t>
    </r>
  </si>
  <si>
    <t>Financim i bashkësive fetare, për pagat e personelit të administratës, të arsimtarëve dhe mbështetje për rikonstruksionet e objekteve të kultit, në zbatim të legjislacionit përkatës.</t>
  </si>
  <si>
    <t xml:space="preserve">Financim i Bashkësive fetare  </t>
  </si>
  <si>
    <t>Numër 2 i akteve nënligjore dhe amendime ligjore lidhur me fenë</t>
  </si>
  <si>
    <t>Forcimi i bashkëjetesës fetare nëpërmjet financimit të bashkësive fetare, shoqëruar me aktet nënligjore për këtë qëllim.</t>
  </si>
  <si>
    <t>Mbështetje për kultet fetare</t>
  </si>
  <si>
    <r>
      <t>Z</t>
    </r>
    <r>
      <rPr>
        <b/>
        <sz val="10"/>
        <color theme="1"/>
        <rFont val="Garamond"/>
        <family val="1"/>
      </rPr>
      <t xml:space="preserve">baton politikën shtetërore në fushën e marrëdhënieve ndërmjet Shtetit dhe bashkësive fetare në Republikën e Shqipërisë, duke krijuar kushtet ligjore e financiare për të përmirësuar cilësisht këto marrëdhënie. Mbështet financiarisht bashkësitë fetare të cilat kanë nënshkruar marrëveshje me shtetin, për përmirësimin e infrastrukturës së tyre administrative, arsimore, shpirtërore e kulturore, si faktorë që kontribuojnë në ruajtjen e traditës, harmonisë dhe tolerancës fetare në vend.
</t>
    </r>
  </si>
  <si>
    <t>Komiteti Shtetëror për Kultet</t>
  </si>
  <si>
    <t>Numri i procedurave te publikuara</t>
  </si>
  <si>
    <t xml:space="preserve">Garantimi i mirefunksionimit te sistemit elektronik me qellim zhvillimin e procedurave te prokurimit </t>
  </si>
  <si>
    <t xml:space="preserve"> Procedura prokurimi te zhvilluara ne sistemin elektronik (perfshire blerjet e vogla, negocimet pa shpallje dhe koncesionet/PPP)</t>
  </si>
  <si>
    <t>Trend zbrites</t>
  </si>
  <si>
    <t>Numri i incidenteve ne sistem</t>
  </si>
  <si>
    <t>Numri i user-ve qe operojne ne sistem</t>
  </si>
  <si>
    <t>Garantimi i mbarevajtjes se procesit te prokurimit nepermjet menaxhimit te sistemit elektronik</t>
  </si>
  <si>
    <t>Numer kontratash</t>
  </si>
  <si>
    <t xml:space="preserve"> Monitorimi i zbatimit te kontratave, si nje element i rendesishem ne mireperdorimin e fondeve publike. </t>
  </si>
  <si>
    <t>Kontrata te raportuara nga autoritetet kontraktore</t>
  </si>
  <si>
    <t>Rritja  e numrit te kontratave te monitoruara</t>
  </si>
  <si>
    <t>Rritja e numrit te procedurave te asistuara</t>
  </si>
  <si>
    <t>Rritja e eficences se perdorimit te fondeve publike nepermjet permiresimit te dokumentave te tenderit dhe monitorimit te vazhdueshem te zbatimit te kontratave</t>
  </si>
  <si>
    <t xml:space="preserve">Blerje pajisje kompjuterike dhe pajisje  zyre </t>
  </si>
  <si>
    <t xml:space="preserve">Pajisje zyre dhe kompjutera </t>
  </si>
  <si>
    <t>Numer procedurash</t>
  </si>
  <si>
    <t>Dhenia e asistences paraprake autoriteteve kontraktore, ne drejtim te hartimit te dokumentave te tenderit, ne funksion te mirezbatimit te legjislacionit te prokurimit publik. Verifikimi i zbatimit te ligjshmerise ne procedurat e prokurimit, pas fazes se nenshkrimit te kontrates, me qellim nxjerrjen e pergjegjesive dhe dhenien e rekomandimeve per permiresimin e situates ne te ardhmen.</t>
  </si>
  <si>
    <t>Procedura prokurimi te verifikuara (ex ante dhe ex post)</t>
  </si>
  <si>
    <t>Rritja  e perdorimit të marreveshjes kuadër</t>
  </si>
  <si>
    <t xml:space="preserve">Rritja e numrit te procedurave te verifikuara </t>
  </si>
  <si>
    <t xml:space="preserve">Permiresimi i legjislacionit te prokurimit publik dhe verifikimi i ligjshmerise se procedurave te prokurimit te zhvilluara nga autoritetet kontraktore. </t>
  </si>
  <si>
    <t>Shtimi  i moduleve te reja ne Sistemin e Prokurimit Elektronik</t>
  </si>
  <si>
    <t>trend zbrites</t>
  </si>
  <si>
    <t>Ulja e numrit te procedurave me negocim pa shpallje paraprake ne raport me procedurat e shpallura ne Sistemi i Prokurimit Elektronik</t>
  </si>
  <si>
    <t xml:space="preserve">Rritja e transparencës në planifikimin dhe shpenzimin e  fondeve buxhetore.  Garantimi i mirëfunksionimit të sistemit të prokurimit publik në Shqipëri duke u fokusuar në permiresimin e legjistlacionit dhe te sistemit elektronik te prokurimit, per të garantuar  përdorim me efikasitet dhe efiçencë të fondeve publike 
</t>
  </si>
  <si>
    <t xml:space="preserve">Sherbimi i Prokurimit Publik, synon rritjen e efekasitetit te përdorimit të fondeve publike, nepermjet mbikqyrjes te sistemit të prokurimit publik, koncesioneve, PPP dhe ankandit publik në Shqipëri. Ndjekjen e mirëzbatimit të legjislacionit te prokurimit publik nëpërmjet trajnimit të vazhdueshëm të punonjësve që janë ngarkuar me zbatimin e tij në Autoritetet Kontraktore, verifikimit të procedurave të kryera nga këto Autoritetet Kontraktore, monitorimin e zbatimit te kontratave si dhe dhënien e këshillave dhe asistencës së nevojshme. </t>
  </si>
  <si>
    <t>01130</t>
  </si>
  <si>
    <t>Shërbimi i Prokurimit Publik</t>
  </si>
  <si>
    <t>Sherbimi i Prokurimit Publik</t>
  </si>
  <si>
    <t xml:space="preserve">Garantimi i mirëfunksionimit të sistemit të prokurimit duke rritur efiçencën dhe efikasitetin në procedurat e prokurimit publik, të kryera nga autoritetet kontraktore dhe siguruar mirëpërdorim të fondeve publike nëpërmjet 
nxitjes së pjesëmarrjes të operatorëve ekonomikë në procedurat e prokurimit publik dhe konkurrencës ndërmjet tyre, sigurimit të trajtimit  të  barabartë  dhe  jodiskriminues  për  të  gjithë  operatorët ekonomikë, pjesëmarrës në procedurat e prokurimit publik si edhe të transparencës  në  procedurat  e  prokurimit publik, koncesioneve, PPP dhe ankandit publik.
</t>
  </si>
  <si>
    <t>1087001</t>
  </si>
  <si>
    <t>Agjencia e Prokurimit Publik</t>
  </si>
  <si>
    <t>INSTITUTI I PRESIDENTIT TE REPUBLIKES</t>
  </si>
  <si>
    <t>1001001</t>
  </si>
  <si>
    <t>Kushtetuta e Shqiperise i ka dhene Presidentit te Republikes rolin e nje organi neutral, te paanshem dhe te pavarur. Presidenti nuk merr pjese aktive ne drejtimin politik te vendit, por nepermjet kompetencave Presidenti siguron nje ekuiliber midis organeve kushtetuese qe kryejne drejtimin politik ne vend. Kompetencat e dhena Presidentit jane te zgjedhura me kujdes per te krijuar pikerisht rolin e tij , si kryetar i shtetit dhe si institucion jashte te tria pushteteve ne shtet. Ne maredhenie me Kuvendin ai therret mbledhjen e tij te pare , shpall ligje dhe ushtron te drejten e vetos pezulluese, i drejton mesazhe Kuvendit, kerkon mbledhjen e Kuvendit ne sesion te jashtezakonshem, vlereson kerkesen dhe vendos per  kryerjen e referendumit, shperndan Kuvendin, etj. Ne maredhenie me ekzekutivin Presidenti emeron kryeministrin dhe qeverine e tij, kerkon mendim dhe te dhena me shkrim nga drejtuesit e institucioneve shteterore per ceshtje qe kane te bejne me detyrat e tyre, ne maredhenie me politiken e jashtme, emeron ambasadoret, lidh mareveshje nderkombetare sipas ligjit, etj. Ne maredhenie me drejtesine Presidenti emeron gjyqtaret dhe prokuroret.</t>
  </si>
  <si>
    <t>Kodi I Programit  01120</t>
  </si>
  <si>
    <t>Veprimtaria e Presidentit te Republikes</t>
  </si>
  <si>
    <t>Sigurimi i ekuilibrit midis organeve kushtetuese, qe kryejne drejtimin politik ne vend, nepermjet ushtrimit te kompetencave te Presidentit te Republikes, te dhena nga Kushtetuta.</t>
  </si>
  <si>
    <t>VEPRIMTARIA E PERSIDENTIT TE REPUBLIKES</t>
  </si>
  <si>
    <t>Sigurimi i ekuilibrit midis organeve kushtetuese, qe kryejne drejtimin politik ne vend, si edhe zbatimi dhe respektimi nga te gjitha palet i Kushtetutes se Shqiperise.</t>
  </si>
  <si>
    <t>Ushtrimi i funksioneve kushtetuese te Presidentit nepermjet 250 dekretimeve te ndryshme per shpallje ligjesh, shtetesine shqiptare dhe per dekorata e tituj nderi.</t>
  </si>
  <si>
    <t>Dekrete te nxjera</t>
  </si>
  <si>
    <t>Dekrete per shpallje ligjesh, per shtetesine shqiptare dhe  dekorata e tituj nderi.</t>
  </si>
  <si>
    <t>Studimi i dosjeve per shpallje te ligjeve, studim dhe perpunim praktikash per dhenie e lenie te nenshtetesise, si edhe per dhenie te dekoratave e titujve te nderit.</t>
  </si>
  <si>
    <t>Te realizohen 27 pritje te personaliteteve ne Shqiperi, si dhe vizita te Presidentit te Republikes jashte vendit, per te bere te njohur vlerat kombetare dhe synimet e politikes se jashtme te vendit.</t>
  </si>
  <si>
    <t>Vizita te kryera</t>
  </si>
  <si>
    <t xml:space="preserve">Produkti </t>
  </si>
  <si>
    <t>Pritje dhe udhetime te Presidentit te Republikes brenda dhe jashte vendit.</t>
  </si>
  <si>
    <t>Organizimi I pritjeve, percjelljeve dhe trajtim te personaliteteve te ftuar nga Presidenti i Republikes, si edhe organizimi I vizitave te Presidentit te Republikes jashte vendit.</t>
  </si>
  <si>
    <t>Aktivitete te kryera</t>
  </si>
  <si>
    <r>
      <t>Detajimi i Kostos Totale të</t>
    </r>
    <r>
      <rPr>
        <b/>
        <sz val="12"/>
        <color rgb="FFFF0000"/>
        <rFont val="Garamond"/>
        <family val="1"/>
      </rPr>
      <t xml:space="preserve"> Produktit  </t>
    </r>
    <r>
      <rPr>
        <b/>
        <sz val="12"/>
        <color theme="1"/>
        <rFont val="Garamond"/>
        <family val="1"/>
      </rPr>
      <t>sipas Artikujve Ekonomikë</t>
    </r>
  </si>
  <si>
    <t>Te mbeshtese e te nxise vlerat kombetare, si element thelbesor qe ndikon ne zhvillimin e shtetit, nepermjet organizimit te 200 veprimtarive kryesore protokollare brenda vendit.</t>
  </si>
  <si>
    <t>Aktivitete te realizuara</t>
  </si>
  <si>
    <r>
      <rPr>
        <b/>
        <sz val="12"/>
        <color rgb="FFFF0000"/>
        <rFont val="Garamond"/>
        <family val="1"/>
      </rPr>
      <t xml:space="preserve">Produkti </t>
    </r>
    <r>
      <rPr>
        <sz val="12"/>
        <color theme="1"/>
        <rFont val="Garamond"/>
        <family val="1"/>
      </rPr>
      <t xml:space="preserve"> </t>
    </r>
  </si>
  <si>
    <t>Veprimtari protokollare brenda vendit</t>
  </si>
  <si>
    <t>Organizimi i veprimtarive ne Institucion, si  edhe organizimi i aktiviteteve brenda vendit.</t>
  </si>
  <si>
    <t>M010018</t>
  </si>
  <si>
    <t>Blerje automjeti per administraten</t>
  </si>
  <si>
    <t xml:space="preserve">Automjet </t>
  </si>
  <si>
    <t>Blerje e nje automjeti per administraten</t>
  </si>
  <si>
    <t>M010019</t>
  </si>
  <si>
    <t>Sistemi back up i energjise</t>
  </si>
  <si>
    <t>Sistem back up i energjise i rinovuar</t>
  </si>
  <si>
    <t xml:space="preserve">Rinovimi i sistemit back up te energjise, nepermjet riparimit te UPS ekzistues dhe blerjes se baterive te reja </t>
  </si>
  <si>
    <t>Numer sistemesh</t>
  </si>
  <si>
    <r>
      <t xml:space="preserve">Detajimi i Kostos Totale të </t>
    </r>
    <r>
      <rPr>
        <b/>
        <sz val="12"/>
        <color rgb="FFFF0000"/>
        <rFont val="Garamond"/>
        <family val="1"/>
      </rPr>
      <t xml:space="preserve">Produktit </t>
    </r>
    <r>
      <rPr>
        <b/>
        <sz val="12"/>
        <color theme="1"/>
        <rFont val="Garamond"/>
        <family val="1"/>
      </rPr>
      <t>2 sipas Artikujve Ekonomikë</t>
    </r>
  </si>
  <si>
    <t>M010021</t>
  </si>
  <si>
    <t>Sistemi i kamerave te sigurise</t>
  </si>
  <si>
    <t>Sistem i kamerave te sigurise i rinovuar</t>
  </si>
  <si>
    <t xml:space="preserve">Rikonstruksioni i sistemit te kamerave te sigurise, nepermjet zevendesimit te kamerave ekzistuese dhe rrjetit lidhes. </t>
  </si>
  <si>
    <t>Blerje pajisje kompjuterike dhe elektronike</t>
  </si>
  <si>
    <t>Pajisje kompjuterike dhe elektronike te blera</t>
  </si>
  <si>
    <t>Blerja e pajisjeve kompjuterike dhe elektronike</t>
  </si>
  <si>
    <t>Numer pajisjesh</t>
  </si>
  <si>
    <r>
      <t xml:space="preserve">Detajimi i Kostos Totale të </t>
    </r>
    <r>
      <rPr>
        <b/>
        <sz val="12"/>
        <color rgb="FFFF0000"/>
        <rFont val="Garamond"/>
        <family val="1"/>
      </rPr>
      <t>Produktit 4</t>
    </r>
    <r>
      <rPr>
        <b/>
        <sz val="12"/>
        <color theme="1"/>
        <rFont val="Garamond"/>
        <family val="1"/>
      </rPr>
      <t xml:space="preserve"> sipas Artikujve Ekonomikë</t>
    </r>
  </si>
  <si>
    <t>Blerje pajisje dhe orendi zyre</t>
  </si>
  <si>
    <t>Pajisje dhe orendi zyre te blera</t>
  </si>
  <si>
    <t>Blerja e pajisjeve dhe orendive per zyrat</t>
  </si>
  <si>
    <r>
      <t xml:space="preserve">Detajimi i Kostos Totale të </t>
    </r>
    <r>
      <rPr>
        <b/>
        <sz val="12"/>
        <color rgb="FFFF0000"/>
        <rFont val="Garamond"/>
        <family val="1"/>
      </rPr>
      <t>Produktit 5</t>
    </r>
  </si>
  <si>
    <t>DEPARTAMENTI I ADMINISTRATËS PUBLIKE</t>
  </si>
  <si>
    <t>1087015</t>
  </si>
  <si>
    <t xml:space="preserve">DAP-i ka për mision:
-administrimin e shërbimit civil, si dhe mbikqyrjen e zbatimit të legjislacionit të shërbimit civil në institucionet e administratës shtetërore;
-hartimin e politikave të qeverisë shqiptare në fushën e pagave të nëpunësve/punonjësve të administratës publike;
-hartimin e politikave për zhvillimin organizativ e funksional të institucioneve të administratës shtetërore
</t>
  </si>
  <si>
    <t xml:space="preserve">Programi zhvillon politika dhe strategji për menaxhimin dhe zhvillimin e administratës publike me synim: 
• zhvillimin dhe menaxhimin e burimeve njerëzore, si dhe thellimin e reformës në shërbimin civil dhe zgjerimin e fushës së veprimit të këtij kuadri ligjor;
• përcaktimin e standarteve të njëjta për nëpunësit civilë dhe punonjësit e tjerë të administratës publike, në kuptimin e rregullimit të marrëdhënieve të punës, pranimit në administratën publike, avancimin në karrierë dhe kualifikimin profesional të tyre; 
• përcaktimin e standarteve të njëjta për ngritjen e institucioneve të administratës publike;
• ngritjen dhe fuqizimin e strukturave efektive për të gjitha institucionet e administratës publike;
• krijimin dhe zbatimin e politikave të pagave si dhe të gjitha skemave të tjera shpërblyese për të gjithë nëpunësit e administratës publike;
• trajnimin si mjet strategjik për zhvillimin e kapaciteteve të nëpunësve të administratës publike.
</t>
  </si>
  <si>
    <t>Programi zhvillon politika dhe strategji për menaxhimin dhe zhvillimin e administratës publike. Ai synon: zhvillimin dhe menaxhimin e burimeve njerëzore, si dhe thellimin e reformës në shërbimin civil dhe zgjerimin e fushës së veprimit të këtij kuadri ligjor:  përcaktimin e standarteve të njëjta për nëpunësit civilë dhe punonjësit e tjerë të administratës publike, në kuptimin e rregullimit të marrëdhënieve të punës, pranimit në administratën publike, ecjën në karrierë, kualifikimin profesional të tyre: përcaktimin e standarteve të njëjta për ngritjen e institucioneve të administratës publike; ngritjen dhe fuqizimin e strukturave efektive për të gjitha institucionet e administratës publike; krijimin dhe zbatimin e politikave të pagave si dhe të gjitha skemave të tjera shpërblyese për të gjithë nëpunësit e administratës publike: trajnimin si mjet strategjik për zhvillimin e kapaciteteve të nëpunësve të administratës publike</t>
  </si>
  <si>
    <t>Kosto totale e produktit sipas artikujve</t>
  </si>
  <si>
    <t>Raporte për menaxhimin e burimeve njerëzore në sistemin e shërbimit civil</t>
  </si>
  <si>
    <t>Hartimi i raporteve sa i takon menaxhinmit të burimeve njerëzore në institucionet e shërbimit civil</t>
  </si>
  <si>
    <t>Raporte</t>
  </si>
  <si>
    <t>Evente informuese mbi procedurat e aplikimit në shërbimin civil</t>
  </si>
  <si>
    <t>Organizimi i panaireve dhe eventeve për promovimin e punës së departamentit</t>
  </si>
  <si>
    <t>Nr</t>
  </si>
  <si>
    <t>Raporte në lidhje me monitorimin e zbatimit të Strategjisë Ndërsektoriale të Reformës së Administratës Publike</t>
  </si>
  <si>
    <t>Raportimi në lidhje me monitorimin e zbatimit të Strategjisë Ndërsektoriale të Reformës së Administratës Publike</t>
  </si>
  <si>
    <t>Akte nënligjore në fushën e pagave</t>
  </si>
  <si>
    <t>Hartimi i akteve nënligjore në fushën e pagave për administratën qendrore dhe vendore.</t>
  </si>
  <si>
    <t>Akte nënligjore në fushën e burimeve njerëzore</t>
  </si>
  <si>
    <t>Prodhimi i akteve në fushën e menaxhimit të burimeve njerëzore me qëllim përmirësimin e kapaciteteve për zbatimin e legjislacionit të shërbimit civil</t>
  </si>
  <si>
    <t>Projekturdhëra të hartuara të Kryeministrit për miratimin e strukturave të institucioneve</t>
  </si>
  <si>
    <t>Trajnime të punonjësve për përdorimin e Sistemit Informatik të Menaxhimit të Burimeve Njerëzore</t>
  </si>
  <si>
    <t>Zgjerimi i ndërveprimit të sistemit HRMIS me të tjera baza të dhënash dhe sisteme të rëndësishme të institucioneve publike</t>
  </si>
  <si>
    <t>Politika për rritjen profesionale të punonjësve të administratës publike dhe për rritjen e integritetit në zbatim të  Ligjit Nr. 138/2015 "Për garantimin e integritetit të personave që zgjidhen, emërohen ose ushtrojnë funksione publike”</t>
  </si>
  <si>
    <t>Administrimi i formularëve të vetëdeklarimit në zbatim të  Ligjit Nr. 138/2015 "Për garantimin e integritetit të personave që zgjidhen, emërohen ose ushtrojnë funksione publike”</t>
  </si>
  <si>
    <t xml:space="preserve">Perfaqësim në procese gjyqësore me Departamentin e Administratës Publike si palë dhe në komisione disiplinore </t>
  </si>
  <si>
    <t>Pjesëmarrja dhe mbikqyrja e procedurave të ndryshme administrative</t>
  </si>
  <si>
    <t>Pajisje të reja për zyrat e institucionit</t>
  </si>
  <si>
    <t>Blerja e pajisjeve të reja të zyrës për të përmbushur nevojat e institucionit</t>
  </si>
  <si>
    <t>M870290</t>
  </si>
  <si>
    <t>Rikonstruksion godine</t>
  </si>
  <si>
    <t>Rikonstruksioni i godinës së re të institucionit kaluar në administrim të Departamentit të Administratës Publike me VKM Nr. 704 date 1.12.2017 Per kalimin ne pergjegjesi administrimi, nga ish Ministria e Integrimit Evropian te Departamenti i Administrates Publike dhe Komisioni i Prokurimit Publik</t>
  </si>
  <si>
    <t>Kontrolli i Larte i Shtetit</t>
  </si>
  <si>
    <t>1024001</t>
  </si>
  <si>
    <t xml:space="preserve">KLSH është  institucion i pavarur kushtetues, i ndërtuar që ti shërbejë qytetarit shqiptar, të jetë “agjent” i Kuvendit dhe palëve të interesit duke i informuar në mënyrë të vazhdueshme, të paanshme dhe të plotë, mbi përgjegjshmërinë që qeveria dhe entet publike tregojnë në përdorimin e kontributit të taksapaguesve shqiptarë e duke kontribuar në përmirësimin e qeverisjes nëpërmjet luftës kundër korrupsionit.    </t>
  </si>
  <si>
    <t xml:space="preserve">Kodi i Programit </t>
  </si>
  <si>
    <t xml:space="preserve"> Pershkrimi </t>
  </si>
  <si>
    <t>Veprimtaria  Audituese</t>
  </si>
  <si>
    <t>Kontrolli i Larte i Shtetit kryen veprimtarine audituese dhe mbeshtetese , me qellim permbushjen me cilesi te larte dhe ne kohe te detyrimeve kushtetuese dhe ligjore ,tw objektivave.</t>
  </si>
  <si>
    <t>Veprimtaria Audituese</t>
  </si>
  <si>
    <t>01120</t>
  </si>
  <si>
    <t>Veprimtaria audituese e KLSH</t>
  </si>
  <si>
    <t>Qëllimi i aplikimit të  politikave dhe procedurave me synim modernizimin institucional është  Auditimi i përdorimit me ekonomicitet, eficencë , efektivitet të  fondeve publike në  funksion të  rritjes së  përgjegjshmërisë  së  menaxhimit të  financave publike</t>
  </si>
  <si>
    <t>Mbulimi me auditim i fondeve buxhetore</t>
  </si>
  <si>
    <t>RRITJA E IMPAKTIT Të  VEPRIMTARISë  AUDITUESE</t>
  </si>
  <si>
    <t xml:space="preserve">Rritja e nivelit të  zbatimit të  rekomandimeve të  KLSH-së </t>
  </si>
  <si>
    <t>Auditime të  përputhshmërisë ,rregullshmërisë  dhe auditime financiare</t>
  </si>
  <si>
    <t>Nr Auditimesh përputhshmërisë ,rregullshmërisë  dhe auditime financiare</t>
  </si>
  <si>
    <t>Auditim performance</t>
  </si>
  <si>
    <t>Nr auditimesh performance</t>
  </si>
  <si>
    <t>M240002</t>
  </si>
  <si>
    <t>Auditime të  pë rputhshmë risë ,rregullshmë risë  dhe auditime financiare</t>
  </si>
  <si>
    <t>Nr auditimesh</t>
  </si>
  <si>
    <t>Blerja e 2 automjeteve per vitin 2019</t>
  </si>
  <si>
    <t>M240009</t>
  </si>
  <si>
    <t>M240012</t>
  </si>
  <si>
    <t>Kosto lokale IPA</t>
  </si>
  <si>
    <t xml:space="preserve">ngritje e veprimtarise audituese </t>
  </si>
  <si>
    <t>Nr misionesh</t>
  </si>
  <si>
    <t>Nr auditim performance</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</si>
</sst>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5" formatCode="&quot;$&quot;#,##0_);\(&quot;$&quot;#,##0\)"/>
    <numFmt numFmtId="43" formatCode="_(* #,##0.00_);_(* \(#,##0.00\);_(* &quot;-&quot;??_);_(@_)"/>
    <numFmt numFmtId="164" formatCode="_-* #,##0.00_L_e_k_-;\-* #,##0.00_L_e_k_-;_-* &quot;-&quot;??_L_e_k_-;_-@_-"/>
    <numFmt numFmtId="165" formatCode="0.0%"/>
    <numFmt numFmtId="166" formatCode="#,##0.0"/>
    <numFmt numFmtId="167" formatCode="_-* #,##0.00_-;\-* #,##0.00_-;_-* &quot;-&quot;??_-;_-@_-"/>
    <numFmt numFmtId="168" formatCode="00000"/>
    <numFmt numFmtId="169" formatCode="_-* #,##0_L_e_k_-;\-* #,##0_L_e_k_-;_-* &quot;-&quot;??_L_e_k_-;_-@_-"/>
    <numFmt numFmtId="170" formatCode="_(* #,##0_);_(* \(#,##0\);_(* &quot;-&quot;??_);_(@_)"/>
    <numFmt numFmtId="171" formatCode="mmmm\ d\,\ yyyy"/>
  </numFmts>
  <fonts count="135"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b/>
      <sz val="10"/>
      <color theme="1"/>
      <name val="Garamond"/>
      <family val="1"/>
    </font>
    <font>
      <sz val="10"/>
      <color theme="1"/>
      <name val="Garamond"/>
      <family val="1"/>
    </font>
    <font>
      <sz val="9"/>
      <color theme="1"/>
      <name val="Garamond"/>
      <family val="1"/>
    </font>
    <font>
      <sz val="8"/>
      <color theme="1"/>
      <name val="Garamond"/>
      <family val="1"/>
    </font>
    <font>
      <b/>
      <sz val="9"/>
      <color theme="1"/>
      <name val="Garamond"/>
      <family val="1"/>
    </font>
    <font>
      <b/>
      <sz val="8"/>
      <color theme="1"/>
      <name val="Garamond"/>
      <family val="1"/>
    </font>
    <font>
      <b/>
      <sz val="8"/>
      <color rgb="FFFF0000"/>
      <name val="Garamond"/>
      <family val="1"/>
    </font>
    <font>
      <i/>
      <sz val="9"/>
      <color theme="1"/>
      <name val="Garamond"/>
      <family val="1"/>
    </font>
    <font>
      <i/>
      <sz val="8"/>
      <color theme="1"/>
      <name val="Garamond"/>
      <family val="1"/>
    </font>
    <font>
      <b/>
      <i/>
      <sz val="9"/>
      <color rgb="FFFF0000"/>
      <name val="Garamond"/>
      <family val="1"/>
    </font>
    <font>
      <b/>
      <sz val="9"/>
      <color rgb="FFFF0000"/>
      <name val="Garamond"/>
      <family val="1"/>
    </font>
    <font>
      <b/>
      <sz val="11"/>
      <name val="Garamond"/>
      <family val="1"/>
    </font>
    <font>
      <b/>
      <i/>
      <sz val="9"/>
      <color theme="1"/>
      <name val="Garamond"/>
      <family val="1"/>
    </font>
    <font>
      <b/>
      <i/>
      <sz val="8"/>
      <color theme="1"/>
      <name val="Garamond"/>
      <family val="1"/>
    </font>
    <font>
      <b/>
      <sz val="9"/>
      <name val="Garamond"/>
      <family val="1"/>
    </font>
    <font>
      <b/>
      <sz val="8"/>
      <color indexed="10"/>
      <name val="Garamond"/>
      <family val="1"/>
    </font>
    <font>
      <b/>
      <sz val="8"/>
      <color indexed="8"/>
      <name val="Garamond"/>
      <family val="1"/>
    </font>
    <font>
      <b/>
      <sz val="9"/>
      <color indexed="81"/>
      <name val="Tahoma"/>
      <family val="2"/>
      <charset val="238"/>
    </font>
    <font>
      <sz val="9"/>
      <color indexed="81"/>
      <name val="Tahoma"/>
      <family val="2"/>
      <charset val="238"/>
    </font>
    <font>
      <sz val="12"/>
      <color theme="1"/>
      <name val="Calibri"/>
      <family val="2"/>
      <scheme val="minor"/>
    </font>
    <font>
      <b/>
      <sz val="12"/>
      <color theme="1"/>
      <name val="Garamond"/>
      <family val="1"/>
    </font>
    <font>
      <b/>
      <sz val="12"/>
      <color rgb="FFFF0000"/>
      <name val="Garamond"/>
      <family val="1"/>
    </font>
    <font>
      <sz val="12"/>
      <color theme="1"/>
      <name val="Garamond"/>
      <family val="1"/>
    </font>
    <font>
      <b/>
      <i/>
      <sz val="12"/>
      <color theme="1"/>
      <name val="Garamond"/>
      <family val="1"/>
    </font>
    <font>
      <i/>
      <sz val="12"/>
      <color theme="1"/>
      <name val="Garamond"/>
      <family val="1"/>
    </font>
    <font>
      <b/>
      <i/>
      <sz val="12"/>
      <color rgb="FFFF0000"/>
      <name val="Garamond"/>
      <family val="1"/>
    </font>
    <font>
      <sz val="10"/>
      <name val="Arial"/>
      <family val="2"/>
    </font>
    <font>
      <sz val="11"/>
      <color theme="1"/>
      <name val="Garamond"/>
      <family val="1"/>
    </font>
    <font>
      <b/>
      <sz val="11"/>
      <color theme="1"/>
      <name val="Garamond"/>
      <family val="1"/>
    </font>
    <font>
      <b/>
      <i/>
      <sz val="11"/>
      <color rgb="FFFF0000"/>
      <name val="Garamond"/>
      <family val="1"/>
    </font>
    <font>
      <b/>
      <sz val="12"/>
      <color theme="1"/>
      <name val="Calibri"/>
      <family val="2"/>
      <scheme val="minor"/>
    </font>
    <font>
      <sz val="9"/>
      <color theme="1"/>
      <name val="Times New Roman"/>
      <family val="1"/>
    </font>
    <font>
      <b/>
      <sz val="9"/>
      <color indexed="81"/>
      <name val="Tahoma"/>
      <family val="2"/>
    </font>
    <font>
      <sz val="9"/>
      <color indexed="81"/>
      <name val="Tahoma"/>
      <family val="2"/>
    </font>
    <font>
      <sz val="11"/>
      <color theme="1"/>
      <name val="Times New Roman"/>
      <family val="1"/>
      <charset val="238"/>
    </font>
    <font>
      <b/>
      <sz val="11"/>
      <color theme="1"/>
      <name val="Times New Roman"/>
      <family val="1"/>
      <charset val="238"/>
    </font>
    <font>
      <b/>
      <sz val="11"/>
      <color rgb="FFFF0000"/>
      <name val="Times New Roman"/>
      <family val="1"/>
      <charset val="238"/>
    </font>
    <font>
      <i/>
      <sz val="11"/>
      <color theme="1"/>
      <name val="Times New Roman"/>
      <family val="1"/>
      <charset val="238"/>
    </font>
    <font>
      <b/>
      <i/>
      <sz val="11"/>
      <color theme="1"/>
      <name val="Times New Roman"/>
      <family val="1"/>
      <charset val="238"/>
    </font>
    <font>
      <b/>
      <sz val="11"/>
      <name val="Times New Roman"/>
      <family val="1"/>
      <charset val="238"/>
    </font>
    <font>
      <b/>
      <i/>
      <sz val="11"/>
      <color rgb="FFFF0000"/>
      <name val="Times New Roman"/>
      <family val="1"/>
      <charset val="238"/>
    </font>
    <font>
      <b/>
      <sz val="12"/>
      <name val="Garamond"/>
      <family val="1"/>
    </font>
    <font>
      <b/>
      <sz val="11"/>
      <color theme="1"/>
      <name val="Garamond"/>
      <family val="1"/>
      <charset val="238"/>
    </font>
    <font>
      <i/>
      <sz val="11"/>
      <color theme="1"/>
      <name val="Garamond"/>
      <family val="1"/>
    </font>
    <font>
      <b/>
      <i/>
      <sz val="11"/>
      <color theme="1"/>
      <name val="Garamond"/>
      <family val="1"/>
    </font>
    <font>
      <sz val="11"/>
      <name val="Times New Roman"/>
      <family val="1"/>
      <charset val="238"/>
    </font>
    <font>
      <sz val="11"/>
      <color rgb="FFFF0000"/>
      <name val="Times New Roman"/>
      <family val="1"/>
      <charset val="238"/>
    </font>
    <font>
      <b/>
      <sz val="10"/>
      <color rgb="FFFF0000"/>
      <name val="Garamond"/>
      <family val="1"/>
    </font>
    <font>
      <b/>
      <sz val="11"/>
      <name val="Calibri"/>
      <family val="2"/>
      <scheme val="minor"/>
    </font>
    <font>
      <sz val="11"/>
      <name val="Calibri"/>
      <family val="2"/>
      <scheme val="minor"/>
    </font>
    <font>
      <sz val="8"/>
      <color rgb="FFFF0000"/>
      <name val="Garamond"/>
      <family val="1"/>
    </font>
    <font>
      <sz val="8"/>
      <name val="Garamond"/>
      <family val="1"/>
    </font>
    <font>
      <sz val="8"/>
      <color rgb="FF002060"/>
      <name val="Garamond"/>
      <family val="1"/>
    </font>
    <font>
      <sz val="8"/>
      <color rgb="FF0070C0"/>
      <name val="Garamond"/>
      <family val="1"/>
    </font>
    <font>
      <sz val="8"/>
      <color theme="4" tint="-0.249977111117893"/>
      <name val="Garamond"/>
      <family val="1"/>
    </font>
    <font>
      <b/>
      <sz val="8"/>
      <name val="Garamond"/>
      <family val="1"/>
    </font>
    <font>
      <sz val="9"/>
      <color theme="4" tint="-0.249977111117893"/>
      <name val="Garamond"/>
      <family val="1"/>
    </font>
    <font>
      <sz val="10"/>
      <color rgb="FFFF0000"/>
      <name val="Garamond"/>
      <family val="1"/>
    </font>
    <font>
      <sz val="12"/>
      <color theme="1"/>
      <name val="Times New Roman"/>
      <family val="1"/>
      <charset val="238"/>
    </font>
    <font>
      <b/>
      <sz val="12"/>
      <color theme="1"/>
      <name val="Garamond"/>
      <family val="1"/>
      <charset val="238"/>
    </font>
    <font>
      <b/>
      <sz val="14"/>
      <color theme="1"/>
      <name val="Garamond"/>
      <family val="1"/>
      <charset val="238"/>
    </font>
    <font>
      <b/>
      <sz val="12"/>
      <color theme="1"/>
      <name val="Times New Roman"/>
      <family val="1"/>
      <charset val="238"/>
    </font>
    <font>
      <b/>
      <i/>
      <sz val="9"/>
      <name val="Garamond"/>
      <family val="1"/>
    </font>
    <font>
      <b/>
      <sz val="8"/>
      <color theme="1"/>
      <name val="Calibri"/>
      <family val="2"/>
      <scheme val="minor"/>
    </font>
    <font>
      <i/>
      <sz val="8"/>
      <color rgb="FFFF0000"/>
      <name val="Garamond"/>
      <family val="1"/>
    </font>
    <font>
      <b/>
      <sz val="8"/>
      <color rgb="FFFFFF00"/>
      <name val="Garamond"/>
      <family val="1"/>
    </font>
    <font>
      <b/>
      <sz val="9"/>
      <color rgb="FFFFFF00"/>
      <name val="Garamond"/>
      <family val="1"/>
    </font>
    <font>
      <b/>
      <sz val="8"/>
      <color theme="1"/>
      <name val="Garamond"/>
      <family val="1"/>
      <charset val="238"/>
    </font>
    <font>
      <sz val="8"/>
      <name val="Arial"/>
      <family val="2"/>
    </font>
    <font>
      <b/>
      <i/>
      <sz val="8"/>
      <color theme="1"/>
      <name val="Garamond"/>
      <family val="1"/>
      <charset val="238"/>
    </font>
    <font>
      <b/>
      <sz val="8"/>
      <name val="Arial"/>
      <family val="2"/>
    </font>
    <font>
      <sz val="8"/>
      <color theme="1"/>
      <name val="Garamond"/>
      <family val="1"/>
      <charset val="238"/>
    </font>
    <font>
      <i/>
      <sz val="8"/>
      <name val="Garamond"/>
      <family val="1"/>
    </font>
    <font>
      <b/>
      <sz val="8"/>
      <name val="Arial"/>
      <family val="2"/>
      <charset val="238"/>
    </font>
    <font>
      <b/>
      <sz val="8"/>
      <color rgb="FFFF0000"/>
      <name val="Garamond"/>
      <family val="1"/>
      <charset val="238"/>
    </font>
    <font>
      <b/>
      <sz val="8"/>
      <name val="Garamond"/>
      <family val="1"/>
      <charset val="238"/>
    </font>
    <font>
      <b/>
      <sz val="9"/>
      <color theme="1"/>
      <name val="Garamond"/>
      <family val="1"/>
      <charset val="238"/>
    </font>
    <font>
      <b/>
      <sz val="10"/>
      <color theme="1"/>
      <name val="Garamond"/>
      <family val="1"/>
      <charset val="238"/>
    </font>
    <font>
      <b/>
      <sz val="12"/>
      <color rgb="FFFF0000"/>
      <name val="Calibri"/>
      <family val="2"/>
      <scheme val="minor"/>
    </font>
    <font>
      <b/>
      <i/>
      <sz val="8"/>
      <color rgb="FFFF0000"/>
      <name val="Garamond"/>
      <family val="1"/>
    </font>
    <font>
      <b/>
      <sz val="8"/>
      <color rgb="FF7030A0"/>
      <name val="Garamond"/>
      <family val="1"/>
    </font>
    <font>
      <sz val="9"/>
      <color rgb="FFFF0000"/>
      <name val="Garamond"/>
      <family val="1"/>
    </font>
    <font>
      <b/>
      <sz val="10"/>
      <color rgb="FF00B050"/>
      <name val="Garamond"/>
      <family val="1"/>
    </font>
    <font>
      <b/>
      <sz val="10"/>
      <color theme="1"/>
      <name val="Calibri"/>
      <family val="2"/>
      <scheme val="minor"/>
    </font>
    <font>
      <i/>
      <sz val="8"/>
      <color theme="1"/>
      <name val="Garamond"/>
      <family val="1"/>
      <charset val="238"/>
    </font>
    <font>
      <b/>
      <i/>
      <sz val="8"/>
      <color rgb="FFFF0000"/>
      <name val="Garamond"/>
      <family val="1"/>
      <charset val="238"/>
    </font>
    <font>
      <sz val="8"/>
      <name val="Garamond"/>
      <family val="1"/>
      <charset val="238"/>
    </font>
    <font>
      <sz val="9"/>
      <name val="Garamond"/>
      <family val="1"/>
    </font>
    <font>
      <b/>
      <sz val="16"/>
      <color theme="1"/>
      <name val="Garamond"/>
      <family val="1"/>
      <charset val="238"/>
    </font>
    <font>
      <i/>
      <sz val="9"/>
      <name val="Garamond"/>
      <family val="1"/>
    </font>
    <font>
      <b/>
      <i/>
      <sz val="8"/>
      <name val="Garamond"/>
      <family val="1"/>
    </font>
    <font>
      <sz val="10"/>
      <name val="Garamond"/>
      <family val="1"/>
    </font>
    <font>
      <b/>
      <sz val="10"/>
      <name val="Garamond"/>
      <family val="1"/>
    </font>
    <font>
      <b/>
      <i/>
      <sz val="12"/>
      <color theme="1"/>
      <name val="Garamond"/>
      <family val="1"/>
      <charset val="238"/>
    </font>
    <font>
      <b/>
      <i/>
      <sz val="12"/>
      <color rgb="FFFF0000"/>
      <name val="Garamond"/>
      <family val="1"/>
      <charset val="238"/>
    </font>
    <font>
      <b/>
      <i/>
      <sz val="12"/>
      <name val="Garamond"/>
      <family val="1"/>
      <charset val="238"/>
    </font>
    <font>
      <b/>
      <sz val="12"/>
      <name val="Garamond"/>
      <family val="1"/>
      <charset val="238"/>
    </font>
    <font>
      <b/>
      <sz val="12"/>
      <color rgb="FFFF0000"/>
      <name val="Garamond"/>
      <family val="1"/>
      <charset val="238"/>
    </font>
    <font>
      <sz val="12"/>
      <name val="Garamond"/>
      <family val="1"/>
    </font>
    <font>
      <sz val="8"/>
      <name val="Times New Roman"/>
      <family val="1"/>
    </font>
    <font>
      <sz val="8"/>
      <color theme="1"/>
      <name val="Times New Roman"/>
      <family val="1"/>
    </font>
    <font>
      <i/>
      <sz val="9"/>
      <color theme="1"/>
      <name val="Calibri"/>
      <family val="2"/>
      <scheme val="minor"/>
    </font>
    <font>
      <b/>
      <sz val="8"/>
      <color indexed="81"/>
      <name val="Tahoma"/>
      <family val="2"/>
    </font>
    <font>
      <sz val="8"/>
      <color indexed="81"/>
      <name val="Tahoma"/>
      <family val="2"/>
    </font>
    <font>
      <i/>
      <sz val="8"/>
      <color indexed="8"/>
      <name val="Garamond"/>
      <family val="1"/>
    </font>
    <font>
      <b/>
      <sz val="9"/>
      <color indexed="10"/>
      <name val="Garamond"/>
      <family val="1"/>
    </font>
    <font>
      <b/>
      <sz val="9"/>
      <color indexed="8"/>
      <name val="Garamond"/>
      <family val="1"/>
    </font>
    <font>
      <b/>
      <i/>
      <sz val="9"/>
      <color indexed="10"/>
      <name val="Garamond"/>
      <family val="1"/>
    </font>
    <font>
      <sz val="10"/>
      <color indexed="8"/>
      <name val="Arial"/>
      <family val="2"/>
    </font>
    <font>
      <sz val="10"/>
      <color theme="1"/>
      <name val="Times New Roman"/>
      <family val="1"/>
    </font>
    <font>
      <sz val="12"/>
      <color theme="1"/>
      <name val="Times New Roman"/>
      <family val="1"/>
    </font>
    <font>
      <b/>
      <sz val="12"/>
      <color theme="1"/>
      <name val="Times New Roman"/>
      <family val="1"/>
    </font>
    <font>
      <b/>
      <sz val="9"/>
      <color theme="1"/>
      <name val="Times New Roman"/>
      <family val="1"/>
    </font>
    <font>
      <i/>
      <sz val="9"/>
      <color indexed="8"/>
      <name val="Times New Roman"/>
      <family val="1"/>
    </font>
    <font>
      <i/>
      <sz val="9"/>
      <color theme="1"/>
      <name val="Times New Roman"/>
      <family val="1"/>
    </font>
    <font>
      <b/>
      <i/>
      <sz val="9"/>
      <color theme="1"/>
      <name val="Times New Roman"/>
      <family val="1"/>
    </font>
    <font>
      <b/>
      <i/>
      <sz val="9"/>
      <color rgb="FFFF0000"/>
      <name val="Times New Roman"/>
      <family val="1"/>
    </font>
    <font>
      <b/>
      <sz val="9"/>
      <color indexed="10"/>
      <name val="Times New Roman"/>
      <family val="1"/>
    </font>
    <font>
      <b/>
      <sz val="9"/>
      <color indexed="8"/>
      <name val="Times New Roman"/>
      <family val="1"/>
    </font>
    <font>
      <b/>
      <sz val="9"/>
      <color rgb="FFFF0000"/>
      <name val="Times New Roman"/>
      <family val="1"/>
    </font>
    <font>
      <b/>
      <sz val="10"/>
      <color theme="1"/>
      <name val="Times New Roman"/>
      <family val="1"/>
    </font>
    <font>
      <sz val="8"/>
      <color indexed="8"/>
      <name val="Garamond"/>
      <family val="1"/>
    </font>
    <font>
      <sz val="10"/>
      <color indexed="10"/>
      <name val="Garamond"/>
      <family val="1"/>
    </font>
    <font>
      <b/>
      <i/>
      <sz val="9"/>
      <color rgb="FFFF0000"/>
      <name val="Calibri"/>
      <family val="2"/>
      <scheme val="minor"/>
    </font>
    <font>
      <i/>
      <sz val="9"/>
      <name val="Calibri"/>
      <family val="2"/>
      <scheme val="minor"/>
    </font>
    <font>
      <sz val="8"/>
      <name val="Calibri"/>
      <family val="2"/>
      <scheme val="minor"/>
    </font>
    <font>
      <sz val="8"/>
      <color theme="1"/>
      <name val="Calibri"/>
      <family val="2"/>
      <scheme val="minor"/>
    </font>
    <font>
      <b/>
      <sz val="11"/>
      <color theme="1"/>
      <name val="Times New Roman"/>
      <family val="1"/>
    </font>
    <font>
      <sz val="14"/>
      <color theme="1"/>
      <name val="Garamond"/>
      <family val="1"/>
    </font>
    <font>
      <sz val="10"/>
      <name val="Arial"/>
      <family val="2"/>
      <charset val="238"/>
    </font>
    <font>
      <sz val="12"/>
      <color rgb="FFFF0000"/>
      <name val="Garamond"/>
      <family val="1"/>
    </font>
  </fonts>
  <fills count="22">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rgb="FFF5C99D"/>
        <bgColor indexed="64"/>
      </patternFill>
    </fill>
    <fill>
      <patternFill patternType="solid">
        <fgColor theme="0" tint="-0.249977111117893"/>
        <bgColor indexed="64"/>
      </patternFill>
    </fill>
    <fill>
      <patternFill patternType="solid">
        <fgColor rgb="FFFFFF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000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8" tint="0.59999389629810485"/>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rgb="FFFFCCFF"/>
        <bgColor indexed="64"/>
      </patternFill>
    </fill>
    <fill>
      <patternFill patternType="solid">
        <fgColor theme="7" tint="0.59999389629810485"/>
        <bgColor indexed="64"/>
      </patternFill>
    </fill>
  </fills>
  <borders count="143">
    <border>
      <left/>
      <right/>
      <top/>
      <bottom/>
      <diagonal/>
    </border>
    <border>
      <left style="medium">
        <color rgb="FF2E74B5"/>
      </left>
      <right style="medium">
        <color rgb="FF2E74B5"/>
      </right>
      <top style="medium">
        <color rgb="FF2E74B5"/>
      </top>
      <bottom style="medium">
        <color rgb="FF2E74B5"/>
      </bottom>
      <diagonal/>
    </border>
    <border>
      <left style="medium">
        <color rgb="FF2E74B5"/>
      </left>
      <right/>
      <top style="medium">
        <color rgb="FF2E74B5"/>
      </top>
      <bottom style="medium">
        <color rgb="FF2E74B5"/>
      </bottom>
      <diagonal/>
    </border>
    <border>
      <left/>
      <right/>
      <top style="medium">
        <color rgb="FF2E74B5"/>
      </top>
      <bottom style="medium">
        <color rgb="FF2E74B5"/>
      </bottom>
      <diagonal/>
    </border>
    <border>
      <left/>
      <right style="medium">
        <color rgb="FF2E74B5"/>
      </right>
      <top style="medium">
        <color rgb="FF2E74B5"/>
      </top>
      <bottom style="medium">
        <color rgb="FF2E74B5"/>
      </bottom>
      <diagonal/>
    </border>
    <border>
      <left style="medium">
        <color rgb="FF2E74B5"/>
      </left>
      <right style="medium">
        <color rgb="FF2E74B5"/>
      </right>
      <top style="medium">
        <color rgb="FF2E74B5"/>
      </top>
      <bottom/>
      <diagonal/>
    </border>
    <border>
      <left/>
      <right style="medium">
        <color rgb="FF2E74B5"/>
      </right>
      <top/>
      <bottom/>
      <diagonal/>
    </border>
    <border>
      <left style="medium">
        <color rgb="FF2E74B5"/>
      </left>
      <right style="medium">
        <color rgb="FF2E74B5"/>
      </right>
      <top/>
      <bottom style="medium">
        <color rgb="FF2E74B5"/>
      </bottom>
      <diagonal/>
    </border>
    <border>
      <left/>
      <right style="medium">
        <color rgb="FF2E74B5"/>
      </right>
      <top/>
      <bottom style="medium">
        <color rgb="FF2E74B5"/>
      </bottom>
      <diagonal/>
    </border>
    <border>
      <left style="medium">
        <color rgb="FF2E74B5"/>
      </left>
      <right style="medium">
        <color rgb="FF2E74B5"/>
      </right>
      <top/>
      <bottom/>
      <diagonal/>
    </border>
    <border>
      <left style="medium">
        <color rgb="FF2E74B5"/>
      </left>
      <right/>
      <top style="medium">
        <color rgb="FF2E74B5"/>
      </top>
      <bottom/>
      <diagonal/>
    </border>
    <border>
      <left/>
      <right/>
      <top style="medium">
        <color rgb="FF2E74B5"/>
      </top>
      <bottom/>
      <diagonal/>
    </border>
    <border>
      <left/>
      <right style="medium">
        <color rgb="FF2E74B5"/>
      </right>
      <top style="medium">
        <color rgb="FF2E74B5"/>
      </top>
      <bottom/>
      <diagonal/>
    </border>
    <border>
      <left style="medium">
        <color rgb="FF2E74B5"/>
      </left>
      <right/>
      <top/>
      <bottom/>
      <diagonal/>
    </border>
    <border>
      <left style="medium">
        <color rgb="FF2E74B5"/>
      </left>
      <right/>
      <top/>
      <bottom style="medium">
        <color rgb="FF2E74B5"/>
      </bottom>
      <diagonal/>
    </border>
    <border>
      <left/>
      <right/>
      <top/>
      <bottom style="medium">
        <color rgb="FF2E74B5"/>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2E74B5"/>
      </left>
      <right style="medium">
        <color rgb="FF2E74B5"/>
      </right>
      <top style="medium">
        <color rgb="FF2E74B5"/>
      </top>
      <bottom style="thin">
        <color indexed="64"/>
      </bottom>
      <diagonal/>
    </border>
    <border>
      <left/>
      <right style="thin">
        <color indexed="64"/>
      </right>
      <top/>
      <bottom style="medium">
        <color rgb="FF2E74B5"/>
      </bottom>
      <diagonal/>
    </border>
    <border>
      <left/>
      <right style="thin">
        <color indexed="64"/>
      </right>
      <top/>
      <bottom/>
      <diagonal/>
    </border>
    <border>
      <left/>
      <right style="thin">
        <color indexed="64"/>
      </right>
      <top style="medium">
        <color rgb="FF2E74B5"/>
      </top>
      <bottom style="medium">
        <color rgb="FF2E74B5"/>
      </bottom>
      <diagonal/>
    </border>
    <border>
      <left/>
      <right style="thin">
        <color indexed="64"/>
      </right>
      <top style="medium">
        <color rgb="FF2E74B5"/>
      </top>
      <bottom/>
      <diagonal/>
    </border>
    <border>
      <left style="thin">
        <color indexed="64"/>
      </left>
      <right/>
      <top style="thin">
        <color indexed="64"/>
      </top>
      <bottom style="thin">
        <color indexed="64"/>
      </bottom>
      <diagonal/>
    </border>
    <border>
      <left style="medium">
        <color rgb="FF2E74B5"/>
      </left>
      <right style="medium">
        <color rgb="FF2E74B5"/>
      </right>
      <top style="medium">
        <color rgb="FF2E74B5"/>
      </top>
      <bottom style="medium">
        <color theme="4"/>
      </bottom>
      <diagonal/>
    </border>
    <border>
      <left style="medium">
        <color theme="4"/>
      </left>
      <right style="medium">
        <color indexed="64"/>
      </right>
      <top style="medium">
        <color theme="4"/>
      </top>
      <bottom style="medium">
        <color theme="4"/>
      </bottom>
      <diagonal/>
    </border>
    <border>
      <left/>
      <right/>
      <top/>
      <bottom style="thin">
        <color indexed="64"/>
      </bottom>
      <diagonal/>
    </border>
    <border>
      <left/>
      <right style="medium">
        <color rgb="FF2E74B5"/>
      </right>
      <top style="medium">
        <color rgb="FF2E74B5"/>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rgb="FF2E74B5"/>
      </bottom>
      <diagonal/>
    </border>
    <border>
      <left style="medium">
        <color indexed="64"/>
      </left>
      <right style="medium">
        <color indexed="64"/>
      </right>
      <top style="medium">
        <color indexed="64"/>
      </top>
      <bottom style="medium">
        <color indexed="64"/>
      </bottom>
      <diagonal/>
    </border>
    <border>
      <left style="medium">
        <color indexed="64"/>
      </left>
      <right style="medium">
        <color rgb="FF2E74B5"/>
      </right>
      <top style="medium">
        <color indexed="64"/>
      </top>
      <bottom style="medium">
        <color indexed="64"/>
      </bottom>
      <diagonal/>
    </border>
    <border>
      <left style="medium">
        <color rgb="FF2E74B5"/>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2E74B5"/>
      </right>
      <top style="medium">
        <color indexed="64"/>
      </top>
      <bottom style="medium">
        <color indexed="64"/>
      </bottom>
      <diagonal/>
    </border>
    <border>
      <left style="medium">
        <color rgb="FF2E74B5"/>
      </left>
      <right style="medium">
        <color rgb="FF2E74B5"/>
      </right>
      <top/>
      <bottom style="medium">
        <color indexed="64"/>
      </bottom>
      <diagonal/>
    </border>
    <border>
      <left style="medium">
        <color rgb="FF2E74B5"/>
      </left>
      <right/>
      <top style="medium">
        <color rgb="FF2E74B5"/>
      </top>
      <bottom style="medium">
        <color indexed="64"/>
      </bottom>
      <diagonal/>
    </border>
    <border>
      <left/>
      <right/>
      <top style="medium">
        <color rgb="FF2E74B5"/>
      </top>
      <bottom style="medium">
        <color indexed="64"/>
      </bottom>
      <diagonal/>
    </border>
    <border>
      <left/>
      <right style="medium">
        <color rgb="FF2E74B5"/>
      </right>
      <top style="medium">
        <color rgb="FF2E74B5"/>
      </top>
      <bottom style="medium">
        <color indexed="64"/>
      </bottom>
      <diagonal/>
    </border>
    <border>
      <left style="medium">
        <color indexed="64"/>
      </left>
      <right style="medium">
        <color rgb="FF2E74B5"/>
      </right>
      <top style="medium">
        <color indexed="64"/>
      </top>
      <bottom/>
      <diagonal/>
    </border>
    <border>
      <left style="medium">
        <color indexed="64"/>
      </left>
      <right style="medium">
        <color rgb="FF2E74B5"/>
      </right>
      <top/>
      <bottom/>
      <diagonal/>
    </border>
    <border>
      <left style="medium">
        <color indexed="64"/>
      </left>
      <right style="medium">
        <color rgb="FF2E74B5"/>
      </right>
      <top/>
      <bottom style="medium">
        <color indexed="64"/>
      </bottom>
      <diagonal/>
    </border>
    <border>
      <left/>
      <right style="medium">
        <color rgb="FF2E74B5"/>
      </right>
      <top style="medium">
        <color indexed="64"/>
      </top>
      <bottom/>
      <diagonal/>
    </border>
    <border>
      <left/>
      <right style="medium">
        <color rgb="FF2E74B5"/>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rgb="FF2E74B5"/>
      </right>
      <top/>
      <bottom style="medium">
        <color rgb="FF2E74B5"/>
      </bottom>
      <diagonal/>
    </border>
    <border>
      <left/>
      <right style="medium">
        <color indexed="64"/>
      </right>
      <top/>
      <bottom style="medium">
        <color rgb="FF2E74B5"/>
      </bottom>
      <diagonal/>
    </border>
    <border>
      <left style="medium">
        <color indexed="64"/>
      </left>
      <right style="medium">
        <color rgb="FF2E74B5"/>
      </right>
      <top style="medium">
        <color rgb="FF2E74B5"/>
      </top>
      <bottom style="medium">
        <color rgb="FF2E74B5"/>
      </bottom>
      <diagonal/>
    </border>
    <border>
      <left/>
      <right style="medium">
        <color indexed="64"/>
      </right>
      <top style="medium">
        <color rgb="FF2E74B5"/>
      </top>
      <bottom style="medium">
        <color rgb="FF2E74B5"/>
      </bottom>
      <diagonal/>
    </border>
    <border>
      <left style="medium">
        <color indexed="64"/>
      </left>
      <right/>
      <top style="medium">
        <color rgb="FF2E74B5"/>
      </top>
      <bottom style="medium">
        <color rgb="FF2E74B5"/>
      </bottom>
      <diagonal/>
    </border>
    <border>
      <left style="medium">
        <color indexed="64"/>
      </left>
      <right/>
      <top style="medium">
        <color rgb="FF2E74B5"/>
      </top>
      <bottom/>
      <diagonal/>
    </border>
    <border>
      <left/>
      <right style="medium">
        <color indexed="64"/>
      </right>
      <top style="medium">
        <color rgb="FF2E74B5"/>
      </top>
      <bottom/>
      <diagonal/>
    </border>
    <border>
      <left style="medium">
        <color indexed="64"/>
      </left>
      <right/>
      <top style="medium">
        <color indexed="64"/>
      </top>
      <bottom style="medium">
        <color rgb="FF2E74B5"/>
      </bottom>
      <diagonal/>
    </border>
    <border>
      <left/>
      <right/>
      <top style="medium">
        <color indexed="64"/>
      </top>
      <bottom style="medium">
        <color rgb="FF2E74B5"/>
      </bottom>
      <diagonal/>
    </border>
    <border>
      <left/>
      <right style="medium">
        <color indexed="64"/>
      </right>
      <top style="medium">
        <color indexed="64"/>
      </top>
      <bottom style="medium">
        <color rgb="FF2E74B5"/>
      </bottom>
      <diagonal/>
    </border>
    <border>
      <left style="medium">
        <color indexed="64"/>
      </left>
      <right style="medium">
        <color rgb="FF2E74B5"/>
      </right>
      <top style="medium">
        <color rgb="FF2E74B5"/>
      </top>
      <bottom/>
      <diagonal/>
    </border>
    <border>
      <left style="medium">
        <color rgb="FF2E74B5"/>
      </left>
      <right style="medium">
        <color indexed="64"/>
      </right>
      <top/>
      <bottom style="medium">
        <color rgb="FF2E74B5"/>
      </bottom>
      <diagonal/>
    </border>
    <border>
      <left style="medium">
        <color indexed="64"/>
      </left>
      <right style="medium">
        <color indexed="64"/>
      </right>
      <top/>
      <bottom style="medium">
        <color indexed="64"/>
      </bottom>
      <diagonal/>
    </border>
    <border>
      <left style="medium">
        <color indexed="64"/>
      </left>
      <right/>
      <top/>
      <bottom style="medium">
        <color rgb="FF2E74B5"/>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rgb="FF2E74B5"/>
      </right>
      <top style="medium">
        <color indexed="64"/>
      </top>
      <bottom style="medium">
        <color rgb="FF2E74B5"/>
      </bottom>
      <diagonal/>
    </border>
    <border>
      <left/>
      <right style="medium">
        <color rgb="FF2E74B5"/>
      </right>
      <top style="medium">
        <color indexed="64"/>
      </top>
      <bottom style="medium">
        <color rgb="FF2E74B5"/>
      </bottom>
      <diagonal/>
    </border>
    <border>
      <left style="thin">
        <color indexed="64"/>
      </left>
      <right style="thin">
        <color indexed="64"/>
      </right>
      <top style="thin">
        <color indexed="64"/>
      </top>
      <bottom/>
      <diagonal/>
    </border>
    <border>
      <left style="medium">
        <color rgb="FF2E74B5"/>
      </left>
      <right/>
      <top style="medium">
        <color indexed="64"/>
      </top>
      <bottom style="medium">
        <color rgb="FF2E74B5"/>
      </bottom>
      <diagonal/>
    </border>
    <border>
      <left style="medium">
        <color rgb="FF2E74B5"/>
      </left>
      <right style="thin">
        <color indexed="64"/>
      </right>
      <top style="medium">
        <color rgb="FF2E74B5"/>
      </top>
      <bottom style="medium">
        <color rgb="FF2E74B5"/>
      </bottom>
      <diagonal/>
    </border>
    <border>
      <left/>
      <right style="medium">
        <color rgb="FF0070C0"/>
      </right>
      <top/>
      <bottom style="medium">
        <color rgb="FF0070C0"/>
      </bottom>
      <diagonal/>
    </border>
    <border>
      <left/>
      <right/>
      <top/>
      <bottom style="medium">
        <color rgb="FF0070C0"/>
      </bottom>
      <diagonal/>
    </border>
    <border>
      <left style="medium">
        <color rgb="FF2E74B5"/>
      </left>
      <right/>
      <top/>
      <bottom style="medium">
        <color rgb="FF0070C0"/>
      </bottom>
      <diagonal/>
    </border>
    <border>
      <left style="medium">
        <color rgb="FF0070C0"/>
      </left>
      <right style="medium">
        <color rgb="FF2E74B5"/>
      </right>
      <top/>
      <bottom style="medium">
        <color rgb="FF0070C0"/>
      </bottom>
      <diagonal/>
    </border>
    <border>
      <left/>
      <right style="medium">
        <color rgb="FF0070C0"/>
      </right>
      <top/>
      <bottom/>
      <diagonal/>
    </border>
    <border>
      <left style="medium">
        <color rgb="FF0070C0"/>
      </left>
      <right style="medium">
        <color rgb="FF2E74B5"/>
      </right>
      <top/>
      <bottom/>
      <diagonal/>
    </border>
    <border>
      <left/>
      <right style="medium">
        <color rgb="FF0070C0"/>
      </right>
      <top style="medium">
        <color rgb="FF2E74B5"/>
      </top>
      <bottom/>
      <diagonal/>
    </border>
    <border>
      <left style="medium">
        <color rgb="FF0070C0"/>
      </left>
      <right style="medium">
        <color rgb="FF2E74B5"/>
      </right>
      <top style="medium">
        <color rgb="FF2E74B5"/>
      </top>
      <bottom/>
      <diagonal/>
    </border>
    <border>
      <left/>
      <right style="medium">
        <color rgb="FF0070C0"/>
      </right>
      <top/>
      <bottom style="medium">
        <color rgb="FF2E74B5"/>
      </bottom>
      <diagonal/>
    </border>
    <border>
      <left style="medium">
        <color rgb="FF0070C0"/>
      </left>
      <right style="medium">
        <color rgb="FF2E74B5"/>
      </right>
      <top/>
      <bottom style="medium">
        <color rgb="FF2E74B5"/>
      </bottom>
      <diagonal/>
    </border>
    <border>
      <left/>
      <right style="medium">
        <color rgb="FF0070C0"/>
      </right>
      <top style="medium">
        <color rgb="FF2E74B5"/>
      </top>
      <bottom style="medium">
        <color rgb="FF2E74B5"/>
      </bottom>
      <diagonal/>
    </border>
    <border>
      <left style="medium">
        <color rgb="FF0070C0"/>
      </left>
      <right/>
      <top style="medium">
        <color rgb="FF2E74B5"/>
      </top>
      <bottom style="medium">
        <color rgb="FF2E74B5"/>
      </bottom>
      <diagonal/>
    </border>
    <border>
      <left style="medium">
        <color rgb="FF2E74B5"/>
      </left>
      <right style="medium">
        <color rgb="FF0070C0"/>
      </right>
      <top/>
      <bottom style="medium">
        <color rgb="FF2E74B5"/>
      </bottom>
      <diagonal/>
    </border>
    <border>
      <left style="medium">
        <color rgb="FF0070C0"/>
      </left>
      <right style="medium">
        <color rgb="FF2E74B5"/>
      </right>
      <top style="medium">
        <color rgb="FF2E74B5"/>
      </top>
      <bottom style="medium">
        <color rgb="FF0070C0"/>
      </bottom>
      <diagonal/>
    </border>
    <border>
      <left/>
      <right style="medium">
        <color rgb="FF0070C0"/>
      </right>
      <top style="medium">
        <color rgb="FF0070C0"/>
      </top>
      <bottom style="medium">
        <color rgb="FF2E74B5"/>
      </bottom>
      <diagonal/>
    </border>
    <border>
      <left/>
      <right/>
      <top style="medium">
        <color rgb="FF0070C0"/>
      </top>
      <bottom style="medium">
        <color rgb="FF2E74B5"/>
      </bottom>
      <diagonal/>
    </border>
    <border>
      <left style="medium">
        <color rgb="FF2E74B5"/>
      </left>
      <right/>
      <top style="medium">
        <color rgb="FF0070C0"/>
      </top>
      <bottom style="medium">
        <color rgb="FF2E74B5"/>
      </bottom>
      <diagonal/>
    </border>
    <border>
      <left style="medium">
        <color rgb="FF0070C0"/>
      </left>
      <right style="medium">
        <color rgb="FF2E74B5"/>
      </right>
      <top style="medium">
        <color rgb="FF0070C0"/>
      </top>
      <bottom style="medium">
        <color rgb="FF2E74B5"/>
      </bottom>
      <diagonal/>
    </border>
    <border>
      <left/>
      <right style="medium">
        <color rgb="FF2E74B5"/>
      </right>
      <top/>
      <bottom style="medium">
        <color rgb="FF0070C0"/>
      </bottom>
      <diagonal/>
    </border>
    <border>
      <left/>
      <right style="medium">
        <color rgb="FF0070C0"/>
      </right>
      <top style="medium">
        <color rgb="FF2E74B5"/>
      </top>
      <bottom style="medium">
        <color rgb="FF0070C0"/>
      </bottom>
      <diagonal/>
    </border>
    <border>
      <left/>
      <right/>
      <top style="medium">
        <color rgb="FF2E74B5"/>
      </top>
      <bottom style="medium">
        <color rgb="FF0070C0"/>
      </bottom>
      <diagonal/>
    </border>
    <border>
      <left style="medium">
        <color rgb="FF2E74B5"/>
      </left>
      <right/>
      <top style="medium">
        <color rgb="FF2E74B5"/>
      </top>
      <bottom style="medium">
        <color rgb="FF0070C0"/>
      </bottom>
      <diagonal/>
    </border>
    <border>
      <left style="medium">
        <color rgb="FF0070C0"/>
      </left>
      <right/>
      <top/>
      <bottom style="medium">
        <color rgb="FF2E74B5"/>
      </bottom>
      <diagonal/>
    </border>
    <border>
      <left/>
      <right style="medium">
        <color rgb="FF2E74B5"/>
      </right>
      <top style="medium">
        <color rgb="FF2E74B5"/>
      </top>
      <bottom style="medium">
        <color rgb="FF0070C0"/>
      </bottom>
      <diagonal/>
    </border>
    <border>
      <left style="medium">
        <color rgb="FF2E74B5"/>
      </left>
      <right style="medium">
        <color rgb="FF2E74B5"/>
      </right>
      <top style="medium">
        <color rgb="FF2E74B5"/>
      </top>
      <bottom style="medium">
        <color rgb="FF0070C0"/>
      </bottom>
      <diagonal/>
    </border>
    <border>
      <left style="medium">
        <color rgb="FF0070C0"/>
      </left>
      <right style="medium">
        <color rgb="FF2E74B5"/>
      </right>
      <top style="medium">
        <color rgb="FF2E74B5"/>
      </top>
      <bottom style="medium">
        <color rgb="FF2E74B5"/>
      </bottom>
      <diagonal/>
    </border>
    <border>
      <left style="medium">
        <color rgb="FF0070C0"/>
      </left>
      <right/>
      <top/>
      <bottom/>
      <diagonal/>
    </border>
    <border>
      <left style="medium">
        <color rgb="FF0070C0"/>
      </left>
      <right/>
      <top style="medium">
        <color rgb="FF2E74B5"/>
      </top>
      <bottom/>
      <diagonal/>
    </border>
    <border>
      <left style="medium">
        <color rgb="FF2E74B5"/>
      </left>
      <right style="medium">
        <color rgb="FF0070C0"/>
      </right>
      <top style="medium">
        <color rgb="FF0070C0"/>
      </top>
      <bottom style="medium">
        <color rgb="FF2E74B5"/>
      </bottom>
      <diagonal/>
    </border>
    <border>
      <left style="medium">
        <color rgb="FF2E74B5"/>
      </left>
      <right style="medium">
        <color rgb="FF2E74B5"/>
      </right>
      <top style="medium">
        <color rgb="FF0070C0"/>
      </top>
      <bottom style="medium">
        <color rgb="FF2E74B5"/>
      </bottom>
      <diagonal/>
    </border>
    <border>
      <left style="medium">
        <color theme="8"/>
      </left>
      <right style="medium">
        <color theme="8"/>
      </right>
      <top style="medium">
        <color theme="8"/>
      </top>
      <bottom style="medium">
        <color theme="8"/>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rgb="FF2E74B5"/>
      </left>
      <right/>
      <top style="thin">
        <color indexed="64"/>
      </top>
      <bottom style="thin">
        <color indexed="64"/>
      </bottom>
      <diagonal/>
    </border>
    <border>
      <left style="thin">
        <color indexed="64"/>
      </left>
      <right style="medium">
        <color rgb="FF2E74B5"/>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rgb="FF2E74B5"/>
      </left>
      <right/>
      <top style="medium">
        <color indexed="64"/>
      </top>
      <bottom/>
      <diagonal/>
    </border>
    <border>
      <left style="medium">
        <color indexed="64"/>
      </left>
      <right/>
      <top style="thin">
        <color indexed="64"/>
      </top>
      <bottom style="thin">
        <color indexed="64"/>
      </bottom>
      <diagonal/>
    </border>
    <border>
      <left/>
      <right style="medium">
        <color theme="8"/>
      </right>
      <top style="medium">
        <color indexed="64"/>
      </top>
      <bottom style="medium">
        <color indexed="64"/>
      </bottom>
      <diagonal/>
    </border>
    <border>
      <left/>
      <right style="medium">
        <color theme="8"/>
      </right>
      <top style="medium">
        <color rgb="FF2E74B5"/>
      </top>
      <bottom style="medium">
        <color rgb="FF2E74B5"/>
      </bottom>
      <diagonal/>
    </border>
    <border>
      <left style="medium">
        <color rgb="FF2E74B5"/>
      </left>
      <right style="medium">
        <color rgb="FF2E74B5"/>
      </right>
      <top style="medium">
        <color rgb="FF2E74B5"/>
      </top>
      <bottom style="medium">
        <color indexed="64"/>
      </bottom>
      <diagonal/>
    </border>
    <border>
      <left/>
      <right style="medium">
        <color rgb="FF2E74B5"/>
      </right>
      <top style="thin">
        <color indexed="64"/>
      </top>
      <bottom style="medium">
        <color indexed="64"/>
      </bottom>
      <diagonal/>
    </border>
    <border>
      <left style="medium">
        <color rgb="FF2E74B5"/>
      </left>
      <right style="medium">
        <color rgb="FF2E74B5"/>
      </right>
      <top style="thin">
        <color indexed="64"/>
      </top>
      <bottom style="medium">
        <color indexed="64"/>
      </bottom>
      <diagonal/>
    </border>
    <border>
      <left/>
      <right/>
      <top style="thin">
        <color indexed="64"/>
      </top>
      <bottom style="medium">
        <color rgb="FF2E74B5"/>
      </bottom>
      <diagonal/>
    </border>
    <border>
      <left style="medium">
        <color rgb="FF2E74B5"/>
      </left>
      <right/>
      <top style="thin">
        <color indexed="64"/>
      </top>
      <bottom style="medium">
        <color rgb="FF2E74B5"/>
      </bottom>
      <diagonal/>
    </border>
    <border>
      <left style="thin">
        <color indexed="64"/>
      </left>
      <right style="medium">
        <color rgb="FF2E74B5"/>
      </right>
      <top/>
      <bottom style="medium">
        <color rgb="FF2E74B5"/>
      </bottom>
      <diagonal/>
    </border>
    <border>
      <left style="thin">
        <color indexed="64"/>
      </left>
      <right style="medium">
        <color rgb="FF2E74B5"/>
      </right>
      <top style="medium">
        <color rgb="FF2E74B5"/>
      </top>
      <bottom style="medium">
        <color rgb="FF2E74B5"/>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4">
    <xf numFmtId="0" fontId="0" fillId="0" borderId="0"/>
    <xf numFmtId="9" fontId="1" fillId="0" borderId="0" applyFont="0" applyFill="0" applyBorder="0" applyAlignment="0" applyProtection="0"/>
    <xf numFmtId="0" fontId="23" fillId="0" borderId="0"/>
    <xf numFmtId="43"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0" fontId="30" fillId="0" borderId="0"/>
    <xf numFmtId="43" fontId="1" fillId="0" borderId="0" applyFont="0" applyFill="0" applyBorder="0" applyAlignment="0" applyProtection="0"/>
    <xf numFmtId="0" fontId="30"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4" fontId="30" fillId="0" borderId="0" applyFont="0" applyFill="0" applyBorder="0" applyAlignment="0" applyProtection="0"/>
    <xf numFmtId="3" fontId="30" fillId="0" borderId="0" applyFill="0" applyBorder="0" applyAlignment="0" applyProtection="0"/>
    <xf numFmtId="5" fontId="30" fillId="0" borderId="0" applyFill="0" applyBorder="0" applyAlignment="0" applyProtection="0"/>
    <xf numFmtId="171" fontId="30" fillId="0" borderId="0" applyFill="0" applyBorder="0" applyAlignment="0" applyProtection="0"/>
    <xf numFmtId="2" fontId="30" fillId="0" borderId="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112" fillId="0" borderId="0">
      <alignment vertical="top"/>
    </xf>
    <xf numFmtId="10" fontId="30" fillId="0" borderId="0" applyFill="0" applyBorder="0" applyAlignment="0" applyProtection="0"/>
    <xf numFmtId="0" fontId="133" fillId="0" borderId="0"/>
  </cellStyleXfs>
  <cellXfs count="2624">
    <xf numFmtId="0" fontId="0" fillId="0" borderId="0" xfId="0"/>
    <xf numFmtId="0" fontId="2" fillId="0" borderId="0" xfId="0" applyFont="1" applyAlignment="1"/>
    <xf numFmtId="0" fontId="4" fillId="3" borderId="1" xfId="0" applyFont="1" applyFill="1" applyBorder="1" applyAlignment="1">
      <alignment horizontal="left" vertical="center" wrapText="1"/>
    </xf>
    <xf numFmtId="0" fontId="4" fillId="4" borderId="1" xfId="0" applyFont="1" applyFill="1" applyBorder="1" applyAlignment="1">
      <alignment vertical="center" wrapText="1"/>
    </xf>
    <xf numFmtId="9" fontId="7" fillId="3" borderId="8" xfId="0" applyNumberFormat="1" applyFont="1" applyFill="1" applyBorder="1" applyAlignment="1">
      <alignment horizontal="center" vertical="center"/>
    </xf>
    <xf numFmtId="0" fontId="7" fillId="3" borderId="7" xfId="0" applyFont="1" applyFill="1" applyBorder="1" applyAlignment="1">
      <alignment horizontal="left" vertical="center" wrapText="1"/>
    </xf>
    <xf numFmtId="0" fontId="8" fillId="4" borderId="7" xfId="0" applyFont="1" applyFill="1" applyBorder="1" applyAlignment="1">
      <alignment vertical="center" wrapText="1"/>
    </xf>
    <xf numFmtId="0" fontId="10" fillId="4" borderId="7" xfId="0" applyFont="1" applyFill="1" applyBorder="1" applyAlignment="1">
      <alignment horizontal="left" vertical="center" wrapText="1"/>
    </xf>
    <xf numFmtId="0" fontId="9" fillId="3" borderId="6" xfId="0" applyFont="1" applyFill="1" applyBorder="1" applyAlignment="1">
      <alignment horizontal="center" vertical="center" wrapText="1"/>
    </xf>
    <xf numFmtId="0" fontId="9" fillId="3" borderId="8" xfId="0" applyFont="1" applyFill="1" applyBorder="1" applyAlignment="1">
      <alignment horizontal="center" vertical="center" wrapText="1"/>
    </xf>
    <xf numFmtId="3" fontId="7" fillId="3" borderId="7" xfId="0" applyNumberFormat="1" applyFont="1" applyFill="1" applyBorder="1" applyAlignment="1">
      <alignment horizontal="center" vertical="center" wrapText="1"/>
    </xf>
    <xf numFmtId="165" fontId="7" fillId="3" borderId="8" xfId="0" applyNumberFormat="1" applyFont="1" applyFill="1" applyBorder="1" applyAlignment="1">
      <alignment horizontal="center" vertical="center"/>
    </xf>
    <xf numFmtId="3" fontId="0" fillId="0" borderId="0" xfId="0" applyNumberFormat="1"/>
    <xf numFmtId="0" fontId="6" fillId="0" borderId="7" xfId="0" applyFont="1" applyBorder="1" applyAlignment="1">
      <alignment horizontal="left" vertical="center" wrapText="1" indent="1"/>
    </xf>
    <xf numFmtId="3" fontId="7" fillId="0" borderId="8" xfId="0" applyNumberFormat="1" applyFont="1" applyBorder="1" applyAlignment="1">
      <alignment horizontal="center" vertical="center"/>
    </xf>
    <xf numFmtId="3" fontId="12" fillId="0" borderId="8" xfId="0" applyNumberFormat="1" applyFont="1" applyBorder="1" applyAlignment="1">
      <alignment horizontal="center" vertical="center"/>
    </xf>
    <xf numFmtId="0" fontId="13" fillId="0" borderId="9" xfId="0" applyFont="1" applyBorder="1" applyAlignment="1">
      <alignment horizontal="left" vertical="center" wrapText="1" indent="1"/>
    </xf>
    <xf numFmtId="0" fontId="14" fillId="2" borderId="7" xfId="0" applyFont="1" applyFill="1" applyBorder="1" applyAlignment="1">
      <alignment vertical="center" wrapText="1"/>
    </xf>
    <xf numFmtId="3" fontId="9" fillId="2" borderId="8" xfId="0" applyNumberFormat="1" applyFont="1" applyFill="1" applyBorder="1" applyAlignment="1">
      <alignment horizontal="center" vertical="center"/>
    </xf>
    <xf numFmtId="0" fontId="18" fillId="0" borderId="0" xfId="0" applyFont="1" applyBorder="1" applyAlignment="1">
      <alignment horizontal="center" vertical="center" wrapText="1"/>
    </xf>
    <xf numFmtId="0" fontId="7" fillId="4" borderId="7" xfId="0" applyFont="1" applyFill="1" applyBorder="1" applyAlignment="1">
      <alignment horizontal="left" vertical="center" wrapText="1"/>
    </xf>
    <xf numFmtId="0" fontId="8" fillId="4" borderId="1" xfId="0" applyFont="1" applyFill="1" applyBorder="1" applyAlignment="1">
      <alignment vertical="center" wrapText="1"/>
    </xf>
    <xf numFmtId="0" fontId="14" fillId="5" borderId="7" xfId="0" applyFont="1" applyFill="1" applyBorder="1" applyAlignment="1">
      <alignment vertical="center" wrapText="1"/>
    </xf>
    <xf numFmtId="3" fontId="9" fillId="5" borderId="8" xfId="0" applyNumberFormat="1" applyFont="1" applyFill="1" applyBorder="1" applyAlignment="1">
      <alignment horizontal="center" vertical="center"/>
    </xf>
    <xf numFmtId="3" fontId="9" fillId="4" borderId="8" xfId="0" applyNumberFormat="1" applyFont="1" applyFill="1" applyBorder="1" applyAlignment="1">
      <alignment horizontal="center" vertical="center"/>
    </xf>
    <xf numFmtId="0" fontId="16" fillId="3" borderId="7" xfId="0" applyFont="1" applyFill="1" applyBorder="1" applyAlignment="1">
      <alignment vertical="center" wrapText="1"/>
    </xf>
    <xf numFmtId="3" fontId="17" fillId="3" borderId="8" xfId="0" applyNumberFormat="1" applyFont="1" applyFill="1" applyBorder="1" applyAlignment="1">
      <alignment horizontal="center" vertical="center"/>
    </xf>
    <xf numFmtId="165" fontId="17" fillId="0" borderId="8" xfId="0" applyNumberFormat="1" applyFont="1" applyBorder="1" applyAlignment="1">
      <alignment horizontal="center" vertical="center"/>
    </xf>
    <xf numFmtId="0" fontId="11" fillId="0" borderId="7" xfId="0" applyFont="1" applyBorder="1" applyAlignment="1">
      <alignment horizontal="left" vertical="center" wrapText="1" indent="1"/>
    </xf>
    <xf numFmtId="165" fontId="12" fillId="0" borderId="8" xfId="0" applyNumberFormat="1" applyFont="1" applyBorder="1" applyAlignment="1">
      <alignment horizontal="center" vertical="center"/>
    </xf>
    <xf numFmtId="0" fontId="8" fillId="0" borderId="7" xfId="0" applyFont="1" applyBorder="1" applyAlignment="1">
      <alignment horizontal="left" vertical="center" wrapText="1" indent="1"/>
    </xf>
    <xf numFmtId="0" fontId="8" fillId="0" borderId="0" xfId="0" applyFont="1" applyBorder="1" applyAlignment="1">
      <alignment horizontal="left" vertical="center" wrapText="1" indent="1"/>
    </xf>
    <xf numFmtId="3" fontId="7" fillId="0" borderId="0" xfId="0" applyNumberFormat="1" applyFont="1" applyBorder="1" applyAlignment="1">
      <alignment horizontal="center" vertical="center"/>
    </xf>
    <xf numFmtId="0" fontId="18" fillId="0" borderId="0" xfId="0" applyFont="1" applyBorder="1"/>
    <xf numFmtId="0" fontId="8" fillId="0" borderId="0" xfId="0" applyFont="1"/>
    <xf numFmtId="4" fontId="0" fillId="0" borderId="0" xfId="0" applyNumberFormat="1"/>
    <xf numFmtId="0" fontId="24" fillId="3" borderId="1" xfId="0" applyFont="1" applyFill="1" applyBorder="1" applyAlignment="1">
      <alignment horizontal="left" vertical="center" wrapText="1"/>
    </xf>
    <xf numFmtId="0" fontId="24" fillId="4" borderId="1" xfId="0" applyFont="1" applyFill="1" applyBorder="1" applyAlignment="1">
      <alignment vertical="center" wrapText="1"/>
    </xf>
    <xf numFmtId="0" fontId="26" fillId="3" borderId="6" xfId="0" applyFont="1" applyFill="1" applyBorder="1" applyAlignment="1">
      <alignment horizontal="center" vertical="center" wrapText="1"/>
    </xf>
    <xf numFmtId="0" fontId="26" fillId="3" borderId="8" xfId="0" applyFont="1" applyFill="1" applyBorder="1" applyAlignment="1">
      <alignment horizontal="center" vertical="center" wrapText="1"/>
    </xf>
    <xf numFmtId="9" fontId="26" fillId="3" borderId="8" xfId="0" applyNumberFormat="1" applyFont="1" applyFill="1" applyBorder="1" applyAlignment="1">
      <alignment horizontal="center" vertical="center"/>
    </xf>
    <xf numFmtId="0" fontId="24" fillId="4" borderId="7" xfId="0" applyFont="1" applyFill="1" applyBorder="1" applyAlignment="1">
      <alignment vertical="center" wrapText="1"/>
    </xf>
    <xf numFmtId="0" fontId="25" fillId="4" borderId="7" xfId="0" applyFont="1" applyFill="1" applyBorder="1" applyAlignment="1">
      <alignment horizontal="left" vertical="center" wrapText="1"/>
    </xf>
    <xf numFmtId="0" fontId="24" fillId="3" borderId="6" xfId="0" applyFont="1" applyFill="1" applyBorder="1" applyAlignment="1">
      <alignment horizontal="center" vertical="center" wrapText="1"/>
    </xf>
    <xf numFmtId="0" fontId="24" fillId="3" borderId="8" xfId="0" applyFont="1" applyFill="1" applyBorder="1" applyAlignment="1">
      <alignment horizontal="center" vertical="center" wrapText="1"/>
    </xf>
    <xf numFmtId="0" fontId="25" fillId="2" borderId="7" xfId="0" applyFont="1" applyFill="1" applyBorder="1" applyAlignment="1">
      <alignment vertical="center" wrapText="1"/>
    </xf>
    <xf numFmtId="3" fontId="24" fillId="2" borderId="8" xfId="0" applyNumberFormat="1" applyFont="1" applyFill="1" applyBorder="1" applyAlignment="1">
      <alignment horizontal="center" vertical="center"/>
    </xf>
    <xf numFmtId="3" fontId="26" fillId="3" borderId="7" xfId="0" applyNumberFormat="1" applyFont="1" applyFill="1" applyBorder="1" applyAlignment="1">
      <alignment horizontal="center" vertical="center" wrapText="1"/>
    </xf>
    <xf numFmtId="165" fontId="26" fillId="3" borderId="8" xfId="0" applyNumberFormat="1" applyFont="1" applyFill="1" applyBorder="1" applyAlignment="1">
      <alignment horizontal="center" vertical="center"/>
    </xf>
    <xf numFmtId="0" fontId="26" fillId="0" borderId="7" xfId="0" applyFont="1" applyBorder="1" applyAlignment="1">
      <alignment horizontal="left" vertical="center" wrapText="1" indent="1"/>
    </xf>
    <xf numFmtId="3" fontId="26" fillId="0" borderId="8" xfId="0" applyNumberFormat="1" applyFont="1" applyBorder="1" applyAlignment="1">
      <alignment horizontal="center" vertical="center"/>
    </xf>
    <xf numFmtId="0" fontId="29" fillId="0" borderId="9" xfId="0" applyFont="1" applyBorder="1" applyAlignment="1">
      <alignment horizontal="left" vertical="center" wrapText="1" indent="1"/>
    </xf>
    <xf numFmtId="3" fontId="28" fillId="0" borderId="8" xfId="0" applyNumberFormat="1" applyFont="1" applyBorder="1" applyAlignment="1">
      <alignment horizontal="center" vertical="center"/>
    </xf>
    <xf numFmtId="3" fontId="24" fillId="4" borderId="8" xfId="0" applyNumberFormat="1" applyFont="1" applyFill="1" applyBorder="1" applyAlignment="1">
      <alignment horizontal="center" vertical="center"/>
    </xf>
    <xf numFmtId="0" fontId="27" fillId="3" borderId="7" xfId="0" applyFont="1" applyFill="1" applyBorder="1" applyAlignment="1">
      <alignment vertical="center" wrapText="1"/>
    </xf>
    <xf numFmtId="3" fontId="27" fillId="3" borderId="8" xfId="0" applyNumberFormat="1" applyFont="1" applyFill="1" applyBorder="1" applyAlignment="1">
      <alignment horizontal="center" vertical="center"/>
    </xf>
    <xf numFmtId="165" fontId="27" fillId="0" borderId="8" xfId="0" applyNumberFormat="1" applyFont="1" applyBorder="1" applyAlignment="1">
      <alignment horizontal="center" vertical="center"/>
    </xf>
    <xf numFmtId="0" fontId="28" fillId="0" borderId="7" xfId="0" applyFont="1" applyBorder="1" applyAlignment="1">
      <alignment horizontal="left" vertical="center" wrapText="1" indent="1"/>
    </xf>
    <xf numFmtId="165" fontId="28" fillId="0" borderId="8" xfId="0" applyNumberFormat="1" applyFont="1" applyBorder="1" applyAlignment="1">
      <alignment horizontal="center" vertical="center"/>
    </xf>
    <xf numFmtId="0" fontId="24" fillId="0" borderId="7" xfId="0" applyFont="1" applyBorder="1" applyAlignment="1">
      <alignment horizontal="left" vertical="center" wrapText="1" indent="1"/>
    </xf>
    <xf numFmtId="3" fontId="7" fillId="3" borderId="8" xfId="0" applyNumberFormat="1" applyFont="1" applyFill="1" applyBorder="1" applyAlignment="1">
      <alignment horizontal="center" vertical="center"/>
    </xf>
    <xf numFmtId="0" fontId="31" fillId="3" borderId="7" xfId="0" applyFont="1" applyFill="1" applyBorder="1" applyAlignment="1">
      <alignment horizontal="left" vertical="center" wrapText="1"/>
    </xf>
    <xf numFmtId="0" fontId="32" fillId="3" borderId="6" xfId="0" applyFont="1" applyFill="1" applyBorder="1" applyAlignment="1">
      <alignment horizontal="center" vertical="center" wrapText="1"/>
    </xf>
    <xf numFmtId="0" fontId="32" fillId="3" borderId="8" xfId="0" applyFont="1" applyFill="1" applyBorder="1" applyAlignment="1">
      <alignment horizontal="center" vertical="center" wrapText="1"/>
    </xf>
    <xf numFmtId="0" fontId="31" fillId="0" borderId="7" xfId="0" applyFont="1" applyBorder="1" applyAlignment="1">
      <alignment horizontal="left" vertical="center" wrapText="1" indent="1"/>
    </xf>
    <xf numFmtId="0" fontId="33" fillId="0" borderId="9" xfId="0" applyFont="1" applyBorder="1" applyAlignment="1">
      <alignment horizontal="left" vertical="center" wrapText="1" indent="1"/>
    </xf>
    <xf numFmtId="0" fontId="7" fillId="3" borderId="6"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26" fillId="0" borderId="35" xfId="0" applyFont="1" applyBorder="1" applyAlignment="1">
      <alignment horizontal="left" vertical="center" wrapText="1" indent="1"/>
    </xf>
    <xf numFmtId="0" fontId="28" fillId="0" borderId="36" xfId="0" applyFont="1" applyBorder="1" applyAlignment="1">
      <alignment horizontal="left" vertical="center" wrapText="1" indent="1"/>
    </xf>
    <xf numFmtId="169" fontId="0" fillId="0" borderId="0" xfId="5" applyNumberFormat="1" applyFont="1"/>
    <xf numFmtId="0" fontId="31" fillId="0" borderId="0" xfId="0" applyFont="1"/>
    <xf numFmtId="3" fontId="38" fillId="0" borderId="8" xfId="0" applyNumberFormat="1" applyFont="1" applyBorder="1" applyAlignment="1">
      <alignment horizontal="center" vertical="center"/>
    </xf>
    <xf numFmtId="0" fontId="39" fillId="0" borderId="7" xfId="0" applyFont="1" applyBorder="1" applyAlignment="1">
      <alignment horizontal="left" vertical="center" wrapText="1" indent="1"/>
    </xf>
    <xf numFmtId="3" fontId="39" fillId="2" borderId="8" xfId="0" applyNumberFormat="1" applyFont="1" applyFill="1" applyBorder="1" applyAlignment="1">
      <alignment horizontal="center" vertical="center"/>
    </xf>
    <xf numFmtId="0" fontId="40" fillId="2" borderId="7" xfId="0" applyFont="1" applyFill="1" applyBorder="1" applyAlignment="1">
      <alignment vertical="center" wrapText="1"/>
    </xf>
    <xf numFmtId="165" fontId="41" fillId="0" borderId="8" xfId="0" applyNumberFormat="1" applyFont="1" applyBorder="1" applyAlignment="1">
      <alignment horizontal="center" vertical="center"/>
    </xf>
    <xf numFmtId="3" fontId="41" fillId="0" borderId="8" xfId="0" applyNumberFormat="1" applyFont="1" applyBorder="1" applyAlignment="1">
      <alignment horizontal="center" vertical="center"/>
    </xf>
    <xf numFmtId="0" fontId="41" fillId="0" borderId="7" xfId="0" applyFont="1" applyBorder="1" applyAlignment="1">
      <alignment horizontal="left" vertical="center" wrapText="1" indent="1"/>
    </xf>
    <xf numFmtId="0" fontId="38" fillId="0" borderId="7" xfId="0" applyFont="1" applyBorder="1" applyAlignment="1">
      <alignment horizontal="left" vertical="center" wrapText="1" indent="1"/>
    </xf>
    <xf numFmtId="165" fontId="42" fillId="0" borderId="8" xfId="0" applyNumberFormat="1" applyFont="1" applyBorder="1" applyAlignment="1">
      <alignment horizontal="center" vertical="center"/>
    </xf>
    <xf numFmtId="3" fontId="42" fillId="3" borderId="8" xfId="0" applyNumberFormat="1" applyFont="1" applyFill="1" applyBorder="1" applyAlignment="1">
      <alignment horizontal="center" vertical="center"/>
    </xf>
    <xf numFmtId="0" fontId="42" fillId="3" borderId="7" xfId="0" applyFont="1" applyFill="1" applyBorder="1" applyAlignment="1">
      <alignment vertical="center" wrapText="1"/>
    </xf>
    <xf numFmtId="3" fontId="39" fillId="4" borderId="8" xfId="0" applyNumberFormat="1" applyFont="1" applyFill="1" applyBorder="1" applyAlignment="1">
      <alignment horizontal="center" vertical="center"/>
    </xf>
    <xf numFmtId="0" fontId="39" fillId="4" borderId="7" xfId="0" applyFont="1" applyFill="1" applyBorder="1" applyAlignment="1">
      <alignment vertical="center" wrapText="1"/>
    </xf>
    <xf numFmtId="3" fontId="39" fillId="5" borderId="8" xfId="0" applyNumberFormat="1" applyFont="1" applyFill="1" applyBorder="1" applyAlignment="1">
      <alignment horizontal="center" vertical="center"/>
    </xf>
    <xf numFmtId="0" fontId="40" fillId="5" borderId="7" xfId="0" applyFont="1" applyFill="1" applyBorder="1" applyAlignment="1">
      <alignment vertical="center" wrapText="1"/>
    </xf>
    <xf numFmtId="3" fontId="39" fillId="0" borderId="8" xfId="0" applyNumberFormat="1" applyFont="1" applyBorder="1" applyAlignment="1">
      <alignment horizontal="center" vertical="center"/>
    </xf>
    <xf numFmtId="0" fontId="39" fillId="0" borderId="9" xfId="0" applyFont="1" applyBorder="1" applyAlignment="1">
      <alignment horizontal="left" vertical="center" wrapText="1" indent="1"/>
    </xf>
    <xf numFmtId="3" fontId="38" fillId="3" borderId="8" xfId="0" applyNumberFormat="1" applyFont="1" applyFill="1" applyBorder="1" applyAlignment="1">
      <alignment horizontal="center" vertical="center"/>
    </xf>
    <xf numFmtId="0" fontId="39" fillId="3" borderId="8" xfId="0" applyFont="1" applyFill="1" applyBorder="1" applyAlignment="1">
      <alignment horizontal="center" vertical="center" wrapText="1"/>
    </xf>
    <xf numFmtId="0" fontId="39" fillId="3" borderId="6" xfId="0" applyFont="1" applyFill="1" applyBorder="1" applyAlignment="1">
      <alignment horizontal="center" vertical="center" wrapText="1"/>
    </xf>
    <xf numFmtId="165" fontId="38" fillId="3" borderId="8" xfId="0" applyNumberFormat="1" applyFont="1" applyFill="1" applyBorder="1" applyAlignment="1">
      <alignment horizontal="center" vertical="center"/>
    </xf>
    <xf numFmtId="0" fontId="38" fillId="3" borderId="7" xfId="0" applyFont="1" applyFill="1" applyBorder="1" applyAlignment="1">
      <alignment horizontal="left" vertical="center" wrapText="1"/>
    </xf>
    <xf numFmtId="3" fontId="38" fillId="3" borderId="7" xfId="0" applyNumberFormat="1" applyFont="1" applyFill="1" applyBorder="1" applyAlignment="1">
      <alignment horizontal="center" vertical="center" wrapText="1"/>
    </xf>
    <xf numFmtId="0" fontId="40" fillId="4" borderId="7" xfId="0" applyFont="1" applyFill="1" applyBorder="1" applyAlignment="1">
      <alignment horizontal="left" vertical="center" wrapText="1"/>
    </xf>
    <xf numFmtId="9" fontId="38" fillId="3" borderId="8" xfId="0" applyNumberFormat="1" applyFont="1" applyFill="1" applyBorder="1" applyAlignment="1">
      <alignment horizontal="center" vertical="center"/>
    </xf>
    <xf numFmtId="0" fontId="39" fillId="5" borderId="7" xfId="0" applyFont="1" applyFill="1" applyBorder="1" applyAlignment="1">
      <alignment vertical="center" wrapText="1"/>
    </xf>
    <xf numFmtId="0" fontId="44" fillId="0" borderId="9" xfId="0" applyFont="1" applyBorder="1" applyAlignment="1">
      <alignment horizontal="left" vertical="center" wrapText="1" indent="1"/>
    </xf>
    <xf numFmtId="0" fontId="38" fillId="4" borderId="7" xfId="0" applyFont="1" applyFill="1" applyBorder="1" applyAlignment="1">
      <alignment horizontal="left" vertical="center" wrapText="1"/>
    </xf>
    <xf numFmtId="3" fontId="42" fillId="0" borderId="8" xfId="0" applyNumberFormat="1" applyFont="1" applyBorder="1" applyAlignment="1">
      <alignment horizontal="center" vertical="center"/>
    </xf>
    <xf numFmtId="0" fontId="40" fillId="4" borderId="7" xfId="0" applyFont="1" applyFill="1" applyBorder="1" applyAlignment="1">
      <alignment vertical="center" wrapText="1"/>
    </xf>
    <xf numFmtId="9" fontId="41" fillId="0" borderId="8" xfId="1" applyFont="1" applyBorder="1" applyAlignment="1">
      <alignment horizontal="center" vertical="center"/>
    </xf>
    <xf numFmtId="0" fontId="38" fillId="3" borderId="6" xfId="0" applyFont="1" applyFill="1" applyBorder="1" applyAlignment="1">
      <alignment horizontal="center" vertical="center" wrapText="1"/>
    </xf>
    <xf numFmtId="0" fontId="39" fillId="4" borderId="1" xfId="0" applyFont="1" applyFill="1" applyBorder="1" applyAlignment="1">
      <alignment vertical="center" wrapText="1"/>
    </xf>
    <xf numFmtId="0" fontId="39" fillId="3" borderId="1" xfId="0" applyFont="1" applyFill="1" applyBorder="1" applyAlignment="1">
      <alignment horizontal="left" vertical="center" wrapText="1"/>
    </xf>
    <xf numFmtId="0" fontId="23" fillId="0" borderId="0" xfId="0" applyFont="1"/>
    <xf numFmtId="9" fontId="26" fillId="3" borderId="7" xfId="1" applyFont="1" applyFill="1" applyBorder="1" applyAlignment="1">
      <alignment horizontal="center" vertical="center" wrapText="1"/>
    </xf>
    <xf numFmtId="4" fontId="23" fillId="0" borderId="0" xfId="0" applyNumberFormat="1" applyFont="1"/>
    <xf numFmtId="3" fontId="23" fillId="0" borderId="0" xfId="0" applyNumberFormat="1" applyFont="1"/>
    <xf numFmtId="0" fontId="26" fillId="4" borderId="7" xfId="0" applyFont="1" applyFill="1" applyBorder="1" applyAlignment="1">
      <alignment horizontal="left" vertical="center" wrapText="1"/>
    </xf>
    <xf numFmtId="0" fontId="26" fillId="3" borderId="8" xfId="0" applyNumberFormat="1" applyFont="1" applyFill="1" applyBorder="1" applyAlignment="1">
      <alignment horizontal="center" vertical="center"/>
    </xf>
    <xf numFmtId="0" fontId="24" fillId="0" borderId="9" xfId="0" applyFont="1" applyBorder="1" applyAlignment="1">
      <alignment horizontal="left" vertical="center" wrapText="1" indent="1"/>
    </xf>
    <xf numFmtId="3" fontId="24" fillId="0" borderId="8" xfId="0" applyNumberFormat="1" applyFont="1" applyBorder="1" applyAlignment="1">
      <alignment horizontal="center" vertical="center"/>
    </xf>
    <xf numFmtId="0" fontId="25" fillId="0" borderId="7" xfId="0" applyFont="1" applyBorder="1" applyAlignment="1">
      <alignment horizontal="left" vertical="center" wrapText="1" indent="1"/>
    </xf>
    <xf numFmtId="0" fontId="25" fillId="2" borderId="14" xfId="0" applyFont="1" applyFill="1" applyBorder="1" applyAlignment="1">
      <alignment vertical="center" wrapText="1"/>
    </xf>
    <xf numFmtId="3" fontId="24" fillId="2" borderId="15" xfId="0" applyNumberFormat="1" applyFont="1" applyFill="1" applyBorder="1" applyAlignment="1">
      <alignment horizontal="center" vertical="center"/>
    </xf>
    <xf numFmtId="0" fontId="25" fillId="5" borderId="7" xfId="0" applyFont="1" applyFill="1" applyBorder="1" applyAlignment="1">
      <alignment vertical="center" wrapText="1"/>
    </xf>
    <xf numFmtId="3" fontId="24" fillId="5" borderId="8" xfId="0" applyNumberFormat="1" applyFont="1" applyFill="1" applyBorder="1" applyAlignment="1">
      <alignment horizontal="center" vertical="center"/>
    </xf>
    <xf numFmtId="0" fontId="0" fillId="0" borderId="0" xfId="0" applyFont="1"/>
    <xf numFmtId="0" fontId="32" fillId="3" borderId="1" xfId="0" applyFont="1" applyFill="1" applyBorder="1" applyAlignment="1">
      <alignment horizontal="left" vertical="center" wrapText="1"/>
    </xf>
    <xf numFmtId="0" fontId="32" fillId="4" borderId="7" xfId="0" applyFont="1" applyFill="1" applyBorder="1" applyAlignment="1">
      <alignment vertical="center" wrapText="1"/>
    </xf>
    <xf numFmtId="3" fontId="50" fillId="3" borderId="7" xfId="0" applyNumberFormat="1" applyFont="1" applyFill="1" applyBorder="1" applyAlignment="1">
      <alignment horizontal="center" vertical="center" wrapText="1"/>
    </xf>
    <xf numFmtId="0" fontId="40" fillId="0" borderId="9" xfId="0" applyFont="1" applyBorder="1" applyAlignment="1">
      <alignment horizontal="left" vertical="center" wrapText="1" indent="1"/>
    </xf>
    <xf numFmtId="0" fontId="40" fillId="3" borderId="14" xfId="0" applyFont="1" applyFill="1" applyBorder="1" applyAlignment="1">
      <alignment vertical="center" wrapText="1"/>
    </xf>
    <xf numFmtId="3" fontId="39" fillId="3" borderId="15" xfId="0" applyNumberFormat="1" applyFont="1" applyFill="1" applyBorder="1" applyAlignment="1">
      <alignment horizontal="center" vertical="center"/>
    </xf>
    <xf numFmtId="3" fontId="39" fillId="3" borderId="8" xfId="0" applyNumberFormat="1" applyFont="1" applyFill="1" applyBorder="1" applyAlignment="1">
      <alignment horizontal="center" vertical="center"/>
    </xf>
    <xf numFmtId="0" fontId="38" fillId="4" borderId="1" xfId="0" applyFont="1" applyFill="1" applyBorder="1" applyAlignment="1">
      <alignment horizontal="left" vertical="center" wrapText="1"/>
    </xf>
    <xf numFmtId="9" fontId="50" fillId="3" borderId="8" xfId="0" applyNumberFormat="1" applyFont="1" applyFill="1" applyBorder="1" applyAlignment="1">
      <alignment horizontal="center" vertical="center"/>
    </xf>
    <xf numFmtId="165" fontId="50" fillId="3" borderId="8" xfId="0" applyNumberFormat="1" applyFont="1" applyFill="1" applyBorder="1" applyAlignment="1">
      <alignment horizontal="center" vertical="center"/>
    </xf>
    <xf numFmtId="0" fontId="31" fillId="0" borderId="58" xfId="0" applyFont="1" applyBorder="1"/>
    <xf numFmtId="0" fontId="31" fillId="0" borderId="46" xfId="0" applyFont="1" applyBorder="1"/>
    <xf numFmtId="0" fontId="31" fillId="0" borderId="47" xfId="0" applyFont="1" applyBorder="1"/>
    <xf numFmtId="0" fontId="53" fillId="0" borderId="0" xfId="0" applyFont="1"/>
    <xf numFmtId="0" fontId="7" fillId="3" borderId="14" xfId="0" applyFont="1" applyFill="1" applyBorder="1" applyAlignment="1">
      <alignment vertical="center" wrapText="1"/>
    </xf>
    <xf numFmtId="0" fontId="14" fillId="0" borderId="9" xfId="0" applyFont="1" applyBorder="1" applyAlignment="1">
      <alignment horizontal="left" vertical="center" wrapText="1" indent="1"/>
    </xf>
    <xf numFmtId="0" fontId="7" fillId="4" borderId="1" xfId="0" applyFont="1" applyFill="1" applyBorder="1" applyAlignment="1">
      <alignment horizontal="left" vertical="center" wrapText="1"/>
    </xf>
    <xf numFmtId="0" fontId="8" fillId="0" borderId="9" xfId="0" applyFont="1" applyBorder="1" applyAlignment="1">
      <alignment horizontal="left" vertical="center" wrapText="1" indent="1"/>
    </xf>
    <xf numFmtId="3" fontId="9" fillId="0" borderId="8" xfId="0" applyNumberFormat="1" applyFont="1" applyBorder="1" applyAlignment="1">
      <alignment horizontal="center" vertical="center"/>
    </xf>
    <xf numFmtId="0" fontId="7" fillId="4" borderId="7" xfId="0" applyFont="1" applyFill="1" applyBorder="1" applyAlignment="1">
      <alignment vertical="center" wrapText="1"/>
    </xf>
    <xf numFmtId="3" fontId="17" fillId="0" borderId="8" xfId="0" applyNumberFormat="1" applyFont="1" applyBorder="1" applyAlignment="1">
      <alignment horizontal="center" vertical="center"/>
    </xf>
    <xf numFmtId="9" fontId="12" fillId="0" borderId="8" xfId="1" applyFont="1" applyBorder="1" applyAlignment="1">
      <alignment horizontal="center" vertical="center"/>
    </xf>
    <xf numFmtId="9" fontId="7" fillId="0" borderId="8" xfId="1" applyFont="1" applyBorder="1" applyAlignment="1">
      <alignment horizontal="center" vertical="center"/>
    </xf>
    <xf numFmtId="3" fontId="7" fillId="0" borderId="7" xfId="0" applyNumberFormat="1" applyFont="1" applyFill="1" applyBorder="1" applyAlignment="1">
      <alignment horizontal="center" vertical="center" wrapText="1"/>
    </xf>
    <xf numFmtId="3" fontId="12" fillId="0" borderId="8" xfId="0" applyNumberFormat="1" applyFont="1" applyFill="1" applyBorder="1" applyAlignment="1">
      <alignment horizontal="center" vertical="center"/>
    </xf>
    <xf numFmtId="3" fontId="7" fillId="0" borderId="8" xfId="0" applyNumberFormat="1" applyFont="1" applyFill="1" applyBorder="1" applyAlignment="1">
      <alignment horizontal="center" vertical="center"/>
    </xf>
    <xf numFmtId="0" fontId="2" fillId="0" borderId="0" xfId="0" applyFont="1" applyAlignment="1">
      <alignment horizontal="center"/>
    </xf>
    <xf numFmtId="0" fontId="38" fillId="3" borderId="7" xfId="0" applyFont="1" applyFill="1" applyBorder="1" applyAlignment="1">
      <alignment horizontal="center" vertical="center" wrapText="1"/>
    </xf>
    <xf numFmtId="0" fontId="38" fillId="3" borderId="7" xfId="0" applyFont="1" applyFill="1" applyBorder="1" applyAlignment="1">
      <alignment vertical="center" wrapText="1"/>
    </xf>
    <xf numFmtId="0" fontId="38" fillId="3" borderId="8" xfId="0" applyFont="1" applyFill="1" applyBorder="1" applyAlignment="1">
      <alignment horizontal="center" vertical="center" wrapText="1"/>
    </xf>
    <xf numFmtId="0" fontId="7" fillId="3" borderId="7" xfId="0" applyFont="1" applyFill="1" applyBorder="1" applyAlignment="1">
      <alignment vertical="center" wrapText="1"/>
    </xf>
    <xf numFmtId="0" fontId="7" fillId="3" borderId="7"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7" xfId="0" applyFont="1" applyFill="1" applyBorder="1" applyAlignment="1">
      <alignment vertical="center" wrapText="1"/>
    </xf>
    <xf numFmtId="0" fontId="56" fillId="4" borderId="4" xfId="0" applyFont="1" applyFill="1" applyBorder="1" applyAlignment="1">
      <alignment horizontal="center" vertical="center"/>
    </xf>
    <xf numFmtId="0" fontId="56" fillId="4" borderId="3" xfId="0" applyFont="1" applyFill="1" applyBorder="1" applyAlignment="1">
      <alignment horizontal="center" vertical="center"/>
    </xf>
    <xf numFmtId="0" fontId="56" fillId="4" borderId="2" xfId="0" applyFont="1" applyFill="1" applyBorder="1" applyAlignment="1">
      <alignment horizontal="left" vertical="top"/>
    </xf>
    <xf numFmtId="0" fontId="58" fillId="3" borderId="7" xfId="0" applyFont="1" applyFill="1" applyBorder="1" applyAlignment="1">
      <alignment horizontal="left" vertical="center" wrapText="1"/>
    </xf>
    <xf numFmtId="0" fontId="58" fillId="3" borderId="7" xfId="0" applyFont="1" applyFill="1" applyBorder="1" applyAlignment="1">
      <alignment vertical="center" wrapText="1"/>
    </xf>
    <xf numFmtId="0" fontId="59" fillId="0" borderId="7" xfId="0" applyFont="1" applyFill="1" applyBorder="1" applyAlignment="1">
      <alignment vertical="center"/>
    </xf>
    <xf numFmtId="0" fontId="59" fillId="3" borderId="7" xfId="0" applyFont="1" applyFill="1" applyBorder="1" applyAlignment="1">
      <alignment vertical="center"/>
    </xf>
    <xf numFmtId="0" fontId="7" fillId="3" borderId="15" xfId="0" applyFont="1" applyFill="1" applyBorder="1" applyAlignment="1">
      <alignment horizontal="center" vertical="center" wrapText="1"/>
    </xf>
    <xf numFmtId="0" fontId="54" fillId="3" borderId="14" xfId="0" applyFont="1" applyFill="1" applyBorder="1" applyAlignment="1">
      <alignment horizontal="left" vertical="center" wrapText="1"/>
    </xf>
    <xf numFmtId="0" fontId="57" fillId="3" borderId="7" xfId="0" applyFont="1" applyFill="1" applyBorder="1" applyAlignment="1">
      <alignment horizontal="left" vertical="center"/>
    </xf>
    <xf numFmtId="0" fontId="55" fillId="3" borderId="7" xfId="0" applyFont="1" applyFill="1" applyBorder="1" applyAlignment="1">
      <alignment horizontal="left" vertical="center"/>
    </xf>
    <xf numFmtId="0" fontId="55" fillId="3" borderId="14" xfId="0" applyFont="1" applyFill="1" applyBorder="1" applyAlignment="1">
      <alignment horizontal="left" vertical="center" wrapText="1"/>
    </xf>
    <xf numFmtId="0" fontId="26" fillId="3"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1" xfId="0" applyFont="1" applyFill="1" applyBorder="1" applyAlignment="1">
      <alignment horizontal="left" vertical="center" wrapText="1"/>
    </xf>
    <xf numFmtId="0" fontId="0" fillId="0" borderId="31" xfId="0" applyBorder="1"/>
    <xf numFmtId="0" fontId="0" fillId="0" borderId="0" xfId="0" applyBorder="1"/>
    <xf numFmtId="0" fontId="0" fillId="2" borderId="0" xfId="0" applyFill="1" applyBorder="1"/>
    <xf numFmtId="0" fontId="32" fillId="2" borderId="0" xfId="0" applyFont="1" applyFill="1" applyBorder="1"/>
    <xf numFmtId="0" fontId="62" fillId="0" borderId="0" xfId="0" applyFont="1"/>
    <xf numFmtId="0" fontId="40" fillId="2" borderId="9" xfId="0" applyFont="1" applyFill="1" applyBorder="1" applyAlignment="1">
      <alignment horizontal="center" vertical="center" wrapText="1"/>
    </xf>
    <xf numFmtId="3" fontId="39" fillId="12" borderId="8" xfId="0" applyNumberFormat="1" applyFont="1" applyFill="1" applyBorder="1" applyAlignment="1">
      <alignment horizontal="center" vertical="center"/>
    </xf>
    <xf numFmtId="0" fontId="44" fillId="5" borderId="9" xfId="0" applyFont="1" applyFill="1" applyBorder="1" applyAlignment="1">
      <alignment horizontal="left" vertical="center" wrapText="1" indent="1"/>
    </xf>
    <xf numFmtId="3" fontId="41" fillId="5" borderId="8" xfId="0" applyNumberFormat="1" applyFont="1" applyFill="1" applyBorder="1" applyAlignment="1">
      <alignment horizontal="center" vertical="center"/>
    </xf>
    <xf numFmtId="3" fontId="41" fillId="5" borderId="15" xfId="0" applyNumberFormat="1" applyFont="1" applyFill="1" applyBorder="1" applyAlignment="1">
      <alignment horizontal="center" vertical="center"/>
    </xf>
    <xf numFmtId="3" fontId="62" fillId="0" borderId="0" xfId="0" applyNumberFormat="1" applyFont="1"/>
    <xf numFmtId="0" fontId="39" fillId="5" borderId="1" xfId="0" applyFont="1" applyFill="1" applyBorder="1" applyAlignment="1">
      <alignment vertical="center" wrapText="1"/>
    </xf>
    <xf numFmtId="0" fontId="62" fillId="3" borderId="0" xfId="0" applyFont="1" applyFill="1"/>
    <xf numFmtId="4" fontId="62" fillId="0" borderId="0" xfId="0" applyNumberFormat="1" applyFont="1"/>
    <xf numFmtId="0" fontId="63" fillId="3" borderId="1" xfId="0" applyFont="1" applyFill="1" applyBorder="1" applyAlignment="1">
      <alignment horizontal="center" vertical="center" wrapText="1"/>
    </xf>
    <xf numFmtId="0" fontId="13" fillId="0" borderId="1" xfId="0" applyFont="1" applyBorder="1" applyAlignment="1">
      <alignment horizontal="left" vertical="center" wrapText="1" indent="1"/>
    </xf>
    <xf numFmtId="0" fontId="14" fillId="2" borderId="1" xfId="0" applyFont="1" applyFill="1" applyBorder="1" applyAlignment="1">
      <alignment vertical="center" wrapText="1"/>
    </xf>
    <xf numFmtId="0" fontId="5" fillId="3" borderId="1" xfId="0" applyFont="1" applyFill="1" applyBorder="1" applyAlignment="1">
      <alignment horizontal="center" vertical="center" wrapText="1"/>
    </xf>
    <xf numFmtId="0" fontId="5" fillId="3" borderId="1" xfId="0" quotePrefix="1" applyFont="1" applyFill="1" applyBorder="1" applyAlignment="1">
      <alignment horizontal="center" vertical="center" wrapText="1"/>
    </xf>
    <xf numFmtId="0" fontId="0" fillId="2" borderId="0" xfId="0" applyFill="1"/>
    <xf numFmtId="0" fontId="32" fillId="2" borderId="0" xfId="0" applyFont="1" applyFill="1"/>
    <xf numFmtId="3" fontId="55" fillId="0" borderId="8" xfId="0" applyNumberFormat="1" applyFont="1" applyBorder="1" applyAlignment="1">
      <alignment horizontal="center" vertical="center"/>
    </xf>
    <xf numFmtId="3" fontId="12" fillId="3" borderId="8" xfId="0" applyNumberFormat="1" applyFont="1" applyFill="1" applyBorder="1" applyAlignment="1">
      <alignment horizontal="center" vertical="center"/>
    </xf>
    <xf numFmtId="0" fontId="66" fillId="0" borderId="9" xfId="0" applyFont="1" applyBorder="1" applyAlignment="1">
      <alignment horizontal="left" vertical="center" wrapText="1" indent="1"/>
    </xf>
    <xf numFmtId="166" fontId="12" fillId="0" borderId="8" xfId="0" applyNumberFormat="1" applyFont="1" applyBorder="1" applyAlignment="1">
      <alignment horizontal="center" vertical="center"/>
    </xf>
    <xf numFmtId="3" fontId="55" fillId="3" borderId="7" xfId="0" applyNumberFormat="1" applyFont="1" applyFill="1" applyBorder="1" applyAlignment="1">
      <alignment horizontal="center" vertical="center" wrapText="1"/>
    </xf>
    <xf numFmtId="0" fontId="59" fillId="4" borderId="7" xfId="0" applyFont="1" applyFill="1" applyBorder="1" applyAlignment="1">
      <alignment horizontal="left" vertical="center" wrapText="1"/>
    </xf>
    <xf numFmtId="1" fontId="55" fillId="3" borderId="8" xfId="0" applyNumberFormat="1" applyFont="1" applyFill="1" applyBorder="1" applyAlignment="1">
      <alignment horizontal="center" vertical="center"/>
    </xf>
    <xf numFmtId="0" fontId="0" fillId="0" borderId="30" xfId="0" applyBorder="1"/>
    <xf numFmtId="0" fontId="0" fillId="0" borderId="15" xfId="0" applyBorder="1"/>
    <xf numFmtId="0" fontId="67" fillId="0" borderId="31" xfId="0" applyFont="1" applyBorder="1" applyAlignment="1"/>
    <xf numFmtId="0" fontId="67" fillId="0" borderId="0" xfId="0" applyFont="1" applyBorder="1" applyAlignment="1"/>
    <xf numFmtId="0" fontId="24" fillId="3" borderId="81" xfId="0" applyFont="1" applyFill="1" applyBorder="1" applyAlignment="1">
      <alignment horizontal="left" vertical="center" wrapText="1"/>
    </xf>
    <xf numFmtId="3" fontId="68" fillId="13" borderId="8" xfId="0" applyNumberFormat="1" applyFont="1" applyFill="1" applyBorder="1" applyAlignment="1">
      <alignment horizontal="center" vertical="center"/>
    </xf>
    <xf numFmtId="3" fontId="68" fillId="13" borderId="15" xfId="0" applyNumberFormat="1" applyFont="1" applyFill="1" applyBorder="1" applyAlignment="1">
      <alignment horizontal="center" vertical="center"/>
    </xf>
    <xf numFmtId="0" fontId="13" fillId="13" borderId="9" xfId="0" applyFont="1" applyFill="1" applyBorder="1" applyAlignment="1">
      <alignment horizontal="left" vertical="center" wrapText="1" indent="1"/>
    </xf>
    <xf numFmtId="0" fontId="7" fillId="11" borderId="8" xfId="0" applyFont="1" applyFill="1" applyBorder="1" applyAlignment="1">
      <alignment horizontal="center" vertical="center"/>
    </xf>
    <xf numFmtId="0" fontId="7" fillId="11" borderId="15"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7" xfId="0" applyFont="1" applyFill="1" applyBorder="1" applyAlignment="1">
      <alignment vertical="center" wrapText="1"/>
    </xf>
    <xf numFmtId="3" fontId="9" fillId="7" borderId="8" xfId="0" applyNumberFormat="1" applyFont="1" applyFill="1" applyBorder="1" applyAlignment="1">
      <alignment horizontal="center" vertical="center"/>
    </xf>
    <xf numFmtId="0" fontId="14" fillId="7" borderId="7" xfId="0" applyFont="1" applyFill="1" applyBorder="1" applyAlignment="1">
      <alignment vertical="center" wrapText="1"/>
    </xf>
    <xf numFmtId="3" fontId="9" fillId="7" borderId="15" xfId="0" applyNumberFormat="1" applyFont="1" applyFill="1" applyBorder="1" applyAlignment="1">
      <alignment horizontal="center" vertical="center"/>
    </xf>
    <xf numFmtId="0" fontId="14" fillId="7" borderId="14" xfId="0" applyFont="1" applyFill="1" applyBorder="1" applyAlignment="1">
      <alignment vertical="center" wrapText="1"/>
    </xf>
    <xf numFmtId="0" fontId="10" fillId="4" borderId="7" xfId="0" applyFont="1" applyFill="1" applyBorder="1" applyAlignment="1">
      <alignment vertical="center" wrapText="1"/>
    </xf>
    <xf numFmtId="3" fontId="69" fillId="11" borderId="8" xfId="0" applyNumberFormat="1" applyFont="1" applyFill="1" applyBorder="1" applyAlignment="1">
      <alignment horizontal="center" vertical="center"/>
    </xf>
    <xf numFmtId="3" fontId="69" fillId="11" borderId="15" xfId="0" applyNumberFormat="1" applyFont="1" applyFill="1" applyBorder="1" applyAlignment="1">
      <alignment horizontal="center" vertical="center"/>
    </xf>
    <xf numFmtId="0" fontId="70" fillId="11" borderId="7" xfId="0" applyFont="1" applyFill="1" applyBorder="1" applyAlignment="1">
      <alignment vertical="center" wrapText="1"/>
    </xf>
    <xf numFmtId="3" fontId="12" fillId="13" borderId="8" xfId="0" applyNumberFormat="1" applyFont="1" applyFill="1" applyBorder="1" applyAlignment="1">
      <alignment horizontal="center" vertical="center"/>
    </xf>
    <xf numFmtId="3" fontId="12" fillId="13" borderId="15" xfId="0" applyNumberFormat="1" applyFont="1" applyFill="1" applyBorder="1" applyAlignment="1">
      <alignment horizontal="center" vertical="center"/>
    </xf>
    <xf numFmtId="49" fontId="5" fillId="3" borderId="1" xfId="0" applyNumberFormat="1" applyFont="1" applyFill="1" applyBorder="1" applyAlignment="1">
      <alignment horizontal="center" vertical="center" wrapText="1"/>
    </xf>
    <xf numFmtId="0" fontId="26" fillId="3" borderId="7" xfId="0" applyFont="1" applyFill="1" applyBorder="1" applyAlignment="1">
      <alignment horizontal="left" vertical="center" wrapText="1"/>
    </xf>
    <xf numFmtId="0" fontId="7" fillId="3" borderId="7" xfId="0" applyFont="1" applyFill="1" applyBorder="1" applyAlignment="1">
      <alignment vertical="center" wrapText="1"/>
    </xf>
    <xf numFmtId="0" fontId="7" fillId="3" borderId="15" xfId="0" applyFont="1" applyFill="1" applyBorder="1" applyAlignment="1">
      <alignment horizontal="center" vertical="center"/>
    </xf>
    <xf numFmtId="0" fontId="7" fillId="3" borderId="8" xfId="0" applyFont="1" applyFill="1" applyBorder="1" applyAlignment="1">
      <alignment horizontal="center" vertical="center"/>
    </xf>
    <xf numFmtId="0" fontId="7" fillId="4" borderId="4" xfId="0" applyFont="1" applyFill="1" applyBorder="1" applyAlignment="1">
      <alignment horizontal="center" vertical="center"/>
    </xf>
    <xf numFmtId="0" fontId="7" fillId="3" borderId="7" xfId="0" applyFont="1" applyFill="1" applyBorder="1" applyAlignment="1">
      <alignment horizontal="center" vertical="center" wrapText="1"/>
    </xf>
    <xf numFmtId="0" fontId="31" fillId="3" borderId="9" xfId="0" applyFont="1" applyFill="1" applyBorder="1" applyAlignment="1">
      <alignment vertical="center" wrapText="1"/>
    </xf>
    <xf numFmtId="0" fontId="26" fillId="3" borderId="5" xfId="0" applyFont="1" applyFill="1" applyBorder="1" applyAlignment="1">
      <alignment horizontal="center" vertical="center" wrapText="1"/>
    </xf>
    <xf numFmtId="0" fontId="26" fillId="3" borderId="7" xfId="0" applyFont="1" applyFill="1" applyBorder="1" applyAlignment="1">
      <alignment horizontal="center" vertical="center" wrapText="1"/>
    </xf>
    <xf numFmtId="9" fontId="26" fillId="4" borderId="2" xfId="0" applyNumberFormat="1" applyFont="1" applyFill="1" applyBorder="1" applyAlignment="1">
      <alignment horizontal="center" vertical="center"/>
    </xf>
    <xf numFmtId="9" fontId="26" fillId="4" borderId="3" xfId="0" applyNumberFormat="1" applyFont="1" applyFill="1" applyBorder="1" applyAlignment="1">
      <alignment horizontal="center" vertical="center"/>
    </xf>
    <xf numFmtId="9" fontId="26" fillId="4" borderId="4" xfId="0" applyNumberFormat="1" applyFont="1" applyFill="1" applyBorder="1" applyAlignment="1">
      <alignment horizontal="center" vertical="center"/>
    </xf>
    <xf numFmtId="0" fontId="26" fillId="3" borderId="7" xfId="0" applyFont="1" applyFill="1" applyBorder="1" applyAlignment="1">
      <alignment vertical="center" wrapText="1"/>
    </xf>
    <xf numFmtId="169" fontId="0" fillId="0" borderId="0" xfId="0" applyNumberFormat="1"/>
    <xf numFmtId="165" fontId="12" fillId="3" borderId="8" xfId="0" applyNumberFormat="1" applyFont="1" applyFill="1" applyBorder="1" applyAlignment="1">
      <alignment horizontal="center" vertical="center"/>
    </xf>
    <xf numFmtId="0" fontId="0" fillId="3" borderId="0" xfId="0" applyFill="1"/>
    <xf numFmtId="3" fontId="0" fillId="3" borderId="0" xfId="0" applyNumberFormat="1" applyFill="1"/>
    <xf numFmtId="0" fontId="6" fillId="3" borderId="7" xfId="0" applyFont="1" applyFill="1" applyBorder="1" applyAlignment="1">
      <alignment horizontal="left" vertical="center" wrapText="1" indent="1"/>
    </xf>
    <xf numFmtId="3" fontId="9" fillId="3" borderId="8" xfId="0" applyNumberFormat="1" applyFont="1" applyFill="1" applyBorder="1" applyAlignment="1">
      <alignment horizontal="center" vertical="center"/>
    </xf>
    <xf numFmtId="0" fontId="14" fillId="5" borderId="17" xfId="0" applyFont="1" applyFill="1" applyBorder="1" applyAlignment="1">
      <alignment vertical="center" wrapText="1"/>
    </xf>
    <xf numFmtId="0" fontId="71" fillId="3" borderId="7" xfId="0" applyFont="1" applyFill="1" applyBorder="1" applyAlignment="1">
      <alignment horizontal="center" vertical="center" wrapText="1"/>
    </xf>
    <xf numFmtId="9" fontId="55" fillId="3" borderId="8" xfId="0" applyNumberFormat="1" applyFont="1" applyFill="1" applyBorder="1" applyAlignment="1">
      <alignment horizontal="center" vertical="center"/>
    </xf>
    <xf numFmtId="0" fontId="7" fillId="4" borderId="17" xfId="0" applyFont="1" applyFill="1" applyBorder="1" applyAlignment="1">
      <alignment horizontal="center" wrapText="1"/>
    </xf>
    <xf numFmtId="0" fontId="72" fillId="3" borderId="41" xfId="6" applyFont="1" applyFill="1" applyBorder="1" applyAlignment="1">
      <alignment horizontal="center" wrapText="1"/>
    </xf>
    <xf numFmtId="0" fontId="7" fillId="3" borderId="8" xfId="0" applyFont="1" applyFill="1" applyBorder="1" applyAlignment="1">
      <alignment horizontal="center" vertical="center" wrapText="1"/>
    </xf>
    <xf numFmtId="0" fontId="7" fillId="3" borderId="6" xfId="0" applyFont="1" applyFill="1" applyBorder="1" applyAlignment="1">
      <alignment horizontal="center" vertical="center" wrapText="1"/>
    </xf>
    <xf numFmtId="3" fontId="73" fillId="0" borderId="8" xfId="0" applyNumberFormat="1" applyFont="1" applyBorder="1" applyAlignment="1">
      <alignment horizontal="center" vertical="center"/>
    </xf>
    <xf numFmtId="0" fontId="10" fillId="3" borderId="7" xfId="0" applyFont="1" applyFill="1" applyBorder="1" applyAlignment="1">
      <alignment horizontal="left" vertical="center" wrapText="1"/>
    </xf>
    <xf numFmtId="0" fontId="74" fillId="3" borderId="17" xfId="6" applyFont="1" applyFill="1" applyBorder="1" applyAlignment="1">
      <alignment horizontal="center" wrapText="1"/>
    </xf>
    <xf numFmtId="3" fontId="76" fillId="0" borderId="8" xfId="0" applyNumberFormat="1" applyFont="1" applyBorder="1" applyAlignment="1">
      <alignment horizontal="center" vertical="center"/>
    </xf>
    <xf numFmtId="0" fontId="13" fillId="0" borderId="17" xfId="0" applyFont="1" applyBorder="1" applyAlignment="1">
      <alignment horizontal="left" vertical="center" wrapText="1" indent="1"/>
    </xf>
    <xf numFmtId="0" fontId="6" fillId="0" borderId="9" xfId="0" applyFont="1" applyBorder="1" applyAlignment="1">
      <alignment horizontal="left" vertical="center" wrapText="1" indent="1"/>
    </xf>
    <xf numFmtId="0" fontId="77" fillId="3" borderId="41" xfId="6" applyFont="1" applyFill="1" applyBorder="1" applyAlignment="1">
      <alignment horizontal="center" wrapText="1"/>
    </xf>
    <xf numFmtId="0" fontId="78" fillId="3" borderId="7" xfId="0" applyFont="1" applyFill="1" applyBorder="1" applyAlignment="1">
      <alignment horizontal="left" vertical="center" wrapText="1"/>
    </xf>
    <xf numFmtId="0" fontId="71" fillId="3" borderId="17" xfId="0" applyFont="1" applyFill="1" applyBorder="1" applyAlignment="1">
      <alignment horizontal="left" vertical="center" wrapText="1"/>
    </xf>
    <xf numFmtId="0" fontId="71" fillId="3" borderId="7" xfId="0" applyFont="1" applyFill="1" applyBorder="1" applyAlignment="1">
      <alignment horizontal="left" vertical="center" wrapText="1"/>
    </xf>
    <xf numFmtId="2" fontId="0" fillId="0" borderId="0" xfId="0" applyNumberFormat="1"/>
    <xf numFmtId="9" fontId="79" fillId="3" borderId="8" xfId="0" applyNumberFormat="1" applyFont="1" applyFill="1" applyBorder="1" applyAlignment="1">
      <alignment horizontal="center" vertical="center"/>
    </xf>
    <xf numFmtId="9" fontId="79" fillId="5" borderId="8" xfId="0" applyNumberFormat="1" applyFont="1" applyFill="1" applyBorder="1" applyAlignment="1">
      <alignment horizontal="center" vertical="center"/>
    </xf>
    <xf numFmtId="0" fontId="4" fillId="3" borderId="1" xfId="0" applyFont="1" applyFill="1" applyBorder="1" applyAlignment="1">
      <alignment vertical="center" wrapText="1"/>
    </xf>
    <xf numFmtId="0" fontId="7" fillId="3" borderId="7" xfId="0" applyFont="1" applyFill="1" applyBorder="1" applyAlignment="1">
      <alignment horizontal="center" vertical="center" wrapText="1"/>
    </xf>
    <xf numFmtId="0" fontId="7" fillId="3" borderId="7" xfId="0" applyFont="1" applyFill="1" applyBorder="1" applyAlignment="1">
      <alignment vertical="center" wrapText="1"/>
    </xf>
    <xf numFmtId="0" fontId="7" fillId="3" borderId="6" xfId="0" applyFont="1" applyFill="1" applyBorder="1" applyAlignment="1">
      <alignment horizontal="center" vertical="center" wrapText="1"/>
    </xf>
    <xf numFmtId="0" fontId="7" fillId="3" borderId="8" xfId="0" applyFont="1" applyFill="1" applyBorder="1" applyAlignment="1">
      <alignment horizontal="center" vertical="center" wrapText="1"/>
    </xf>
    <xf numFmtId="3" fontId="28" fillId="0" borderId="6" xfId="0" applyNumberFormat="1" applyFont="1" applyBorder="1" applyAlignment="1">
      <alignment horizontal="center" vertical="center"/>
    </xf>
    <xf numFmtId="0" fontId="26" fillId="4" borderId="7" xfId="0" applyFont="1" applyFill="1" applyBorder="1" applyAlignment="1">
      <alignment horizontal="center" vertical="center" wrapText="1"/>
    </xf>
    <xf numFmtId="3" fontId="28" fillId="0" borderId="90" xfId="0" applyNumberFormat="1" applyFont="1" applyBorder="1" applyAlignment="1">
      <alignment horizontal="center" vertical="center"/>
    </xf>
    <xf numFmtId="0" fontId="33" fillId="0" borderId="87" xfId="0" applyFont="1" applyBorder="1" applyAlignment="1">
      <alignment horizontal="left" vertical="center" wrapText="1" indent="1"/>
    </xf>
    <xf numFmtId="3" fontId="26" fillId="0" borderId="90" xfId="0" applyNumberFormat="1" applyFont="1" applyBorder="1" applyAlignment="1">
      <alignment horizontal="center" vertical="center"/>
    </xf>
    <xf numFmtId="0" fontId="31" fillId="0" borderId="91" xfId="0" applyFont="1" applyBorder="1" applyAlignment="1">
      <alignment horizontal="left" vertical="center" wrapText="1" indent="1"/>
    </xf>
    <xf numFmtId="0" fontId="32" fillId="3" borderId="90" xfId="0" applyFont="1" applyFill="1" applyBorder="1" applyAlignment="1">
      <alignment horizontal="center" vertical="center" wrapText="1"/>
    </xf>
    <xf numFmtId="0" fontId="32" fillId="3" borderId="86" xfId="0" applyFont="1" applyFill="1" applyBorder="1" applyAlignment="1">
      <alignment horizontal="center" vertical="center" wrapText="1"/>
    </xf>
    <xf numFmtId="165" fontId="26" fillId="3" borderId="90" xfId="0" applyNumberFormat="1" applyFont="1" applyFill="1" applyBorder="1" applyAlignment="1">
      <alignment horizontal="center" vertical="center"/>
    </xf>
    <xf numFmtId="0" fontId="31" fillId="3" borderId="91" xfId="0" applyFont="1" applyFill="1" applyBorder="1" applyAlignment="1">
      <alignment horizontal="left" vertical="center" wrapText="1"/>
    </xf>
    <xf numFmtId="165" fontId="26" fillId="3" borderId="88" xfId="0" applyNumberFormat="1" applyFont="1" applyFill="1" applyBorder="1" applyAlignment="1">
      <alignment horizontal="center" vertical="center"/>
    </xf>
    <xf numFmtId="165" fontId="26" fillId="3" borderId="12" xfId="0" applyNumberFormat="1" applyFont="1" applyFill="1" applyBorder="1" applyAlignment="1">
      <alignment horizontal="center" vertical="center"/>
    </xf>
    <xf numFmtId="0" fontId="31" fillId="3" borderId="89" xfId="0" applyFont="1" applyFill="1" applyBorder="1" applyAlignment="1">
      <alignment horizontal="left" vertical="center" wrapText="1"/>
    </xf>
    <xf numFmtId="3" fontId="26" fillId="3" borderId="94" xfId="0" applyNumberFormat="1" applyFont="1" applyFill="1" applyBorder="1" applyAlignment="1">
      <alignment horizontal="center" vertical="center" wrapText="1"/>
    </xf>
    <xf numFmtId="0" fontId="25" fillId="4" borderId="91" xfId="0" applyFont="1" applyFill="1" applyBorder="1" applyAlignment="1">
      <alignment horizontal="left" vertical="center" wrapText="1"/>
    </xf>
    <xf numFmtId="0" fontId="26" fillId="4" borderId="91" xfId="0" applyFont="1" applyFill="1" applyBorder="1" applyAlignment="1">
      <alignment horizontal="center" vertical="center" wrapText="1"/>
    </xf>
    <xf numFmtId="0" fontId="7" fillId="4" borderId="91" xfId="0" applyFont="1" applyFill="1" applyBorder="1" applyAlignment="1">
      <alignment horizontal="left" vertical="center" wrapText="1"/>
    </xf>
    <xf numFmtId="3" fontId="24" fillId="2" borderId="90" xfId="0" applyNumberFormat="1" applyFont="1" applyFill="1" applyBorder="1" applyAlignment="1">
      <alignment horizontal="center" vertical="center"/>
    </xf>
    <xf numFmtId="0" fontId="25" fillId="2" borderId="91" xfId="0" applyFont="1" applyFill="1" applyBorder="1" applyAlignment="1">
      <alignment vertical="center" wrapText="1"/>
    </xf>
    <xf numFmtId="0" fontId="25" fillId="0" borderId="95" xfId="0" applyFont="1" applyBorder="1" applyAlignment="1">
      <alignment horizontal="left" vertical="center" wrapText="1" indent="1"/>
    </xf>
    <xf numFmtId="0" fontId="5" fillId="0" borderId="91" xfId="0" applyFont="1" applyBorder="1" applyAlignment="1">
      <alignment horizontal="left" vertical="center" wrapText="1" indent="1"/>
    </xf>
    <xf numFmtId="0" fontId="24" fillId="3" borderId="90" xfId="0" applyFont="1" applyFill="1" applyBorder="1" applyAlignment="1">
      <alignment horizontal="center" vertical="center" wrapText="1"/>
    </xf>
    <xf numFmtId="0" fontId="24" fillId="3" borderId="86" xfId="0" applyFont="1" applyFill="1" applyBorder="1" applyAlignment="1">
      <alignment horizontal="center" vertical="center" wrapText="1"/>
    </xf>
    <xf numFmtId="0" fontId="26" fillId="4" borderId="99" xfId="0" applyFont="1" applyFill="1" applyBorder="1" applyAlignment="1">
      <alignment vertical="center" wrapText="1"/>
    </xf>
    <xf numFmtId="3" fontId="24" fillId="2" borderId="82" xfId="0" applyNumberFormat="1" applyFont="1" applyFill="1" applyBorder="1" applyAlignment="1">
      <alignment horizontal="center" vertical="center"/>
    </xf>
    <xf numFmtId="3" fontId="24" fillId="2" borderId="100" xfId="0" applyNumberFormat="1" applyFont="1" applyFill="1" applyBorder="1" applyAlignment="1">
      <alignment horizontal="center" vertical="center"/>
    </xf>
    <xf numFmtId="0" fontId="25" fillId="2" borderId="85" xfId="0" applyFont="1" applyFill="1" applyBorder="1" applyAlignment="1">
      <alignment vertical="center" wrapText="1"/>
    </xf>
    <xf numFmtId="0" fontId="25" fillId="4" borderId="91" xfId="0" applyFont="1" applyFill="1" applyBorder="1" applyAlignment="1">
      <alignment vertical="center" wrapText="1"/>
    </xf>
    <xf numFmtId="9" fontId="26" fillId="3" borderId="90" xfId="0" applyNumberFormat="1" applyFont="1" applyFill="1" applyBorder="1" applyAlignment="1">
      <alignment horizontal="center" vertical="center"/>
    </xf>
    <xf numFmtId="0" fontId="26" fillId="3" borderId="91" xfId="0" applyFont="1" applyFill="1" applyBorder="1" applyAlignment="1">
      <alignment vertical="center" wrapText="1"/>
    </xf>
    <xf numFmtId="0" fontId="8" fillId="4" borderId="91" xfId="0" applyFont="1" applyFill="1" applyBorder="1" applyAlignment="1">
      <alignment vertical="center" wrapText="1"/>
    </xf>
    <xf numFmtId="3" fontId="28" fillId="0" borderId="86" xfId="0" applyNumberFormat="1" applyFont="1" applyBorder="1" applyAlignment="1">
      <alignment horizontal="center" vertical="center"/>
    </xf>
    <xf numFmtId="0" fontId="26" fillId="4" borderId="85" xfId="0" applyFont="1" applyFill="1" applyBorder="1" applyAlignment="1">
      <alignment horizontal="center" vertical="center" wrapText="1"/>
    </xf>
    <xf numFmtId="0" fontId="7" fillId="4" borderId="99" xfId="0" applyFont="1" applyFill="1" applyBorder="1" applyAlignment="1">
      <alignment horizontal="left" vertical="center" wrapText="1"/>
    </xf>
    <xf numFmtId="0" fontId="29" fillId="0" borderId="95" xfId="0" applyFont="1" applyBorder="1" applyAlignment="1">
      <alignment horizontal="left" vertical="center" wrapText="1" indent="1"/>
    </xf>
    <xf numFmtId="0" fontId="25" fillId="4" borderId="99" xfId="0" applyFont="1" applyFill="1" applyBorder="1" applyAlignment="1">
      <alignment horizontal="left" vertical="center" wrapText="1"/>
    </xf>
    <xf numFmtId="9" fontId="26" fillId="3" borderId="101" xfId="0" applyNumberFormat="1" applyFont="1" applyFill="1" applyBorder="1" applyAlignment="1">
      <alignment horizontal="center" vertical="center"/>
    </xf>
    <xf numFmtId="9" fontId="26" fillId="3" borderId="105" xfId="0" applyNumberFormat="1" applyFont="1" applyFill="1" applyBorder="1" applyAlignment="1">
      <alignment horizontal="center" vertical="center"/>
    </xf>
    <xf numFmtId="9" fontId="26" fillId="3" borderId="106" xfId="0" applyNumberFormat="1" applyFont="1" applyFill="1" applyBorder="1" applyAlignment="1">
      <alignment horizontal="center" vertical="center"/>
    </xf>
    <xf numFmtId="0" fontId="26" fillId="3" borderId="95" xfId="0" applyFont="1" applyFill="1" applyBorder="1" applyAlignment="1">
      <alignment vertical="center" wrapText="1"/>
    </xf>
    <xf numFmtId="0" fontId="26" fillId="3" borderId="91" xfId="0" applyFont="1" applyFill="1" applyBorder="1" applyAlignment="1">
      <alignment horizontal="left" vertical="center" wrapText="1"/>
    </xf>
    <xf numFmtId="0" fontId="26" fillId="3" borderId="90" xfId="0" applyFont="1" applyFill="1" applyBorder="1" applyAlignment="1">
      <alignment horizontal="center" vertical="center" wrapText="1"/>
    </xf>
    <xf numFmtId="0" fontId="26" fillId="3" borderId="86" xfId="0" applyFont="1" applyFill="1" applyBorder="1" applyAlignment="1">
      <alignment horizontal="center" vertical="center" wrapText="1"/>
    </xf>
    <xf numFmtId="0" fontId="24" fillId="4" borderId="107" xfId="0" applyFont="1" applyFill="1" applyBorder="1" applyAlignment="1">
      <alignment vertical="center" wrapText="1"/>
    </xf>
    <xf numFmtId="0" fontId="24" fillId="3" borderId="107" xfId="0" applyFont="1" applyFill="1" applyBorder="1" applyAlignment="1">
      <alignment horizontal="left" vertical="center" wrapText="1"/>
    </xf>
    <xf numFmtId="0" fontId="24" fillId="3" borderId="99" xfId="0" applyFont="1" applyFill="1" applyBorder="1" applyAlignment="1">
      <alignment horizontal="left" vertical="center" wrapText="1"/>
    </xf>
    <xf numFmtId="0" fontId="26" fillId="3" borderId="0" xfId="0" applyFont="1" applyFill="1" applyBorder="1" applyAlignment="1">
      <alignment horizontal="center" vertical="center" wrapText="1"/>
    </xf>
    <xf numFmtId="0" fontId="26" fillId="3" borderId="0" xfId="0" quotePrefix="1" applyFont="1" applyFill="1" applyBorder="1" applyAlignment="1">
      <alignment horizontal="center" vertical="center" wrapText="1"/>
    </xf>
    <xf numFmtId="0" fontId="24" fillId="3" borderId="0" xfId="0" applyFont="1" applyFill="1" applyBorder="1" applyAlignment="1">
      <alignment horizontal="center" vertical="center" wrapText="1"/>
    </xf>
    <xf numFmtId="0" fontId="26" fillId="3" borderId="1" xfId="0" quotePrefix="1" applyFont="1" applyFill="1" applyBorder="1" applyAlignment="1">
      <alignment horizontal="center" vertical="center" wrapText="1"/>
    </xf>
    <xf numFmtId="0" fontId="24" fillId="3" borderId="1" xfId="0" applyFont="1" applyFill="1" applyBorder="1" applyAlignment="1">
      <alignment horizontal="center" vertical="center" wrapText="1"/>
    </xf>
    <xf numFmtId="0" fontId="14" fillId="3" borderId="7" xfId="0" applyFont="1" applyFill="1" applyBorder="1" applyAlignment="1">
      <alignment vertical="center" wrapText="1"/>
    </xf>
    <xf numFmtId="3" fontId="9" fillId="6" borderId="8" xfId="0" applyNumberFormat="1" applyFont="1" applyFill="1" applyBorder="1" applyAlignment="1">
      <alignment horizontal="center" vertical="center"/>
    </xf>
    <xf numFmtId="0" fontId="14" fillId="6" borderId="7" xfId="0" applyFont="1" applyFill="1" applyBorder="1" applyAlignment="1">
      <alignment vertical="center" wrapText="1"/>
    </xf>
    <xf numFmtId="0" fontId="7" fillId="14" borderId="8" xfId="0" applyFont="1" applyFill="1" applyBorder="1" applyAlignment="1">
      <alignment horizontal="center" vertical="center"/>
    </xf>
    <xf numFmtId="0" fontId="7" fillId="14" borderId="15" xfId="0" applyFont="1" applyFill="1" applyBorder="1" applyAlignment="1">
      <alignment horizontal="center" vertical="center"/>
    </xf>
    <xf numFmtId="0" fontId="7" fillId="14" borderId="7" xfId="0" applyFont="1" applyFill="1" applyBorder="1" applyAlignment="1">
      <alignment vertical="center" wrapText="1"/>
    </xf>
    <xf numFmtId="0" fontId="9" fillId="2" borderId="7" xfId="0" applyFont="1" applyFill="1" applyBorder="1" applyAlignment="1">
      <alignment horizontal="left" vertical="center" wrapText="1" indent="1"/>
    </xf>
    <xf numFmtId="3" fontId="9" fillId="5" borderId="17" xfId="0" applyNumberFormat="1" applyFont="1" applyFill="1" applyBorder="1" applyAlignment="1">
      <alignment horizontal="center" vertical="center"/>
    </xf>
    <xf numFmtId="0" fontId="7" fillId="5" borderId="14" xfId="0" applyFont="1" applyFill="1" applyBorder="1" applyAlignment="1">
      <alignment vertical="center" wrapText="1"/>
    </xf>
    <xf numFmtId="3" fontId="12" fillId="14" borderId="8" xfId="0" applyNumberFormat="1" applyFont="1" applyFill="1" applyBorder="1" applyAlignment="1">
      <alignment horizontal="center" vertical="center"/>
    </xf>
    <xf numFmtId="0" fontId="83" fillId="14" borderId="9" xfId="0" applyFont="1" applyFill="1" applyBorder="1" applyAlignment="1">
      <alignment horizontal="left" vertical="center" wrapText="1" indent="1"/>
    </xf>
    <xf numFmtId="3" fontId="7" fillId="14" borderId="8" xfId="0" applyNumberFormat="1" applyFont="1" applyFill="1" applyBorder="1" applyAlignment="1">
      <alignment horizontal="center" vertical="center"/>
    </xf>
    <xf numFmtId="0" fontId="7" fillId="14" borderId="7" xfId="0" applyFont="1" applyFill="1" applyBorder="1" applyAlignment="1">
      <alignment horizontal="left" vertical="center" wrapText="1" indent="1"/>
    </xf>
    <xf numFmtId="0" fontId="9" fillId="14" borderId="8" xfId="0" applyFont="1" applyFill="1" applyBorder="1" applyAlignment="1">
      <alignment horizontal="center" vertical="center" wrapText="1"/>
    </xf>
    <xf numFmtId="0" fontId="9" fillId="14" borderId="6" xfId="0" applyFont="1" applyFill="1" applyBorder="1" applyAlignment="1">
      <alignment horizontal="center" vertical="center" wrapText="1"/>
    </xf>
    <xf numFmtId="165" fontId="7" fillId="14" borderId="8" xfId="0" applyNumberFormat="1" applyFont="1" applyFill="1" applyBorder="1" applyAlignment="1">
      <alignment horizontal="center" vertical="center"/>
    </xf>
    <xf numFmtId="0" fontId="7" fillId="14" borderId="7" xfId="0" applyFont="1" applyFill="1" applyBorder="1" applyAlignment="1">
      <alignment horizontal="center" vertical="center" wrapText="1"/>
    </xf>
    <xf numFmtId="0" fontId="7" fillId="14" borderId="7" xfId="0" applyFont="1" applyFill="1" applyBorder="1" applyAlignment="1">
      <alignment horizontal="left" vertical="center" wrapText="1"/>
    </xf>
    <xf numFmtId="3" fontId="7" fillId="14" borderId="7" xfId="0" applyNumberFormat="1" applyFont="1" applyFill="1" applyBorder="1" applyAlignment="1">
      <alignment horizontal="center" vertical="center" wrapText="1"/>
    </xf>
    <xf numFmtId="0" fontId="10" fillId="14" borderId="7" xfId="0" applyFont="1" applyFill="1" applyBorder="1" applyAlignment="1">
      <alignment horizontal="left" vertical="center" wrapText="1"/>
    </xf>
    <xf numFmtId="3" fontId="9" fillId="6" borderId="17" xfId="0" applyNumberFormat="1" applyFont="1" applyFill="1" applyBorder="1"/>
    <xf numFmtId="0" fontId="7" fillId="6" borderId="0" xfId="0" applyFont="1" applyFill="1"/>
    <xf numFmtId="3" fontId="12" fillId="15" borderId="8" xfId="0" applyNumberFormat="1" applyFont="1" applyFill="1" applyBorder="1" applyAlignment="1">
      <alignment horizontal="center" vertical="center"/>
    </xf>
    <xf numFmtId="0" fontId="83" fillId="15" borderId="9" xfId="0" applyFont="1" applyFill="1" applyBorder="1" applyAlignment="1">
      <alignment horizontal="left" vertical="center" wrapText="1" indent="1"/>
    </xf>
    <xf numFmtId="3" fontId="7" fillId="15" borderId="8" xfId="0" applyNumberFormat="1" applyFont="1" applyFill="1" applyBorder="1" applyAlignment="1">
      <alignment horizontal="center" vertical="center"/>
    </xf>
    <xf numFmtId="0" fontId="7" fillId="15" borderId="7" xfId="0" applyFont="1" applyFill="1" applyBorder="1" applyAlignment="1">
      <alignment horizontal="left" vertical="center" wrapText="1" indent="1"/>
    </xf>
    <xf numFmtId="0" fontId="9" fillId="15" borderId="8" xfId="0" applyFont="1" applyFill="1" applyBorder="1" applyAlignment="1">
      <alignment horizontal="center" vertical="center" wrapText="1"/>
    </xf>
    <xf numFmtId="0" fontId="9" fillId="15" borderId="6" xfId="0" applyFont="1" applyFill="1" applyBorder="1" applyAlignment="1">
      <alignment horizontal="center" vertical="center" wrapText="1"/>
    </xf>
    <xf numFmtId="165" fontId="7" fillId="15" borderId="8" xfId="0" applyNumberFormat="1" applyFont="1" applyFill="1" applyBorder="1" applyAlignment="1">
      <alignment horizontal="center" vertical="center"/>
    </xf>
    <xf numFmtId="0" fontId="7" fillId="15" borderId="7" xfId="0" applyFont="1" applyFill="1" applyBorder="1" applyAlignment="1">
      <alignment horizontal="center" vertical="center" wrapText="1"/>
    </xf>
    <xf numFmtId="0" fontId="7" fillId="15" borderId="7" xfId="0" applyFont="1" applyFill="1" applyBorder="1" applyAlignment="1">
      <alignment horizontal="left" vertical="center" wrapText="1"/>
    </xf>
    <xf numFmtId="3" fontId="7" fillId="15" borderId="7" xfId="0" applyNumberFormat="1" applyFont="1" applyFill="1" applyBorder="1" applyAlignment="1">
      <alignment horizontal="center" vertical="center" wrapText="1"/>
    </xf>
    <xf numFmtId="0" fontId="10" fillId="15" borderId="7" xfId="0" applyFont="1" applyFill="1" applyBorder="1" applyAlignment="1">
      <alignment horizontal="left" vertical="center" wrapText="1"/>
    </xf>
    <xf numFmtId="0" fontId="13" fillId="14" borderId="9" xfId="0" applyFont="1" applyFill="1" applyBorder="1" applyAlignment="1">
      <alignment horizontal="left" vertical="center" wrapText="1" indent="1"/>
    </xf>
    <xf numFmtId="0" fontId="6" fillId="14" borderId="7" xfId="0" applyFont="1" applyFill="1" applyBorder="1" applyAlignment="1">
      <alignment horizontal="left" vertical="center" wrapText="1" indent="1"/>
    </xf>
    <xf numFmtId="3" fontId="9" fillId="2" borderId="6" xfId="0" applyNumberFormat="1" applyFont="1" applyFill="1" applyBorder="1" applyAlignment="1">
      <alignment horizontal="center" vertical="center"/>
    </xf>
    <xf numFmtId="49" fontId="7" fillId="3" borderId="8" xfId="0" applyNumberFormat="1" applyFont="1" applyFill="1" applyBorder="1" applyAlignment="1">
      <alignment horizontal="center" vertical="center" wrapText="1"/>
    </xf>
    <xf numFmtId="49" fontId="84" fillId="3" borderId="7" xfId="0" applyNumberFormat="1" applyFont="1" applyFill="1" applyBorder="1" applyAlignment="1">
      <alignment vertical="center" wrapText="1"/>
    </xf>
    <xf numFmtId="3" fontId="9" fillId="6" borderId="17" xfId="0" applyNumberFormat="1" applyFont="1" applyFill="1" applyBorder="1" applyAlignment="1">
      <alignment horizontal="center" vertical="center"/>
    </xf>
    <xf numFmtId="0" fontId="14" fillId="6" borderId="14" xfId="0" applyFont="1" applyFill="1" applyBorder="1" applyAlignment="1">
      <alignment vertical="center" wrapText="1"/>
    </xf>
    <xf numFmtId="49" fontId="7" fillId="3" borderId="15" xfId="0" applyNumberFormat="1" applyFont="1" applyFill="1" applyBorder="1" applyAlignment="1">
      <alignment horizontal="center" vertical="center" wrapText="1"/>
    </xf>
    <xf numFmtId="49" fontId="84" fillId="3" borderId="14" xfId="0" applyNumberFormat="1" applyFont="1" applyFill="1" applyBorder="1" applyAlignment="1">
      <alignment vertical="center" wrapText="1"/>
    </xf>
    <xf numFmtId="3" fontId="9" fillId="18" borderId="8" xfId="0" applyNumberFormat="1" applyFont="1" applyFill="1" applyBorder="1" applyAlignment="1">
      <alignment horizontal="center" vertical="center"/>
    </xf>
    <xf numFmtId="0" fontId="14" fillId="18" borderId="7" xfId="0" applyFont="1" applyFill="1" applyBorder="1" applyAlignment="1">
      <alignment vertical="center" wrapText="1"/>
    </xf>
    <xf numFmtId="0" fontId="14" fillId="6" borderId="17" xfId="0" applyFont="1" applyFill="1" applyBorder="1" applyAlignment="1">
      <alignment vertical="center" wrapText="1"/>
    </xf>
    <xf numFmtId="3" fontId="9" fillId="2" borderId="38" xfId="0" applyNumberFormat="1" applyFont="1" applyFill="1" applyBorder="1" applyAlignment="1">
      <alignment horizontal="center" vertical="center"/>
    </xf>
    <xf numFmtId="3" fontId="9" fillId="2" borderId="29" xfId="0" applyNumberFormat="1" applyFont="1" applyFill="1" applyBorder="1" applyAlignment="1">
      <alignment horizontal="center" vertical="center"/>
    </xf>
    <xf numFmtId="49" fontId="4" fillId="4" borderId="1" xfId="0" applyNumberFormat="1" applyFont="1" applyFill="1" applyBorder="1" applyAlignment="1">
      <alignmen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13" fillId="3" borderId="1" xfId="0" applyFont="1" applyFill="1" applyBorder="1" applyAlignment="1">
      <alignment horizontal="left" vertical="center" wrapText="1" indent="1"/>
    </xf>
    <xf numFmtId="0" fontId="7" fillId="3" borderId="1" xfId="0" applyFont="1" applyFill="1" applyBorder="1" applyAlignment="1">
      <alignment horizontal="left" vertical="center" wrapText="1"/>
    </xf>
    <xf numFmtId="0" fontId="13" fillId="3" borderId="9" xfId="0" applyFont="1" applyFill="1" applyBorder="1" applyAlignment="1">
      <alignment horizontal="left" vertical="center" wrapText="1" indent="1"/>
    </xf>
    <xf numFmtId="0" fontId="14" fillId="0" borderId="1" xfId="0" applyFont="1" applyBorder="1" applyAlignment="1">
      <alignment horizontal="left" vertical="center" wrapText="1" indent="1"/>
    </xf>
    <xf numFmtId="3" fontId="7" fillId="0" borderId="17" xfId="0" applyNumberFormat="1" applyFont="1" applyBorder="1" applyAlignment="1">
      <alignment horizontal="center" vertical="center"/>
    </xf>
    <xf numFmtId="3" fontId="7" fillId="0" borderId="15" xfId="0" applyNumberFormat="1" applyFont="1" applyBorder="1" applyAlignment="1">
      <alignment horizontal="center" vertical="center"/>
    </xf>
    <xf numFmtId="3" fontId="7" fillId="0" borderId="6" xfId="0" applyNumberFormat="1" applyFont="1" applyBorder="1" applyAlignment="1">
      <alignment horizontal="center" vertical="center"/>
    </xf>
    <xf numFmtId="3" fontId="9" fillId="2" borderId="15" xfId="0" applyNumberFormat="1" applyFont="1" applyFill="1" applyBorder="1" applyAlignment="1">
      <alignment horizontal="center" vertical="center"/>
    </xf>
    <xf numFmtId="0" fontId="55" fillId="20" borderId="7" xfId="0" applyFont="1" applyFill="1" applyBorder="1" applyAlignment="1">
      <alignment horizontal="left" vertical="center" wrapText="1"/>
    </xf>
    <xf numFmtId="0" fontId="55" fillId="20" borderId="7" xfId="0" applyFont="1" applyFill="1" applyBorder="1" applyAlignment="1">
      <alignment vertical="center" wrapText="1"/>
    </xf>
    <xf numFmtId="0" fontId="24" fillId="2" borderId="0" xfId="0" applyFont="1" applyFill="1"/>
    <xf numFmtId="0" fontId="75" fillId="0" borderId="0" xfId="0" applyFont="1"/>
    <xf numFmtId="3" fontId="75" fillId="0" borderId="8" xfId="0" applyNumberFormat="1" applyFont="1" applyBorder="1" applyAlignment="1">
      <alignment horizontal="center" vertical="center"/>
    </xf>
    <xf numFmtId="0" fontId="71" fillId="0" borderId="7" xfId="0" applyFont="1" applyBorder="1" applyAlignment="1">
      <alignment horizontal="left" vertical="center" wrapText="1" indent="1"/>
    </xf>
    <xf numFmtId="3" fontId="71" fillId="2" borderId="8" xfId="0" applyNumberFormat="1" applyFont="1" applyFill="1" applyBorder="1" applyAlignment="1">
      <alignment horizontal="center" vertical="center"/>
    </xf>
    <xf numFmtId="0" fontId="78" fillId="2" borderId="7" xfId="0" applyFont="1" applyFill="1" applyBorder="1" applyAlignment="1">
      <alignment vertical="center" wrapText="1"/>
    </xf>
    <xf numFmtId="165" fontId="88" fillId="0" borderId="8" xfId="0" applyNumberFormat="1" applyFont="1" applyBorder="1" applyAlignment="1">
      <alignment horizontal="center" vertical="center"/>
    </xf>
    <xf numFmtId="3" fontId="88" fillId="0" borderId="8" xfId="0" applyNumberFormat="1" applyFont="1" applyBorder="1" applyAlignment="1">
      <alignment horizontal="center" vertical="center"/>
    </xf>
    <xf numFmtId="0" fontId="88" fillId="0" borderId="7" xfId="0" applyFont="1" applyBorder="1" applyAlignment="1">
      <alignment horizontal="left" vertical="center" wrapText="1" indent="1"/>
    </xf>
    <xf numFmtId="0" fontId="75" fillId="0" borderId="7" xfId="0" applyFont="1" applyBorder="1" applyAlignment="1">
      <alignment horizontal="left" vertical="center" wrapText="1" indent="1"/>
    </xf>
    <xf numFmtId="165" fontId="73" fillId="0" borderId="8" xfId="0" applyNumberFormat="1" applyFont="1" applyBorder="1" applyAlignment="1">
      <alignment horizontal="center" vertical="center"/>
    </xf>
    <xf numFmtId="3" fontId="73" fillId="3" borderId="8" xfId="0" applyNumberFormat="1" applyFont="1" applyFill="1" applyBorder="1" applyAlignment="1">
      <alignment horizontal="center" vertical="center"/>
    </xf>
    <xf numFmtId="0" fontId="73" fillId="3" borderId="7" xfId="0" applyFont="1" applyFill="1" applyBorder="1" applyAlignment="1">
      <alignment vertical="center" wrapText="1"/>
    </xf>
    <xf numFmtId="3" fontId="71" fillId="4" borderId="8" xfId="0" applyNumberFormat="1" applyFont="1" applyFill="1" applyBorder="1" applyAlignment="1">
      <alignment horizontal="center" vertical="center"/>
    </xf>
    <xf numFmtId="0" fontId="71" fillId="4" borderId="7" xfId="0" applyFont="1" applyFill="1" applyBorder="1" applyAlignment="1">
      <alignment vertical="center" wrapText="1"/>
    </xf>
    <xf numFmtId="3" fontId="71" fillId="5" borderId="8" xfId="0" applyNumberFormat="1" applyFont="1" applyFill="1" applyBorder="1" applyAlignment="1">
      <alignment horizontal="center" vertical="center"/>
    </xf>
    <xf numFmtId="0" fontId="78" fillId="5" borderId="7" xfId="0" applyFont="1" applyFill="1" applyBorder="1" applyAlignment="1">
      <alignment vertical="center" wrapText="1"/>
    </xf>
    <xf numFmtId="0" fontId="89" fillId="0" borderId="9" xfId="0" applyFont="1" applyBorder="1" applyAlignment="1">
      <alignment horizontal="left" vertical="center" wrapText="1" indent="1"/>
    </xf>
    <xf numFmtId="0" fontId="71" fillId="3" borderId="8" xfId="0" applyFont="1" applyFill="1" applyBorder="1" applyAlignment="1">
      <alignment horizontal="center" vertical="center" wrapText="1"/>
    </xf>
    <xf numFmtId="0" fontId="71" fillId="3" borderId="6" xfId="0" applyFont="1" applyFill="1" applyBorder="1" applyAlignment="1">
      <alignment horizontal="center" vertical="center" wrapText="1"/>
    </xf>
    <xf numFmtId="165" fontId="75" fillId="3" borderId="8" xfId="0" applyNumberFormat="1" applyFont="1" applyFill="1" applyBorder="1" applyAlignment="1">
      <alignment horizontal="center" vertical="center"/>
    </xf>
    <xf numFmtId="0" fontId="75" fillId="3" borderId="7" xfId="0" applyFont="1" applyFill="1" applyBorder="1" applyAlignment="1">
      <alignment horizontal="center" vertical="center" wrapText="1"/>
    </xf>
    <xf numFmtId="0" fontId="75" fillId="3" borderId="7" xfId="0" applyFont="1" applyFill="1" applyBorder="1" applyAlignment="1">
      <alignment horizontal="left" vertical="center" wrapText="1"/>
    </xf>
    <xf numFmtId="3" fontId="75" fillId="0" borderId="0" xfId="0" applyNumberFormat="1" applyFont="1"/>
    <xf numFmtId="3" fontId="75" fillId="3" borderId="7" xfId="0" applyNumberFormat="1" applyFont="1" applyFill="1" applyBorder="1" applyAlignment="1">
      <alignment horizontal="center" vertical="center" wrapText="1"/>
    </xf>
    <xf numFmtId="0" fontId="78" fillId="4" borderId="7" xfId="0" applyFont="1" applyFill="1" applyBorder="1" applyAlignment="1">
      <alignment horizontal="left" vertical="center" wrapText="1"/>
    </xf>
    <xf numFmtId="0" fontId="75" fillId="4" borderId="7" xfId="0" applyFont="1" applyFill="1" applyBorder="1" applyAlignment="1">
      <alignment horizontal="left" vertical="center" wrapText="1"/>
    </xf>
    <xf numFmtId="9" fontId="75" fillId="3" borderId="8" xfId="0" applyNumberFormat="1" applyFont="1" applyFill="1" applyBorder="1" applyAlignment="1">
      <alignment horizontal="center" vertical="center"/>
    </xf>
    <xf numFmtId="0" fontId="75" fillId="3" borderId="7" xfId="0" applyFont="1" applyFill="1" applyBorder="1" applyAlignment="1">
      <alignment vertical="center" wrapText="1"/>
    </xf>
    <xf numFmtId="0" fontId="71" fillId="10" borderId="7" xfId="0" applyFont="1" applyFill="1" applyBorder="1" applyAlignment="1">
      <alignment vertical="center" wrapText="1"/>
    </xf>
    <xf numFmtId="9" fontId="75" fillId="0" borderId="8" xfId="1" applyFont="1" applyBorder="1" applyAlignment="1">
      <alignment horizontal="center" vertical="center"/>
    </xf>
    <xf numFmtId="9" fontId="88" fillId="0" borderId="8" xfId="1" applyFont="1" applyBorder="1" applyAlignment="1">
      <alignment horizontal="center" vertical="center"/>
    </xf>
    <xf numFmtId="3" fontId="75" fillId="0" borderId="7" xfId="0" applyNumberFormat="1" applyFont="1" applyFill="1" applyBorder="1" applyAlignment="1">
      <alignment horizontal="center" vertical="center" wrapText="1"/>
    </xf>
    <xf numFmtId="9" fontId="75" fillId="0" borderId="8" xfId="0" applyNumberFormat="1" applyFont="1" applyFill="1" applyBorder="1" applyAlignment="1">
      <alignment horizontal="center" vertical="center"/>
    </xf>
    <xf numFmtId="0" fontId="90" fillId="0" borderId="7" xfId="0" applyFont="1" applyFill="1" applyBorder="1" applyAlignment="1">
      <alignment vertical="center" wrapText="1"/>
    </xf>
    <xf numFmtId="9" fontId="55" fillId="0" borderId="8" xfId="0" applyNumberFormat="1" applyFont="1" applyFill="1" applyBorder="1" applyAlignment="1">
      <alignment horizontal="center" vertical="center"/>
    </xf>
    <xf numFmtId="0" fontId="55" fillId="0" borderId="7" xfId="0" applyFont="1" applyFill="1" applyBorder="1" applyAlignment="1">
      <alignment vertical="center" wrapText="1"/>
    </xf>
    <xf numFmtId="0" fontId="75" fillId="3" borderId="8" xfId="0" applyFont="1" applyFill="1" applyBorder="1" applyAlignment="1">
      <alignment horizontal="center" vertical="center" wrapText="1"/>
    </xf>
    <xf numFmtId="0" fontId="75" fillId="3" borderId="6" xfId="0" applyFont="1" applyFill="1" applyBorder="1" applyAlignment="1">
      <alignment horizontal="center" vertical="center" wrapText="1"/>
    </xf>
    <xf numFmtId="0" fontId="71" fillId="4" borderId="1" xfId="0" applyFont="1" applyFill="1" applyBorder="1" applyAlignment="1">
      <alignment vertical="center" wrapText="1"/>
    </xf>
    <xf numFmtId="0" fontId="71" fillId="3" borderId="1" xfId="0" applyFont="1" applyFill="1" applyBorder="1" applyAlignment="1">
      <alignment horizontal="left" vertical="center" wrapText="1"/>
    </xf>
    <xf numFmtId="0" fontId="71" fillId="0" borderId="0" xfId="0" applyFont="1" applyAlignment="1"/>
    <xf numFmtId="0" fontId="24" fillId="3" borderId="112" xfId="0" applyFont="1" applyFill="1" applyBorder="1" applyAlignment="1">
      <alignment horizontal="center" vertical="center" wrapText="1"/>
    </xf>
    <xf numFmtId="0" fontId="24" fillId="3" borderId="2" xfId="0" applyFont="1" applyFill="1" applyBorder="1" applyAlignment="1">
      <alignment horizontal="left" vertical="center" wrapText="1"/>
    </xf>
    <xf numFmtId="0" fontId="24" fillId="2" borderId="112" xfId="0" applyFont="1" applyFill="1" applyBorder="1" applyAlignment="1">
      <alignment horizontal="center" vertical="center" wrapText="1"/>
    </xf>
    <xf numFmtId="0" fontId="24" fillId="2" borderId="2" xfId="0" applyFont="1" applyFill="1" applyBorder="1" applyAlignment="1">
      <alignment horizontal="left" vertical="center" wrapText="1"/>
    </xf>
    <xf numFmtId="0" fontId="7" fillId="0" borderId="7" xfId="0" applyFont="1" applyFill="1" applyBorder="1" applyAlignment="1">
      <alignment horizontal="left" vertical="center" wrapText="1"/>
    </xf>
    <xf numFmtId="0" fontId="7" fillId="3" borderId="8" xfId="0" applyFont="1" applyFill="1" applyBorder="1" applyAlignment="1">
      <alignment horizontal="left" vertical="center"/>
    </xf>
    <xf numFmtId="0" fontId="7" fillId="3" borderId="15" xfId="0" applyFont="1" applyFill="1" applyBorder="1" applyAlignment="1">
      <alignment horizontal="left" vertical="center"/>
    </xf>
    <xf numFmtId="0" fontId="7" fillId="3" borderId="14" xfId="0" applyFont="1" applyFill="1" applyBorder="1" applyAlignment="1">
      <alignment horizontal="left" vertical="center"/>
    </xf>
    <xf numFmtId="0" fontId="7" fillId="3" borderId="31" xfId="0" applyFont="1" applyFill="1" applyBorder="1" applyAlignment="1">
      <alignment vertical="center"/>
    </xf>
    <xf numFmtId="0" fontId="7" fillId="3" borderId="0" xfId="0" applyFont="1" applyFill="1" applyBorder="1" applyAlignment="1">
      <alignment vertical="center"/>
    </xf>
    <xf numFmtId="0" fontId="7" fillId="3" borderId="13" xfId="0" applyFont="1" applyFill="1" applyBorder="1" applyAlignment="1">
      <alignment vertical="center"/>
    </xf>
    <xf numFmtId="3" fontId="12" fillId="0" borderId="52" xfId="0" applyNumberFormat="1" applyFont="1" applyBorder="1" applyAlignment="1">
      <alignment horizontal="center" vertical="center"/>
    </xf>
    <xf numFmtId="3" fontId="12" fillId="0" borderId="51" xfId="0" applyNumberFormat="1" applyFont="1" applyBorder="1" applyAlignment="1">
      <alignment horizontal="center" vertical="center"/>
    </xf>
    <xf numFmtId="3" fontId="12" fillId="0" borderId="50" xfId="0" applyNumberFormat="1" applyFont="1" applyBorder="1" applyAlignment="1">
      <alignment horizontal="center" vertical="center"/>
    </xf>
    <xf numFmtId="0" fontId="13" fillId="0" borderId="49" xfId="0" applyFont="1" applyBorder="1" applyAlignment="1">
      <alignment horizontal="left" vertical="center" wrapText="1" indent="1"/>
    </xf>
    <xf numFmtId="0" fontId="13" fillId="3" borderId="29" xfId="0" applyFont="1" applyFill="1" applyBorder="1" applyAlignment="1">
      <alignment horizontal="left" vertical="center" wrapText="1" indent="1"/>
    </xf>
    <xf numFmtId="0" fontId="55" fillId="0" borderId="7" xfId="0" applyFont="1" applyFill="1" applyBorder="1" applyAlignment="1">
      <alignment horizontal="left" vertical="center" wrapText="1"/>
    </xf>
    <xf numFmtId="0" fontId="55" fillId="3" borderId="7" xfId="0" applyFont="1" applyFill="1" applyBorder="1" applyAlignment="1">
      <alignment vertical="center" wrapText="1"/>
    </xf>
    <xf numFmtId="3" fontId="54" fillId="0" borderId="8" xfId="0" applyNumberFormat="1" applyFont="1" applyBorder="1" applyAlignment="1">
      <alignment horizontal="center" vertical="center"/>
    </xf>
    <xf numFmtId="0" fontId="7" fillId="19" borderId="7" xfId="0" applyFont="1" applyFill="1" applyBorder="1" applyAlignment="1">
      <alignment horizontal="left" vertical="center" wrapText="1"/>
    </xf>
    <xf numFmtId="0" fontId="32" fillId="2" borderId="1" xfId="0" applyFont="1" applyFill="1" applyBorder="1" applyAlignment="1">
      <alignment horizontal="left" vertical="center" wrapText="1"/>
    </xf>
    <xf numFmtId="0" fontId="18" fillId="0" borderId="7" xfId="0" applyFont="1" applyBorder="1" applyAlignment="1">
      <alignment horizontal="left" vertical="center" wrapText="1" indent="1"/>
    </xf>
    <xf numFmtId="3" fontId="59" fillId="2" borderId="8" xfId="0" applyNumberFormat="1" applyFont="1" applyFill="1" applyBorder="1" applyAlignment="1">
      <alignment horizontal="center" vertical="center"/>
    </xf>
    <xf numFmtId="0" fontId="18" fillId="2" borderId="7" xfId="0" applyFont="1" applyFill="1" applyBorder="1" applyAlignment="1">
      <alignment vertical="center" wrapText="1"/>
    </xf>
    <xf numFmtId="165" fontId="76" fillId="0" borderId="8" xfId="0" applyNumberFormat="1" applyFont="1" applyBorder="1" applyAlignment="1">
      <alignment horizontal="center" vertical="center"/>
    </xf>
    <xf numFmtId="3" fontId="59" fillId="4" borderId="8" xfId="0" applyNumberFormat="1" applyFont="1" applyFill="1" applyBorder="1" applyAlignment="1">
      <alignment horizontal="center" vertical="center"/>
    </xf>
    <xf numFmtId="0" fontId="93" fillId="0" borderId="7" xfId="0" applyFont="1" applyBorder="1" applyAlignment="1">
      <alignment horizontal="left" vertical="center" wrapText="1" indent="1"/>
    </xf>
    <xf numFmtId="0" fontId="91" fillId="0" borderId="7" xfId="0" applyFont="1" applyBorder="1" applyAlignment="1">
      <alignment horizontal="left" vertical="center" wrapText="1" indent="1"/>
    </xf>
    <xf numFmtId="166" fontId="76" fillId="0" borderId="8" xfId="0" applyNumberFormat="1" applyFont="1" applyBorder="1" applyAlignment="1">
      <alignment horizontal="center" vertical="center"/>
    </xf>
    <xf numFmtId="165" fontId="94" fillId="0" borderId="8" xfId="0" applyNumberFormat="1" applyFont="1" applyBorder="1" applyAlignment="1">
      <alignment horizontal="center" vertical="center"/>
    </xf>
    <xf numFmtId="3" fontId="94" fillId="3" borderId="8" xfId="0" applyNumberFormat="1" applyFont="1" applyFill="1" applyBorder="1" applyAlignment="1">
      <alignment horizontal="center" vertical="center"/>
    </xf>
    <xf numFmtId="0" fontId="66" fillId="3" borderId="7" xfId="0" applyFont="1" applyFill="1" applyBorder="1" applyAlignment="1">
      <alignment vertical="center" wrapText="1"/>
    </xf>
    <xf numFmtId="0" fontId="18" fillId="4" borderId="7" xfId="0" applyFont="1" applyFill="1" applyBorder="1" applyAlignment="1">
      <alignment vertical="center" wrapText="1"/>
    </xf>
    <xf numFmtId="3" fontId="76" fillId="3" borderId="8" xfId="0" applyNumberFormat="1" applyFont="1" applyFill="1" applyBorder="1" applyAlignment="1">
      <alignment horizontal="center" vertical="center"/>
    </xf>
    <xf numFmtId="3" fontId="55" fillId="3" borderId="8" xfId="0" applyNumberFormat="1" applyFont="1" applyFill="1" applyBorder="1" applyAlignment="1">
      <alignment horizontal="center" vertical="center"/>
    </xf>
    <xf numFmtId="0" fontId="59" fillId="3" borderId="8" xfId="0" applyFont="1" applyFill="1" applyBorder="1" applyAlignment="1">
      <alignment horizontal="center" vertical="center" wrapText="1"/>
    </xf>
    <xf numFmtId="0" fontId="59" fillId="3" borderId="6" xfId="0" applyFont="1" applyFill="1" applyBorder="1" applyAlignment="1">
      <alignment horizontal="center" vertical="center" wrapText="1"/>
    </xf>
    <xf numFmtId="165" fontId="55" fillId="3" borderId="8" xfId="0" applyNumberFormat="1" applyFont="1" applyFill="1" applyBorder="1" applyAlignment="1">
      <alignment horizontal="center" vertical="center"/>
    </xf>
    <xf numFmtId="0" fontId="55" fillId="3" borderId="7" xfId="0" applyFont="1" applyFill="1" applyBorder="1" applyAlignment="1">
      <alignment horizontal="center" vertical="center" wrapText="1"/>
    </xf>
    <xf numFmtId="0" fontId="55" fillId="3" borderId="7" xfId="0" applyFont="1" applyFill="1" applyBorder="1" applyAlignment="1">
      <alignment horizontal="left" vertical="center" wrapText="1"/>
    </xf>
    <xf numFmtId="0" fontId="55" fillId="4" borderId="7" xfId="0" applyFont="1" applyFill="1" applyBorder="1" applyAlignment="1">
      <alignment horizontal="left" vertical="center" wrapText="1"/>
    </xf>
    <xf numFmtId="3" fontId="68" fillId="0" borderId="8" xfId="0" applyNumberFormat="1" applyFont="1" applyBorder="1" applyAlignment="1">
      <alignment horizontal="center" vertical="center"/>
    </xf>
    <xf numFmtId="3" fontId="55" fillId="0" borderId="0" xfId="0" applyNumberFormat="1" applyFont="1" applyFill="1" applyBorder="1" applyAlignment="1">
      <alignment horizontal="center" vertical="center"/>
    </xf>
    <xf numFmtId="9" fontId="76" fillId="0" borderId="8" xfId="1" applyFont="1" applyBorder="1" applyAlignment="1">
      <alignment horizontal="center" vertical="center"/>
    </xf>
    <xf numFmtId="0" fontId="54" fillId="3" borderId="7" xfId="0" applyFont="1" applyFill="1" applyBorder="1" applyAlignment="1">
      <alignment horizontal="center" vertical="center" wrapText="1"/>
    </xf>
    <xf numFmtId="0" fontId="55" fillId="3" borderId="8" xfId="0" applyFont="1" applyFill="1" applyBorder="1" applyAlignment="1">
      <alignment horizontal="center" vertical="center" wrapText="1"/>
    </xf>
    <xf numFmtId="0" fontId="55" fillId="3" borderId="6" xfId="0" applyFont="1" applyFill="1" applyBorder="1" applyAlignment="1">
      <alignment horizontal="center" vertical="center" wrapText="1"/>
    </xf>
    <xf numFmtId="0" fontId="5" fillId="3" borderId="0" xfId="0" applyFont="1" applyFill="1" applyBorder="1" applyAlignment="1">
      <alignment vertical="center" wrapText="1"/>
    </xf>
    <xf numFmtId="0" fontId="96" fillId="4" borderId="1" xfId="0" applyFont="1" applyFill="1" applyBorder="1" applyAlignment="1">
      <alignment vertical="center" wrapText="1"/>
    </xf>
    <xf numFmtId="0" fontId="96" fillId="3" borderId="1" xfId="0" applyFont="1" applyFill="1" applyBorder="1" applyAlignment="1">
      <alignment horizontal="left" vertical="center" wrapText="1"/>
    </xf>
    <xf numFmtId="0" fontId="52" fillId="2" borderId="0" xfId="0" applyFont="1" applyFill="1" applyAlignment="1">
      <alignment horizontal="center"/>
    </xf>
    <xf numFmtId="0" fontId="63" fillId="0" borderId="0" xfId="0" applyFont="1"/>
    <xf numFmtId="0" fontId="100" fillId="0" borderId="0" xfId="0" applyFont="1" applyBorder="1"/>
    <xf numFmtId="0" fontId="100" fillId="0" borderId="0" xfId="0" applyFont="1" applyBorder="1" applyAlignment="1">
      <alignment horizontal="center" vertical="center" wrapText="1"/>
    </xf>
    <xf numFmtId="0" fontId="101" fillId="2" borderId="20" xfId="0" applyFont="1" applyFill="1" applyBorder="1"/>
    <xf numFmtId="3" fontId="63" fillId="0" borderId="18" xfId="0" applyNumberFormat="1" applyFont="1" applyBorder="1" applyAlignment="1">
      <alignment horizontal="center" vertical="center"/>
    </xf>
    <xf numFmtId="3" fontId="63" fillId="0" borderId="17" xfId="0" applyNumberFormat="1" applyFont="1" applyBorder="1" applyAlignment="1">
      <alignment horizontal="center" vertical="center"/>
    </xf>
    <xf numFmtId="0" fontId="63" fillId="0" borderId="113" xfId="0" applyFont="1" applyBorder="1" applyAlignment="1">
      <alignment horizontal="left" vertical="center" wrapText="1" indent="1"/>
    </xf>
    <xf numFmtId="3" fontId="63" fillId="2" borderId="18" xfId="0" applyNumberFormat="1" applyFont="1" applyFill="1" applyBorder="1" applyAlignment="1">
      <alignment horizontal="center" vertical="center"/>
    </xf>
    <xf numFmtId="3" fontId="63" fillId="2" borderId="17" xfId="0" applyNumberFormat="1" applyFont="1" applyFill="1" applyBorder="1" applyAlignment="1">
      <alignment horizontal="center" vertical="center"/>
    </xf>
    <xf numFmtId="0" fontId="100" fillId="2" borderId="113" xfId="0" applyFont="1" applyFill="1" applyBorder="1" applyAlignment="1">
      <alignment vertical="center" wrapText="1"/>
    </xf>
    <xf numFmtId="165" fontId="97" fillId="0" borderId="18" xfId="0" applyNumberFormat="1" applyFont="1" applyBorder="1" applyAlignment="1">
      <alignment horizontal="center" vertical="center"/>
    </xf>
    <xf numFmtId="165" fontId="97" fillId="0" borderId="17" xfId="0" applyNumberFormat="1" applyFont="1" applyBorder="1" applyAlignment="1">
      <alignment horizontal="center" vertical="center"/>
    </xf>
    <xf numFmtId="3" fontId="97" fillId="0" borderId="17" xfId="0" applyNumberFormat="1" applyFont="1" applyBorder="1" applyAlignment="1">
      <alignment horizontal="center" vertical="center"/>
    </xf>
    <xf numFmtId="0" fontId="97" fillId="0" borderId="113" xfId="0" applyFont="1" applyBorder="1" applyAlignment="1">
      <alignment horizontal="left" vertical="center" wrapText="1" indent="1"/>
    </xf>
    <xf numFmtId="3" fontId="97" fillId="3" borderId="17" xfId="0" applyNumberFormat="1" applyFont="1" applyFill="1" applyBorder="1" applyAlignment="1">
      <alignment horizontal="center" vertical="center"/>
    </xf>
    <xf numFmtId="0" fontId="97" fillId="3" borderId="113" xfId="0" applyFont="1" applyFill="1" applyBorder="1" applyAlignment="1">
      <alignment vertical="center" wrapText="1"/>
    </xf>
    <xf numFmtId="3" fontId="63" fillId="4" borderId="18" xfId="0" applyNumberFormat="1" applyFont="1" applyFill="1" applyBorder="1" applyAlignment="1">
      <alignment horizontal="center" vertical="center"/>
    </xf>
    <xf numFmtId="3" fontId="63" fillId="4" borderId="17" xfId="0" applyNumberFormat="1" applyFont="1" applyFill="1" applyBorder="1" applyAlignment="1">
      <alignment horizontal="center" vertical="center"/>
    </xf>
    <xf numFmtId="0" fontId="63" fillId="4" borderId="113" xfId="0" applyFont="1" applyFill="1" applyBorder="1" applyAlignment="1">
      <alignment vertical="center" wrapText="1"/>
    </xf>
    <xf numFmtId="3" fontId="63" fillId="5" borderId="18" xfId="0" applyNumberFormat="1" applyFont="1" applyFill="1" applyBorder="1" applyAlignment="1">
      <alignment horizontal="center" vertical="center"/>
    </xf>
    <xf numFmtId="3" fontId="63" fillId="5" borderId="17" xfId="0" applyNumberFormat="1" applyFont="1" applyFill="1" applyBorder="1" applyAlignment="1">
      <alignment horizontal="center" vertical="center"/>
    </xf>
    <xf numFmtId="0" fontId="101" fillId="5" borderId="113" xfId="0" applyFont="1" applyFill="1" applyBorder="1" applyAlignment="1">
      <alignment vertical="center" wrapText="1"/>
    </xf>
    <xf numFmtId="3" fontId="97" fillId="0" borderId="18" xfId="0" applyNumberFormat="1" applyFont="1" applyBorder="1" applyAlignment="1">
      <alignment horizontal="center" vertical="center"/>
    </xf>
    <xf numFmtId="0" fontId="98" fillId="0" borderId="113" xfId="0" applyFont="1" applyBorder="1" applyAlignment="1">
      <alignment horizontal="left" vertical="center" wrapText="1" indent="1"/>
    </xf>
    <xf numFmtId="0" fontId="63" fillId="3" borderId="18" xfId="0" applyFont="1" applyFill="1" applyBorder="1" applyAlignment="1">
      <alignment horizontal="center" vertical="center" wrapText="1"/>
    </xf>
    <xf numFmtId="0" fontId="63" fillId="3" borderId="17" xfId="0" applyFont="1" applyFill="1" applyBorder="1" applyAlignment="1">
      <alignment horizontal="center" vertical="center" wrapText="1"/>
    </xf>
    <xf numFmtId="3" fontId="63" fillId="3" borderId="18" xfId="0" applyNumberFormat="1" applyFont="1" applyFill="1" applyBorder="1" applyAlignment="1">
      <alignment horizontal="center" vertical="center" wrapText="1"/>
    </xf>
    <xf numFmtId="3" fontId="63" fillId="3" borderId="17" xfId="0" applyNumberFormat="1" applyFont="1" applyFill="1" applyBorder="1" applyAlignment="1">
      <alignment horizontal="center" vertical="center" wrapText="1"/>
    </xf>
    <xf numFmtId="0" fontId="99" fillId="0" borderId="113" xfId="0" applyFont="1" applyBorder="1" applyAlignment="1">
      <alignment horizontal="left" vertical="center" wrapText="1" indent="1"/>
    </xf>
    <xf numFmtId="165" fontId="63" fillId="3" borderId="18" xfId="0" applyNumberFormat="1" applyFont="1" applyFill="1" applyBorder="1" applyAlignment="1">
      <alignment horizontal="center" vertical="center"/>
    </xf>
    <xf numFmtId="165" fontId="63" fillId="3" borderId="17" xfId="0" applyNumberFormat="1" applyFont="1" applyFill="1" applyBorder="1" applyAlignment="1">
      <alignment horizontal="center" vertical="center"/>
    </xf>
    <xf numFmtId="0" fontId="63" fillId="3" borderId="113" xfId="0" applyFont="1" applyFill="1" applyBorder="1" applyAlignment="1">
      <alignment horizontal="left" vertical="center" wrapText="1"/>
    </xf>
    <xf numFmtId="3" fontId="63" fillId="0" borderId="0" xfId="0" applyNumberFormat="1" applyFont="1"/>
    <xf numFmtId="0" fontId="101" fillId="4" borderId="113" xfId="0" applyFont="1" applyFill="1" applyBorder="1" applyAlignment="1">
      <alignment horizontal="left" vertical="center" wrapText="1"/>
    </xf>
    <xf numFmtId="0" fontId="63" fillId="4" borderId="113" xfId="0" applyFont="1" applyFill="1" applyBorder="1" applyAlignment="1">
      <alignment horizontal="left" vertical="center" wrapText="1"/>
    </xf>
    <xf numFmtId="0" fontId="101" fillId="2" borderId="113" xfId="0" applyFont="1" applyFill="1" applyBorder="1" applyAlignment="1">
      <alignment vertical="center" wrapText="1"/>
    </xf>
    <xf numFmtId="0" fontId="101" fillId="0" borderId="113" xfId="0" applyFont="1" applyBorder="1" applyAlignment="1">
      <alignment horizontal="left" vertical="center" wrapText="1" indent="1"/>
    </xf>
    <xf numFmtId="3" fontId="100" fillId="0" borderId="18" xfId="0" applyNumberFormat="1" applyFont="1" applyBorder="1" applyAlignment="1">
      <alignment horizontal="center" vertical="center"/>
    </xf>
    <xf numFmtId="3" fontId="100" fillId="0" borderId="17" xfId="0" applyNumberFormat="1" applyFont="1" applyBorder="1" applyAlignment="1">
      <alignment horizontal="center" vertical="center"/>
    </xf>
    <xf numFmtId="0" fontId="101" fillId="4" borderId="113" xfId="0" applyFont="1" applyFill="1" applyBorder="1" applyAlignment="1">
      <alignment vertical="center" wrapText="1"/>
    </xf>
    <xf numFmtId="3" fontId="63" fillId="0" borderId="18" xfId="0" applyNumberFormat="1" applyFont="1" applyFill="1" applyBorder="1" applyAlignment="1">
      <alignment horizontal="center" vertical="center"/>
    </xf>
    <xf numFmtId="3" fontId="63" fillId="0" borderId="17" xfId="0" applyNumberFormat="1" applyFont="1" applyFill="1" applyBorder="1" applyAlignment="1">
      <alignment horizontal="center" vertical="center"/>
    </xf>
    <xf numFmtId="0" fontId="100" fillId="0" borderId="113" xfId="0" applyFont="1" applyFill="1" applyBorder="1" applyAlignment="1">
      <alignment vertical="center" wrapText="1"/>
    </xf>
    <xf numFmtId="1" fontId="99" fillId="0" borderId="18" xfId="1" applyNumberFormat="1" applyFont="1" applyBorder="1" applyAlignment="1">
      <alignment horizontal="center" vertical="center"/>
    </xf>
    <xf numFmtId="1" fontId="99" fillId="0" borderId="17" xfId="1" applyNumberFormat="1" applyFont="1" applyBorder="1" applyAlignment="1">
      <alignment horizontal="center" vertical="center"/>
    </xf>
    <xf numFmtId="3" fontId="100" fillId="0" borderId="18" xfId="0" applyNumberFormat="1" applyFont="1" applyFill="1" applyBorder="1" applyAlignment="1">
      <alignment horizontal="center" vertical="center" wrapText="1"/>
    </xf>
    <xf numFmtId="3" fontId="100" fillId="0" borderId="17" xfId="0" applyNumberFormat="1" applyFont="1" applyFill="1" applyBorder="1" applyAlignment="1">
      <alignment horizontal="center" vertical="center" wrapText="1"/>
    </xf>
    <xf numFmtId="9" fontId="63" fillId="3" borderId="18" xfId="0" applyNumberFormat="1" applyFont="1" applyFill="1" applyBorder="1" applyAlignment="1">
      <alignment horizontal="center" vertical="center"/>
    </xf>
    <xf numFmtId="9" fontId="63" fillId="3" borderId="17" xfId="0" applyNumberFormat="1" applyFont="1" applyFill="1" applyBorder="1" applyAlignment="1">
      <alignment horizontal="center" vertical="center"/>
    </xf>
    <xf numFmtId="9" fontId="100" fillId="3" borderId="17" xfId="0" applyNumberFormat="1" applyFont="1" applyFill="1" applyBorder="1" applyAlignment="1">
      <alignment horizontal="center" vertical="center"/>
    </xf>
    <xf numFmtId="0" fontId="100" fillId="3" borderId="113" xfId="0" applyFont="1" applyFill="1" applyBorder="1" applyAlignment="1">
      <alignment horizontal="left" vertical="center" wrapText="1"/>
    </xf>
    <xf numFmtId="9" fontId="100" fillId="3" borderId="18" xfId="0" applyNumberFormat="1" applyFont="1" applyFill="1" applyBorder="1" applyAlignment="1">
      <alignment horizontal="center" vertical="center"/>
    </xf>
    <xf numFmtId="0" fontId="102" fillId="3" borderId="59" xfId="0" applyFont="1" applyFill="1" applyBorder="1" applyAlignment="1">
      <alignment vertical="center" wrapText="1"/>
    </xf>
    <xf numFmtId="0" fontId="63" fillId="0" borderId="25" xfId="0" applyFont="1" applyBorder="1"/>
    <xf numFmtId="0" fontId="63" fillId="0" borderId="0" xfId="0" applyFont="1" applyBorder="1"/>
    <xf numFmtId="0" fontId="63" fillId="0" borderId="24" xfId="0" applyFont="1" applyBorder="1"/>
    <xf numFmtId="0" fontId="63" fillId="0" borderId="23" xfId="0" applyFont="1" applyBorder="1" applyAlignment="1"/>
    <xf numFmtId="0" fontId="63" fillId="0" borderId="22" xfId="0" applyFont="1" applyBorder="1" applyAlignment="1"/>
    <xf numFmtId="0" fontId="63" fillId="0" borderId="21" xfId="0" applyFont="1" applyBorder="1" applyAlignment="1"/>
    <xf numFmtId="0" fontId="63" fillId="3" borderId="116" xfId="0" quotePrefix="1" applyFont="1" applyFill="1" applyBorder="1" applyAlignment="1">
      <alignment horizontal="center" vertical="center" wrapText="1"/>
    </xf>
    <xf numFmtId="0" fontId="63" fillId="3" borderId="17" xfId="0" applyFont="1" applyFill="1" applyBorder="1" applyAlignment="1">
      <alignment horizontal="left" vertical="center" wrapText="1"/>
    </xf>
    <xf numFmtId="0" fontId="63" fillId="0" borderId="117" xfId="0" applyFont="1" applyFill="1" applyBorder="1" applyAlignment="1">
      <alignment horizontal="center" vertical="center" wrapText="1"/>
    </xf>
    <xf numFmtId="0" fontId="63" fillId="3" borderId="118" xfId="0" applyFont="1" applyFill="1" applyBorder="1" applyAlignment="1">
      <alignment horizontal="left" vertical="center" wrapText="1"/>
    </xf>
    <xf numFmtId="0" fontId="63" fillId="0" borderId="17" xfId="0" applyFont="1" applyFill="1" applyBorder="1" applyAlignment="1">
      <alignment horizontal="left" vertical="center" wrapText="1"/>
    </xf>
    <xf numFmtId="0" fontId="63" fillId="2" borderId="0" xfId="0" applyFont="1" applyFill="1"/>
    <xf numFmtId="3" fontId="7" fillId="0" borderId="28" xfId="0" applyNumberFormat="1" applyFont="1" applyBorder="1" applyAlignment="1">
      <alignment horizontal="center" vertical="center"/>
    </xf>
    <xf numFmtId="3" fontId="7" fillId="0" borderId="57" xfId="0" applyNumberFormat="1" applyFont="1" applyBorder="1" applyAlignment="1">
      <alignment horizontal="center" vertical="center"/>
    </xf>
    <xf numFmtId="0" fontId="9" fillId="0" borderId="55" xfId="0" applyFont="1" applyBorder="1" applyAlignment="1">
      <alignment horizontal="left" vertical="center" wrapText="1" indent="1"/>
    </xf>
    <xf numFmtId="3" fontId="7" fillId="0" borderId="60" xfId="0" applyNumberFormat="1" applyFont="1" applyBorder="1" applyAlignment="1">
      <alignment horizontal="center" vertical="center"/>
    </xf>
    <xf numFmtId="0" fontId="9" fillId="0" borderId="59" xfId="0" applyFont="1" applyBorder="1" applyAlignment="1">
      <alignment horizontal="left" vertical="center" wrapText="1" indent="1"/>
    </xf>
    <xf numFmtId="3" fontId="9" fillId="2" borderId="47" xfId="0" applyNumberFormat="1" applyFont="1" applyFill="1" applyBorder="1" applyAlignment="1">
      <alignment horizontal="center" vertical="center"/>
    </xf>
    <xf numFmtId="3" fontId="9" fillId="2" borderId="48" xfId="0" applyNumberFormat="1" applyFont="1" applyFill="1" applyBorder="1" applyAlignment="1">
      <alignment horizontal="center" vertical="center"/>
    </xf>
    <xf numFmtId="0" fontId="18" fillId="2" borderId="44" xfId="0" applyFont="1" applyFill="1" applyBorder="1" applyAlignment="1">
      <alignment vertical="center" wrapText="1"/>
    </xf>
    <xf numFmtId="165" fontId="12" fillId="0" borderId="25" xfId="0" applyNumberFormat="1" applyFont="1" applyBorder="1" applyAlignment="1">
      <alignment horizontal="center" vertical="center"/>
    </xf>
    <xf numFmtId="165" fontId="12" fillId="0" borderId="6" xfId="0" applyNumberFormat="1" applyFont="1" applyBorder="1" applyAlignment="1">
      <alignment horizontal="center" vertical="center"/>
    </xf>
    <xf numFmtId="0" fontId="12" fillId="0" borderId="54" xfId="0" applyFont="1" applyBorder="1" applyAlignment="1">
      <alignment horizontal="left" vertical="center" wrapText="1" indent="1"/>
    </xf>
    <xf numFmtId="3" fontId="17" fillId="0" borderId="60" xfId="0" applyNumberFormat="1" applyFont="1" applyBorder="1" applyAlignment="1">
      <alignment horizontal="center" vertical="center"/>
    </xf>
    <xf numFmtId="0" fontId="7" fillId="0" borderId="59" xfId="0" applyFont="1" applyBorder="1" applyAlignment="1">
      <alignment horizontal="left" vertical="center" wrapText="1" indent="1"/>
    </xf>
    <xf numFmtId="165" fontId="12" fillId="0" borderId="60" xfId="0" applyNumberFormat="1" applyFont="1" applyBorder="1" applyAlignment="1">
      <alignment horizontal="center" vertical="center"/>
    </xf>
    <xf numFmtId="0" fontId="12" fillId="0" borderId="59" xfId="0" applyFont="1" applyBorder="1" applyAlignment="1">
      <alignment horizontal="left" vertical="center" wrapText="1" indent="1"/>
    </xf>
    <xf numFmtId="3" fontId="17" fillId="3" borderId="60" xfId="0" applyNumberFormat="1" applyFont="1" applyFill="1" applyBorder="1" applyAlignment="1">
      <alignment horizontal="center" vertical="center"/>
    </xf>
    <xf numFmtId="0" fontId="7" fillId="3" borderId="59" xfId="0" applyFont="1" applyFill="1" applyBorder="1" applyAlignment="1">
      <alignment horizontal="left" vertical="center" wrapText="1" indent="1"/>
    </xf>
    <xf numFmtId="165" fontId="12" fillId="3" borderId="60" xfId="0" applyNumberFormat="1" applyFont="1" applyFill="1" applyBorder="1" applyAlignment="1">
      <alignment horizontal="center" vertical="center"/>
    </xf>
    <xf numFmtId="0" fontId="12" fillId="3" borderId="59" xfId="0" applyFont="1" applyFill="1" applyBorder="1" applyAlignment="1">
      <alignment horizontal="left" vertical="center" wrapText="1" indent="1"/>
    </xf>
    <xf numFmtId="3" fontId="94" fillId="3" borderId="60" xfId="0" applyNumberFormat="1" applyFont="1" applyFill="1" applyBorder="1" applyAlignment="1">
      <alignment horizontal="center" vertical="center"/>
    </xf>
    <xf numFmtId="0" fontId="17" fillId="3" borderId="59" xfId="0" applyFont="1" applyFill="1" applyBorder="1" applyAlignment="1">
      <alignment vertical="center" wrapText="1"/>
    </xf>
    <xf numFmtId="3" fontId="9" fillId="2" borderId="60" xfId="0" applyNumberFormat="1" applyFont="1" applyFill="1" applyBorder="1" applyAlignment="1">
      <alignment horizontal="center" vertical="center"/>
    </xf>
    <xf numFmtId="0" fontId="9" fillId="2" borderId="59" xfId="0" applyFont="1" applyFill="1" applyBorder="1" applyAlignment="1">
      <alignment vertical="center" wrapText="1"/>
    </xf>
    <xf numFmtId="3" fontId="17" fillId="4" borderId="60" xfId="0" applyNumberFormat="1" applyFont="1" applyFill="1" applyBorder="1" applyAlignment="1">
      <alignment horizontal="center" vertical="center"/>
    </xf>
    <xf numFmtId="3" fontId="17" fillId="4" borderId="8" xfId="0" applyNumberFormat="1" applyFont="1" applyFill="1" applyBorder="1" applyAlignment="1">
      <alignment horizontal="center" vertical="center"/>
    </xf>
    <xf numFmtId="0" fontId="9" fillId="4" borderId="59" xfId="0" applyFont="1" applyFill="1" applyBorder="1" applyAlignment="1">
      <alignment vertical="center" wrapText="1"/>
    </xf>
    <xf numFmtId="0" fontId="31" fillId="8" borderId="47" xfId="0" applyFont="1" applyFill="1" applyBorder="1"/>
    <xf numFmtId="0" fontId="31" fillId="8" borderId="46" xfId="0" applyFont="1" applyFill="1" applyBorder="1"/>
    <xf numFmtId="0" fontId="31" fillId="8" borderId="58" xfId="0" applyFont="1" applyFill="1" applyBorder="1"/>
    <xf numFmtId="3" fontId="17" fillId="2" borderId="47" xfId="0" applyNumberFormat="1" applyFont="1" applyFill="1" applyBorder="1" applyAlignment="1">
      <alignment horizontal="center" vertical="center"/>
    </xf>
    <xf numFmtId="3" fontId="94" fillId="2" borderId="48" xfId="0" applyNumberFormat="1" applyFont="1" applyFill="1" applyBorder="1" applyAlignment="1">
      <alignment horizontal="center" vertical="center"/>
    </xf>
    <xf numFmtId="0" fontId="66" fillId="2" borderId="44" xfId="0" applyFont="1" applyFill="1" applyBorder="1" applyAlignment="1">
      <alignment vertical="center" wrapText="1"/>
    </xf>
    <xf numFmtId="3" fontId="17" fillId="0" borderId="25" xfId="0" applyNumberFormat="1" applyFont="1" applyBorder="1" applyAlignment="1">
      <alignment horizontal="center" vertical="center"/>
    </xf>
    <xf numFmtId="3" fontId="94" fillId="0" borderId="6" xfId="0" applyNumberFormat="1" applyFont="1" applyBorder="1" applyAlignment="1">
      <alignment horizontal="center" vertical="center"/>
    </xf>
    <xf numFmtId="3" fontId="76" fillId="3" borderId="6" xfId="0" applyNumberFormat="1" applyFont="1" applyFill="1" applyBorder="1" applyAlignment="1">
      <alignment horizontal="center" vertical="center"/>
    </xf>
    <xf numFmtId="0" fontId="66" fillId="0" borderId="20" xfId="0" applyFont="1" applyBorder="1" applyAlignment="1">
      <alignment horizontal="left" vertical="center" wrapText="1" indent="1"/>
    </xf>
    <xf numFmtId="0" fontId="7" fillId="0" borderId="54" xfId="0" applyFont="1" applyBorder="1" applyAlignment="1">
      <alignment horizontal="left" vertical="center" wrapText="1" indent="1"/>
    </xf>
    <xf numFmtId="0" fontId="12" fillId="0" borderId="8" xfId="0" applyFont="1" applyBorder="1" applyAlignment="1">
      <alignment horizontal="center" vertical="center"/>
    </xf>
    <xf numFmtId="0" fontId="9" fillId="3" borderId="60" xfId="0" applyFont="1" applyFill="1" applyBorder="1" applyAlignment="1">
      <alignment horizontal="center" vertical="center" wrapText="1"/>
    </xf>
    <xf numFmtId="0" fontId="9" fillId="3" borderId="25" xfId="0" applyFont="1" applyFill="1" applyBorder="1" applyAlignment="1">
      <alignment horizontal="center" vertical="center" wrapText="1"/>
    </xf>
    <xf numFmtId="165" fontId="7" fillId="3" borderId="60" xfId="0" applyNumberFormat="1" applyFont="1" applyFill="1" applyBorder="1" applyAlignment="1">
      <alignment horizontal="center" vertical="center"/>
    </xf>
    <xf numFmtId="0" fontId="7" fillId="3" borderId="59" xfId="0" applyFont="1" applyFill="1" applyBorder="1" applyAlignment="1">
      <alignment horizontal="left" vertical="center" wrapText="1"/>
    </xf>
    <xf numFmtId="43" fontId="7" fillId="3" borderId="70" xfId="7" applyFont="1" applyFill="1" applyBorder="1" applyAlignment="1">
      <alignment horizontal="center" vertical="center" wrapText="1"/>
    </xf>
    <xf numFmtId="43" fontId="7" fillId="3" borderId="7" xfId="7" applyFont="1" applyFill="1" applyBorder="1" applyAlignment="1">
      <alignment horizontal="center" vertical="center" wrapText="1"/>
    </xf>
    <xf numFmtId="3" fontId="9" fillId="3" borderId="70" xfId="0" applyNumberFormat="1" applyFont="1" applyFill="1" applyBorder="1" applyAlignment="1">
      <alignment horizontal="center" vertical="center" wrapText="1"/>
    </xf>
    <xf numFmtId="3" fontId="9" fillId="3" borderId="7" xfId="0" applyNumberFormat="1" applyFont="1" applyFill="1" applyBorder="1" applyAlignment="1">
      <alignment horizontal="center" vertical="center" wrapText="1"/>
    </xf>
    <xf numFmtId="0" fontId="59" fillId="0" borderId="17" xfId="7" applyNumberFormat="1" applyFont="1" applyBorder="1"/>
    <xf numFmtId="0" fontId="9" fillId="3" borderId="25" xfId="0" applyFont="1" applyFill="1" applyBorder="1" applyAlignment="1">
      <alignment horizontal="center" wrapText="1"/>
    </xf>
    <xf numFmtId="0" fontId="9" fillId="3" borderId="6" xfId="0" applyFont="1" applyFill="1" applyBorder="1" applyAlignment="1">
      <alignment horizontal="center" wrapText="1"/>
    </xf>
    <xf numFmtId="3" fontId="7" fillId="3" borderId="70" xfId="0" applyNumberFormat="1" applyFont="1" applyFill="1" applyBorder="1" applyAlignment="1">
      <alignment horizontal="center" vertical="center" wrapText="1"/>
    </xf>
    <xf numFmtId="0" fontId="9" fillId="10" borderId="72" xfId="0" applyFont="1" applyFill="1" applyBorder="1" applyAlignment="1">
      <alignment horizontal="left" vertical="center" wrapText="1"/>
    </xf>
    <xf numFmtId="0" fontId="94" fillId="10" borderId="47" xfId="0" applyFont="1" applyFill="1" applyBorder="1" applyAlignment="1" applyProtection="1">
      <alignment vertical="center"/>
      <protection locked="0"/>
    </xf>
    <xf numFmtId="0" fontId="94" fillId="10" borderId="46" xfId="0" applyFont="1" applyFill="1" applyBorder="1" applyAlignment="1" applyProtection="1">
      <alignment vertical="center"/>
      <protection locked="0"/>
    </xf>
    <xf numFmtId="0" fontId="94" fillId="10" borderId="73" xfId="0" applyFont="1" applyFill="1" applyBorder="1" applyAlignment="1" applyProtection="1">
      <alignment vertical="center"/>
      <protection locked="0"/>
    </xf>
    <xf numFmtId="0" fontId="7" fillId="10" borderId="58" xfId="0" applyFont="1" applyFill="1" applyBorder="1" applyAlignment="1">
      <alignment vertical="center" wrapText="1"/>
    </xf>
    <xf numFmtId="9" fontId="55" fillId="3" borderId="19" xfId="0" applyNumberFormat="1" applyFont="1" applyFill="1" applyBorder="1" applyAlignment="1">
      <alignment horizontal="center" vertical="center" wrapText="1"/>
    </xf>
    <xf numFmtId="9" fontId="55" fillId="3" borderId="119" xfId="0" applyNumberFormat="1" applyFont="1" applyFill="1" applyBorder="1" applyAlignment="1">
      <alignment horizontal="center" vertical="center" wrapText="1"/>
    </xf>
    <xf numFmtId="9" fontId="7" fillId="3" borderId="119" xfId="0" applyNumberFormat="1" applyFont="1" applyFill="1" applyBorder="1" applyAlignment="1">
      <alignment horizontal="center" vertical="center" wrapText="1"/>
    </xf>
    <xf numFmtId="0" fontId="94" fillId="3" borderId="120" xfId="0" applyFont="1" applyFill="1" applyBorder="1" applyAlignment="1" applyProtection="1">
      <alignment horizontal="center" vertical="center"/>
      <protection locked="0"/>
    </xf>
    <xf numFmtId="0" fontId="9" fillId="3" borderId="16" xfId="0" applyFont="1" applyFill="1" applyBorder="1" applyAlignment="1">
      <alignment horizontal="center" vertical="center" wrapText="1"/>
    </xf>
    <xf numFmtId="0" fontId="9" fillId="3" borderId="121" xfId="0" applyFont="1" applyFill="1" applyBorder="1" applyAlignment="1">
      <alignment horizontal="center" vertical="center" wrapText="1"/>
    </xf>
    <xf numFmtId="0" fontId="55" fillId="3" borderId="122"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56" xfId="0" applyFont="1" applyFill="1" applyBorder="1" applyAlignment="1">
      <alignment horizontal="center" vertical="center" wrapText="1"/>
    </xf>
    <xf numFmtId="0" fontId="9" fillId="3" borderId="53" xfId="0" applyFont="1" applyFill="1" applyBorder="1" applyAlignment="1">
      <alignment horizontal="center" vertical="center" wrapText="1"/>
    </xf>
    <xf numFmtId="0" fontId="94" fillId="3" borderId="21" xfId="0" applyFont="1" applyFill="1" applyBorder="1" applyAlignment="1" applyProtection="1">
      <alignment vertical="center"/>
      <protection locked="0"/>
    </xf>
    <xf numFmtId="0" fontId="17" fillId="10" borderId="43" xfId="0" applyFont="1" applyFill="1" applyBorder="1" applyAlignment="1">
      <alignment vertical="center" wrapText="1"/>
    </xf>
    <xf numFmtId="0" fontId="7" fillId="10" borderId="44" xfId="0" applyFont="1" applyFill="1" applyBorder="1" applyAlignment="1">
      <alignment horizontal="left" vertical="center" wrapText="1"/>
    </xf>
    <xf numFmtId="3" fontId="59" fillId="2" borderId="25" xfId="0" applyNumberFormat="1" applyFont="1" applyFill="1" applyBorder="1" applyAlignment="1">
      <alignment horizontal="center" vertical="center"/>
    </xf>
    <xf numFmtId="3" fontId="59" fillId="2" borderId="6" xfId="0" applyNumberFormat="1" applyFont="1" applyFill="1" applyBorder="1" applyAlignment="1">
      <alignment horizontal="center" vertical="center"/>
    </xf>
    <xf numFmtId="0" fontId="18" fillId="2" borderId="54" xfId="0" applyFont="1" applyFill="1" applyBorder="1" applyAlignment="1">
      <alignment vertical="center" wrapText="1"/>
    </xf>
    <xf numFmtId="0" fontId="14" fillId="0" borderId="43" xfId="0" applyFont="1" applyBorder="1" applyAlignment="1">
      <alignment horizontal="left" vertical="center" wrapText="1" indent="1"/>
    </xf>
    <xf numFmtId="0" fontId="55" fillId="10" borderId="58" xfId="0" applyFont="1" applyFill="1" applyBorder="1" applyAlignment="1">
      <alignment vertical="center" wrapText="1"/>
    </xf>
    <xf numFmtId="0" fontId="9" fillId="3" borderId="19" xfId="0" applyFont="1" applyFill="1" applyBorder="1" applyAlignment="1">
      <alignment horizontal="center" vertical="center" wrapText="1"/>
    </xf>
    <xf numFmtId="0" fontId="9" fillId="3" borderId="119" xfId="0" applyFont="1" applyFill="1" applyBorder="1" applyAlignment="1">
      <alignment horizontal="center" vertical="center" wrapText="1"/>
    </xf>
    <xf numFmtId="0" fontId="55" fillId="3" borderId="26" xfId="0" applyFont="1" applyFill="1" applyBorder="1" applyAlignment="1" applyProtection="1">
      <alignment horizontal="center" vertical="center" wrapText="1"/>
      <protection locked="0"/>
    </xf>
    <xf numFmtId="9" fontId="103" fillId="3" borderId="18" xfId="0" applyNumberFormat="1" applyFont="1" applyFill="1" applyBorder="1" applyAlignment="1">
      <alignment horizontal="center" vertical="center" wrapText="1"/>
    </xf>
    <xf numFmtId="9" fontId="103" fillId="3" borderId="17" xfId="0" applyNumberFormat="1" applyFont="1" applyFill="1" applyBorder="1" applyAlignment="1">
      <alignment horizontal="center" vertical="center" wrapText="1"/>
    </xf>
    <xf numFmtId="9" fontId="104" fillId="3" borderId="17" xfId="0" applyNumberFormat="1" applyFont="1" applyFill="1" applyBorder="1" applyAlignment="1">
      <alignment horizontal="center" vertical="center" wrapText="1"/>
    </xf>
    <xf numFmtId="0" fontId="55" fillId="3" borderId="113" xfId="0" applyFont="1" applyFill="1" applyBorder="1" applyAlignment="1" applyProtection="1">
      <alignment horizontal="center" vertical="center" wrapText="1"/>
      <protection locked="0"/>
    </xf>
    <xf numFmtId="0" fontId="9" fillId="3" borderId="18"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103" fillId="3" borderId="113" xfId="0" applyFont="1" applyFill="1" applyBorder="1" applyAlignment="1">
      <alignment horizontal="center" vertical="center" wrapText="1"/>
    </xf>
    <xf numFmtId="0" fontId="76" fillId="0" borderId="122" xfId="0" applyFont="1" applyBorder="1" applyAlignment="1">
      <alignment horizontal="center" vertical="center" wrapText="1"/>
    </xf>
    <xf numFmtId="0" fontId="9" fillId="3" borderId="20" xfId="0" applyFont="1" applyFill="1" applyBorder="1" applyAlignment="1">
      <alignment vertical="center" wrapText="1"/>
    </xf>
    <xf numFmtId="0" fontId="7" fillId="10" borderId="59" xfId="0" applyFont="1" applyFill="1" applyBorder="1" applyAlignment="1">
      <alignment horizontal="left" vertical="center" wrapText="1"/>
    </xf>
    <xf numFmtId="3" fontId="76" fillId="0" borderId="25" xfId="0" applyNumberFormat="1" applyFont="1" applyBorder="1" applyAlignment="1">
      <alignment horizontal="center" vertical="center"/>
    </xf>
    <xf numFmtId="3" fontId="76" fillId="0" borderId="6" xfId="0" applyNumberFormat="1" applyFont="1" applyBorder="1" applyAlignment="1">
      <alignment horizontal="center" vertical="center"/>
    </xf>
    <xf numFmtId="0" fontId="18" fillId="0" borderId="20" xfId="0" applyFont="1" applyBorder="1" applyAlignment="1">
      <alignment horizontal="left" vertical="center" wrapText="1" indent="1"/>
    </xf>
    <xf numFmtId="43" fontId="7" fillId="3" borderId="70" xfId="7" applyFont="1" applyFill="1" applyBorder="1" applyAlignment="1">
      <alignment vertical="center" wrapText="1"/>
    </xf>
    <xf numFmtId="43" fontId="7" fillId="3" borderId="7" xfId="7" applyFont="1" applyFill="1" applyBorder="1" applyAlignment="1">
      <alignment vertical="center" wrapText="1"/>
    </xf>
    <xf numFmtId="3" fontId="59" fillId="0" borderId="17" xfId="7" applyNumberFormat="1" applyFont="1" applyBorder="1" applyAlignment="1">
      <alignment horizontal="center" vertical="center"/>
    </xf>
    <xf numFmtId="0" fontId="9" fillId="10" borderId="72" xfId="0" applyFont="1" applyFill="1" applyBorder="1" applyAlignment="1">
      <alignment horizontal="left" wrapText="1"/>
    </xf>
    <xf numFmtId="0" fontId="94" fillId="3" borderId="47" xfId="0" applyFont="1" applyFill="1" applyBorder="1" applyAlignment="1" applyProtection="1">
      <alignment vertical="center"/>
      <protection locked="0"/>
    </xf>
    <xf numFmtId="0" fontId="94" fillId="3" borderId="46" xfId="0" applyFont="1" applyFill="1" applyBorder="1" applyAlignment="1" applyProtection="1">
      <alignment vertical="center"/>
      <protection locked="0"/>
    </xf>
    <xf numFmtId="0" fontId="66" fillId="3" borderId="73" xfId="0" applyFont="1" applyFill="1" applyBorder="1" applyAlignment="1" applyProtection="1">
      <alignment vertical="center"/>
      <protection locked="0"/>
    </xf>
    <xf numFmtId="10" fontId="9" fillId="0" borderId="19" xfId="0" applyNumberFormat="1" applyFont="1" applyBorder="1" applyAlignment="1">
      <alignment horizontal="center" vertical="center"/>
    </xf>
    <xf numFmtId="10" fontId="9" fillId="0" borderId="119" xfId="0" applyNumberFormat="1" applyFont="1" applyBorder="1" applyAlignment="1">
      <alignment horizontal="center" vertical="center"/>
    </xf>
    <xf numFmtId="9" fontId="9" fillId="0" borderId="119" xfId="0" applyNumberFormat="1" applyFont="1" applyBorder="1" applyAlignment="1">
      <alignment horizontal="center" vertical="center"/>
    </xf>
    <xf numFmtId="0" fontId="9" fillId="3" borderId="120" xfId="0" applyFont="1" applyFill="1" applyBorder="1" applyAlignment="1">
      <alignment horizontal="left" vertical="center" wrapText="1"/>
    </xf>
    <xf numFmtId="0" fontId="18" fillId="3" borderId="123" xfId="0" applyFont="1" applyFill="1" applyBorder="1" applyAlignment="1">
      <alignment horizontal="center" vertical="center" wrapText="1"/>
    </xf>
    <xf numFmtId="0" fontId="76" fillId="10" borderId="124" xfId="0" applyFont="1" applyFill="1" applyBorder="1" applyAlignment="1">
      <alignment horizontal="center" vertical="center" wrapText="1"/>
    </xf>
    <xf numFmtId="0" fontId="9" fillId="10" borderId="43" xfId="0" applyFont="1" applyFill="1" applyBorder="1" applyAlignment="1">
      <alignment vertical="center" wrapText="1"/>
    </xf>
    <xf numFmtId="3" fontId="12" fillId="3" borderId="28" xfId="0" applyNumberFormat="1" applyFont="1" applyFill="1" applyBorder="1" applyAlignment="1">
      <alignment horizontal="center" vertical="center"/>
    </xf>
    <xf numFmtId="3" fontId="12" fillId="3" borderId="57" xfId="0" applyNumberFormat="1" applyFont="1" applyFill="1" applyBorder="1" applyAlignment="1">
      <alignment horizontal="center" vertical="center"/>
    </xf>
    <xf numFmtId="3" fontId="17" fillId="3" borderId="57" xfId="0" applyNumberFormat="1" applyFont="1" applyFill="1" applyBorder="1" applyAlignment="1">
      <alignment horizontal="center" vertical="center"/>
    </xf>
    <xf numFmtId="0" fontId="66" fillId="3" borderId="55" xfId="0" applyFont="1" applyFill="1" applyBorder="1" applyAlignment="1">
      <alignment horizontal="left" vertical="center" wrapText="1" indent="1"/>
    </xf>
    <xf numFmtId="3" fontId="7" fillId="3" borderId="68" xfId="0" applyNumberFormat="1" applyFont="1" applyFill="1" applyBorder="1" applyAlignment="1">
      <alignment horizontal="center" vertical="center"/>
    </xf>
    <xf numFmtId="3" fontId="7" fillId="3" borderId="78" xfId="0" applyNumberFormat="1" applyFont="1" applyFill="1" applyBorder="1" applyAlignment="1">
      <alignment horizontal="center" vertical="center"/>
    </xf>
    <xf numFmtId="3" fontId="12" fillId="3" borderId="78" xfId="0" applyNumberFormat="1" applyFont="1" applyFill="1" applyBorder="1" applyAlignment="1">
      <alignment horizontal="center" vertical="center"/>
    </xf>
    <xf numFmtId="0" fontId="6" fillId="3" borderId="77" xfId="0" applyFont="1" applyFill="1" applyBorder="1" applyAlignment="1">
      <alignment horizontal="left" vertical="center" wrapText="1" indent="1"/>
    </xf>
    <xf numFmtId="3" fontId="7" fillId="3" borderId="25" xfId="0" applyNumberFormat="1" applyFont="1" applyFill="1" applyBorder="1" applyAlignment="1">
      <alignment horizontal="center" vertical="center"/>
    </xf>
    <xf numFmtId="3" fontId="7" fillId="3" borderId="6" xfId="0" applyNumberFormat="1" applyFont="1" applyFill="1" applyBorder="1" applyAlignment="1">
      <alignment horizontal="center" vertical="center"/>
    </xf>
    <xf numFmtId="0" fontId="6" fillId="3" borderId="54" xfId="0" applyFont="1" applyFill="1" applyBorder="1" applyAlignment="1">
      <alignment horizontal="left" vertical="center" wrapText="1" indent="1"/>
    </xf>
    <xf numFmtId="0" fontId="59" fillId="3" borderId="59" xfId="0" applyFont="1" applyFill="1" applyBorder="1" applyAlignment="1">
      <alignment horizontal="left" vertical="center" wrapText="1"/>
    </xf>
    <xf numFmtId="0" fontId="7" fillId="3" borderId="61" xfId="0" applyFont="1" applyFill="1" applyBorder="1" applyAlignment="1">
      <alignment horizontal="left" vertical="center" wrapText="1"/>
    </xf>
    <xf numFmtId="3" fontId="17" fillId="3" borderId="28" xfId="0" applyNumberFormat="1" applyFont="1" applyFill="1" applyBorder="1" applyAlignment="1">
      <alignment horizontal="center" vertical="center"/>
    </xf>
    <xf numFmtId="3" fontId="7" fillId="3" borderId="18" xfId="0" applyNumberFormat="1" applyFont="1" applyFill="1" applyBorder="1" applyAlignment="1">
      <alignment horizontal="center" vertical="center"/>
    </xf>
    <xf numFmtId="3" fontId="7" fillId="3" borderId="17" xfId="0" applyNumberFormat="1" applyFont="1" applyFill="1" applyBorder="1" applyAlignment="1">
      <alignment horizontal="center" vertical="center"/>
    </xf>
    <xf numFmtId="3" fontId="12" fillId="3" borderId="17" xfId="0" applyNumberFormat="1" applyFont="1" applyFill="1" applyBorder="1" applyAlignment="1">
      <alignment horizontal="center" vertical="center"/>
    </xf>
    <xf numFmtId="0" fontId="6" fillId="3" borderId="113" xfId="0" applyFont="1" applyFill="1" applyBorder="1" applyAlignment="1">
      <alignment horizontal="left" vertical="center" wrapText="1" indent="1"/>
    </xf>
    <xf numFmtId="0" fontId="9" fillId="10" borderId="25" xfId="0" applyFont="1" applyFill="1" applyBorder="1" applyAlignment="1">
      <alignment horizontal="center" vertical="center" wrapText="1"/>
    </xf>
    <xf numFmtId="0" fontId="9" fillId="10" borderId="6" xfId="0" applyFont="1" applyFill="1" applyBorder="1" applyAlignment="1">
      <alignment horizontal="center" vertical="center" wrapText="1"/>
    </xf>
    <xf numFmtId="0" fontId="9" fillId="10" borderId="23" xfId="0" applyFont="1" applyFill="1" applyBorder="1" applyAlignment="1">
      <alignment horizontal="center" vertical="center" wrapText="1"/>
    </xf>
    <xf numFmtId="0" fontId="9" fillId="10" borderId="56" xfId="0" applyFont="1" applyFill="1" applyBorder="1" applyAlignment="1">
      <alignment horizontal="center" vertical="center" wrapText="1"/>
    </xf>
    <xf numFmtId="165" fontId="7" fillId="3" borderId="25" xfId="0" applyNumberFormat="1" applyFont="1" applyFill="1" applyBorder="1" applyAlignment="1">
      <alignment horizontal="center" vertical="center"/>
    </xf>
    <xf numFmtId="165" fontId="7" fillId="3" borderId="6" xfId="0" applyNumberFormat="1" applyFont="1" applyFill="1" applyBorder="1" applyAlignment="1">
      <alignment horizontal="center" vertical="center"/>
    </xf>
    <xf numFmtId="0" fontId="7" fillId="3" borderId="9" xfId="0" applyFont="1" applyFill="1" applyBorder="1" applyAlignment="1">
      <alignment horizontal="center" vertical="center" wrapText="1"/>
    </xf>
    <xf numFmtId="0" fontId="7" fillId="3" borderId="54" xfId="0" applyFont="1" applyFill="1" applyBorder="1" applyAlignment="1">
      <alignment horizontal="left" vertical="center" wrapText="1"/>
    </xf>
    <xf numFmtId="3" fontId="12" fillId="0" borderId="25" xfId="0" applyNumberFormat="1" applyFont="1" applyBorder="1" applyAlignment="1">
      <alignment horizontal="center" vertical="center"/>
    </xf>
    <xf numFmtId="3" fontId="12" fillId="0" borderId="6" xfId="0" applyNumberFormat="1" applyFont="1" applyBorder="1" applyAlignment="1">
      <alignment horizontal="center" vertical="center"/>
    </xf>
    <xf numFmtId="3" fontId="17" fillId="3" borderId="6" xfId="0" applyNumberFormat="1" applyFont="1" applyFill="1" applyBorder="1" applyAlignment="1">
      <alignment horizontal="center" vertical="center"/>
    </xf>
    <xf numFmtId="0" fontId="94" fillId="0" borderId="20" xfId="0" applyFont="1" applyBorder="1" applyAlignment="1">
      <alignment horizontal="left" vertical="center" wrapText="1" indent="1"/>
    </xf>
    <xf numFmtId="0" fontId="6" fillId="0" borderId="54" xfId="0" applyFont="1" applyBorder="1" applyAlignment="1">
      <alignment horizontal="left" vertical="center" wrapText="1" indent="1"/>
    </xf>
    <xf numFmtId="0" fontId="6" fillId="0" borderId="59" xfId="0" applyFont="1" applyBorder="1" applyAlignment="1">
      <alignment horizontal="left" vertical="center" wrapText="1" indent="1"/>
    </xf>
    <xf numFmtId="0" fontId="59" fillId="4" borderId="59" xfId="0" applyFont="1" applyFill="1" applyBorder="1" applyAlignment="1">
      <alignment horizontal="left" vertical="center" wrapText="1"/>
    </xf>
    <xf numFmtId="0" fontId="7" fillId="4" borderId="59" xfId="0" applyFont="1" applyFill="1" applyBorder="1" applyAlignment="1">
      <alignment horizontal="left" vertical="center" wrapText="1"/>
    </xf>
    <xf numFmtId="3" fontId="9" fillId="2" borderId="46" xfId="0" applyNumberFormat="1" applyFont="1" applyFill="1" applyBorder="1" applyAlignment="1">
      <alignment horizontal="center" vertical="center"/>
    </xf>
    <xf numFmtId="0" fontId="9" fillId="2" borderId="58" xfId="0" applyFont="1" applyFill="1" applyBorder="1" applyAlignment="1">
      <alignment horizontal="left" vertical="center" wrapText="1"/>
    </xf>
    <xf numFmtId="3" fontId="12" fillId="3" borderId="25" xfId="0" applyNumberFormat="1" applyFont="1" applyFill="1" applyBorder="1" applyAlignment="1">
      <alignment horizontal="center" vertical="center"/>
    </xf>
    <xf numFmtId="3" fontId="12" fillId="3" borderId="6" xfId="0" applyNumberFormat="1" applyFont="1" applyFill="1" applyBorder="1" applyAlignment="1">
      <alignment horizontal="center" vertical="center"/>
    </xf>
    <xf numFmtId="0" fontId="18" fillId="3" borderId="20" xfId="0" applyFont="1" applyFill="1" applyBorder="1" applyAlignment="1">
      <alignment horizontal="left" vertical="center" wrapText="1" indent="1"/>
    </xf>
    <xf numFmtId="3" fontId="7" fillId="3" borderId="60" xfId="0" applyNumberFormat="1" applyFont="1" applyFill="1" applyBorder="1" applyAlignment="1">
      <alignment horizontal="center" vertical="center"/>
    </xf>
    <xf numFmtId="0" fontId="7" fillId="3" borderId="54" xfId="0" applyFont="1" applyFill="1" applyBorder="1" applyAlignment="1">
      <alignment horizontal="left" vertical="center" wrapText="1" indent="1"/>
    </xf>
    <xf numFmtId="0" fontId="59" fillId="3" borderId="17" xfId="7" applyNumberFormat="1" applyFont="1" applyFill="1" applyBorder="1" applyAlignment="1">
      <alignment horizontal="center" vertical="center"/>
    </xf>
    <xf numFmtId="9" fontId="94" fillId="3" borderId="19" xfId="0" applyNumberFormat="1" applyFont="1" applyFill="1" applyBorder="1" applyAlignment="1" applyProtection="1">
      <alignment horizontal="left" vertical="top" wrapText="1"/>
      <protection locked="0"/>
    </xf>
    <xf numFmtId="9" fontId="94" fillId="3" borderId="119" xfId="0" applyNumberFormat="1" applyFont="1" applyFill="1" applyBorder="1" applyAlignment="1" applyProtection="1">
      <alignment horizontal="left" vertical="top" wrapText="1"/>
      <protection locked="0"/>
    </xf>
    <xf numFmtId="0" fontId="9" fillId="3" borderId="120" xfId="0" applyFont="1" applyFill="1" applyBorder="1" applyAlignment="1">
      <alignment horizontal="left" vertical="top" wrapText="1"/>
    </xf>
    <xf numFmtId="9" fontId="94" fillId="3" borderId="18" xfId="0" applyNumberFormat="1" applyFont="1" applyFill="1" applyBorder="1" applyAlignment="1" applyProtection="1">
      <alignment horizontal="center" vertical="top" wrapText="1"/>
      <protection locked="0"/>
    </xf>
    <xf numFmtId="9" fontId="94" fillId="3" borderId="17" xfId="0" applyNumberFormat="1" applyFont="1" applyFill="1" applyBorder="1" applyAlignment="1" applyProtection="1">
      <alignment horizontal="center" vertical="top" wrapText="1"/>
      <protection locked="0"/>
    </xf>
    <xf numFmtId="0" fontId="94" fillId="3" borderId="17" xfId="0" applyFont="1" applyFill="1" applyBorder="1" applyAlignment="1" applyProtection="1">
      <alignment horizontal="center" vertical="top" wrapText="1"/>
      <protection locked="0"/>
    </xf>
    <xf numFmtId="0" fontId="9" fillId="3" borderId="113" xfId="0" applyFont="1" applyFill="1" applyBorder="1" applyAlignment="1">
      <alignment horizontal="left" vertical="top" wrapText="1"/>
    </xf>
    <xf numFmtId="0" fontId="94" fillId="3" borderId="125" xfId="0" applyFont="1" applyFill="1" applyBorder="1" applyAlignment="1" applyProtection="1">
      <alignment horizontal="center" vertical="top" wrapText="1"/>
      <protection locked="0"/>
    </xf>
    <xf numFmtId="0" fontId="94" fillId="3" borderId="41" xfId="0" applyFont="1" applyFill="1" applyBorder="1" applyAlignment="1" applyProtection="1">
      <alignment horizontal="center" vertical="top" wrapText="1"/>
      <protection locked="0"/>
    </xf>
    <xf numFmtId="0" fontId="9" fillId="3" borderId="126" xfId="0" applyFont="1" applyFill="1" applyBorder="1" applyAlignment="1">
      <alignment horizontal="left" vertical="center" wrapText="1"/>
    </xf>
    <xf numFmtId="0" fontId="94" fillId="3" borderId="47" xfId="0" applyFont="1" applyFill="1" applyBorder="1" applyAlignment="1" applyProtection="1">
      <alignment horizontal="left" vertical="top"/>
      <protection locked="0"/>
    </xf>
    <xf numFmtId="0" fontId="94" fillId="3" borderId="46" xfId="0" applyFont="1" applyFill="1" applyBorder="1" applyAlignment="1" applyProtection="1">
      <alignment horizontal="left" vertical="top"/>
      <protection locked="0"/>
    </xf>
    <xf numFmtId="0" fontId="94" fillId="3" borderId="46" xfId="0" applyFont="1" applyFill="1" applyBorder="1" applyAlignment="1" applyProtection="1">
      <alignment horizontal="center" vertical="top"/>
      <protection locked="0"/>
    </xf>
    <xf numFmtId="0" fontId="9" fillId="3" borderId="58" xfId="0" applyFont="1" applyFill="1" applyBorder="1" applyAlignment="1">
      <alignment horizontal="center" vertical="center"/>
    </xf>
    <xf numFmtId="0" fontId="9" fillId="3" borderId="21" xfId="0" applyFont="1" applyFill="1" applyBorder="1" applyAlignment="1">
      <alignment horizontal="left" vertical="center" wrapText="1"/>
    </xf>
    <xf numFmtId="0" fontId="55" fillId="3" borderId="58" xfId="0" applyFont="1" applyFill="1" applyBorder="1" applyAlignment="1">
      <alignment vertical="center" wrapText="1"/>
    </xf>
    <xf numFmtId="3" fontId="17" fillId="0" borderId="6" xfId="0" applyNumberFormat="1" applyFont="1" applyBorder="1" applyAlignment="1">
      <alignment horizontal="center" vertical="center"/>
    </xf>
    <xf numFmtId="3" fontId="55" fillId="0" borderId="60" xfId="0" applyNumberFormat="1" applyFont="1" applyBorder="1" applyAlignment="1">
      <alignment horizontal="center" vertical="center"/>
    </xf>
    <xf numFmtId="0" fontId="59" fillId="0" borderId="17" xfId="7" applyNumberFormat="1" applyFont="1" applyBorder="1" applyAlignment="1">
      <alignment horizontal="center" vertical="center"/>
    </xf>
    <xf numFmtId="0" fontId="7" fillId="10" borderId="26" xfId="0" applyFont="1" applyFill="1" applyBorder="1" applyAlignment="1">
      <alignment horizontal="left" vertical="center" wrapText="1"/>
    </xf>
    <xf numFmtId="0" fontId="55" fillId="10" borderId="66" xfId="0" applyFont="1" applyFill="1" applyBorder="1" applyAlignment="1">
      <alignment vertical="center" wrapText="1"/>
    </xf>
    <xf numFmtId="9" fontId="7" fillId="3" borderId="19" xfId="0" applyNumberFormat="1" applyFont="1" applyFill="1" applyBorder="1" applyAlignment="1">
      <alignment horizontal="center" vertical="center"/>
    </xf>
    <xf numFmtId="9" fontId="7" fillId="3" borderId="119" xfId="0" applyNumberFormat="1" applyFont="1" applyFill="1" applyBorder="1" applyAlignment="1">
      <alignment horizontal="center" vertical="center"/>
    </xf>
    <xf numFmtId="9" fontId="7" fillId="3" borderId="120" xfId="0" applyNumberFormat="1" applyFont="1" applyFill="1" applyBorder="1" applyAlignment="1">
      <alignment horizontal="center" vertical="center"/>
    </xf>
    <xf numFmtId="0" fontId="7" fillId="3" borderId="127" xfId="0" applyFont="1" applyFill="1" applyBorder="1" applyAlignment="1">
      <alignment horizontal="left" vertical="center" wrapText="1"/>
    </xf>
    <xf numFmtId="0" fontId="7" fillId="3" borderId="113" xfId="0" applyFont="1" applyFill="1" applyBorder="1" applyAlignment="1">
      <alignment horizontal="left" vertical="top" wrapText="1"/>
    </xf>
    <xf numFmtId="10" fontId="9" fillId="3" borderId="18" xfId="0" applyNumberFormat="1" applyFont="1" applyFill="1" applyBorder="1" applyAlignment="1">
      <alignment horizontal="center" vertical="center" wrapText="1"/>
    </xf>
    <xf numFmtId="10" fontId="9" fillId="3" borderId="17" xfId="0" applyNumberFormat="1" applyFont="1" applyFill="1" applyBorder="1" applyAlignment="1">
      <alignment horizontal="center" vertical="center" wrapText="1"/>
    </xf>
    <xf numFmtId="0" fontId="7" fillId="3" borderId="113" xfId="0" applyFont="1" applyFill="1" applyBorder="1" applyAlignment="1">
      <alignment horizontal="left" vertical="center" wrapText="1"/>
    </xf>
    <xf numFmtId="0" fontId="7" fillId="0" borderId="20" xfId="0" applyFont="1" applyBorder="1" applyAlignment="1">
      <alignment wrapText="1"/>
    </xf>
    <xf numFmtId="0" fontId="18" fillId="2" borderId="59" xfId="0" applyFont="1" applyFill="1" applyBorder="1" applyAlignment="1">
      <alignment vertical="center" wrapText="1"/>
    </xf>
    <xf numFmtId="3" fontId="17" fillId="0" borderId="47" xfId="0" applyNumberFormat="1" applyFont="1" applyBorder="1" applyAlignment="1">
      <alignment horizontal="center" vertical="center"/>
    </xf>
    <xf numFmtId="3" fontId="17" fillId="0" borderId="48" xfId="0" applyNumberFormat="1" applyFont="1" applyBorder="1" applyAlignment="1">
      <alignment horizontal="center" vertical="center"/>
    </xf>
    <xf numFmtId="3" fontId="17" fillId="3" borderId="44" xfId="0" applyNumberFormat="1" applyFont="1" applyFill="1" applyBorder="1" applyAlignment="1">
      <alignment horizontal="center" vertical="center"/>
    </xf>
    <xf numFmtId="0" fontId="59" fillId="10" borderId="43" xfId="0" applyFont="1" applyFill="1" applyBorder="1" applyAlignment="1">
      <alignment horizontal="left" vertical="center" wrapText="1" indent="1"/>
    </xf>
    <xf numFmtId="3" fontId="7" fillId="0" borderId="25" xfId="0" applyNumberFormat="1" applyFont="1" applyBorder="1" applyAlignment="1">
      <alignment horizontal="center" vertical="center"/>
    </xf>
    <xf numFmtId="3" fontId="59" fillId="0" borderId="17" xfId="7" applyNumberFormat="1" applyFont="1" applyBorder="1" applyAlignment="1">
      <alignment vertical="center"/>
    </xf>
    <xf numFmtId="0" fontId="7" fillId="3" borderId="72" xfId="0" applyFont="1" applyFill="1" applyBorder="1" applyAlignment="1">
      <alignment horizontal="left" vertical="center" wrapText="1"/>
    </xf>
    <xf numFmtId="0" fontId="55" fillId="4" borderId="72" xfId="0" applyFont="1" applyFill="1" applyBorder="1" applyAlignment="1">
      <alignment vertical="center" wrapText="1"/>
    </xf>
    <xf numFmtId="3" fontId="9" fillId="0" borderId="76" xfId="0" applyNumberFormat="1" applyFont="1" applyBorder="1" applyAlignment="1">
      <alignment horizontal="center" vertical="center"/>
    </xf>
    <xf numFmtId="3" fontId="9" fillId="0" borderId="75" xfId="0" applyNumberFormat="1" applyFont="1" applyBorder="1" applyAlignment="1">
      <alignment horizontal="center" vertical="center"/>
    </xf>
    <xf numFmtId="3" fontId="9" fillId="0" borderId="128" xfId="0" applyNumberFormat="1" applyFont="1" applyBorder="1" applyAlignment="1">
      <alignment horizontal="center" vertical="center"/>
    </xf>
    <xf numFmtId="0" fontId="9" fillId="3" borderId="74" xfId="0" applyFont="1" applyFill="1" applyBorder="1" applyAlignment="1">
      <alignment horizontal="center" vertical="center" wrapText="1"/>
    </xf>
    <xf numFmtId="0" fontId="9" fillId="10" borderId="26" xfId="0" applyFont="1" applyFill="1" applyBorder="1" applyAlignment="1">
      <alignment horizontal="left" vertical="center" wrapText="1"/>
    </xf>
    <xf numFmtId="0" fontId="9" fillId="3" borderId="79" xfId="0" applyFont="1" applyFill="1" applyBorder="1" applyAlignment="1">
      <alignment horizontal="center" vertical="center" wrapText="1"/>
    </xf>
    <xf numFmtId="0" fontId="7" fillId="3" borderId="26" xfId="0" applyFont="1" applyFill="1" applyBorder="1" applyAlignment="1">
      <alignment horizontal="left" vertical="center" wrapText="1"/>
    </xf>
    <xf numFmtId="0" fontId="55" fillId="3" borderId="113" xfId="0" applyFont="1" applyFill="1" applyBorder="1" applyAlignment="1" applyProtection="1">
      <alignment horizontal="left" vertical="center" wrapText="1"/>
      <protection locked="0"/>
    </xf>
    <xf numFmtId="3" fontId="17" fillId="0" borderId="28" xfId="0" applyNumberFormat="1" applyFont="1" applyBorder="1" applyAlignment="1">
      <alignment horizontal="center" vertical="center"/>
    </xf>
    <xf numFmtId="3" fontId="17" fillId="0" borderId="57" xfId="0" applyNumberFormat="1" applyFont="1" applyBorder="1" applyAlignment="1">
      <alignment horizontal="center" vertical="center"/>
    </xf>
    <xf numFmtId="0" fontId="18" fillId="0" borderId="55" xfId="0" applyFont="1" applyBorder="1" applyAlignment="1">
      <alignment horizontal="left" vertical="center" wrapText="1" indent="1"/>
    </xf>
    <xf numFmtId="3" fontId="9" fillId="0" borderId="18" xfId="0" applyNumberFormat="1" applyFont="1" applyBorder="1" applyAlignment="1">
      <alignment horizontal="center" vertical="center"/>
    </xf>
    <xf numFmtId="3" fontId="9" fillId="0" borderId="17" xfId="0" applyNumberFormat="1" applyFont="1" applyBorder="1" applyAlignment="1">
      <alignment horizontal="center" vertical="center"/>
    </xf>
    <xf numFmtId="0" fontId="9" fillId="0" borderId="17" xfId="0" applyFont="1" applyBorder="1" applyAlignment="1">
      <alignment horizontal="center" vertical="center"/>
    </xf>
    <xf numFmtId="0" fontId="7" fillId="3" borderId="66" xfId="0" applyFont="1" applyFill="1" applyBorder="1" applyAlignment="1">
      <alignment horizontal="left" vertical="center" wrapText="1"/>
    </xf>
    <xf numFmtId="0" fontId="55" fillId="10" borderId="54" xfId="0" applyFont="1" applyFill="1" applyBorder="1" applyAlignment="1">
      <alignment vertical="center" wrapText="1"/>
    </xf>
    <xf numFmtId="0" fontId="9" fillId="3" borderId="28" xfId="0" applyFont="1" applyFill="1" applyBorder="1" applyAlignment="1">
      <alignment horizontal="center" vertical="center" wrapText="1"/>
    </xf>
    <xf numFmtId="0" fontId="9" fillId="3" borderId="57" xfId="0" applyFont="1" applyFill="1" applyBorder="1" applyAlignment="1">
      <alignment horizontal="center" vertical="center" wrapText="1"/>
    </xf>
    <xf numFmtId="0" fontId="9" fillId="3" borderId="55" xfId="0" applyFont="1" applyFill="1" applyBorder="1" applyAlignment="1">
      <alignment horizontal="center" vertical="center" wrapText="1"/>
    </xf>
    <xf numFmtId="10" fontId="9" fillId="3" borderId="17" xfId="7" applyNumberFormat="1" applyFont="1" applyFill="1" applyBorder="1" applyAlignment="1">
      <alignment horizontal="center" vertical="center" wrapText="1"/>
    </xf>
    <xf numFmtId="9" fontId="9" fillId="3" borderId="17" xfId="0" applyNumberFormat="1" applyFont="1" applyFill="1" applyBorder="1" applyAlignment="1">
      <alignment horizontal="center" vertical="center" wrapText="1"/>
    </xf>
    <xf numFmtId="0" fontId="7" fillId="0" borderId="113" xfId="0" applyFont="1" applyBorder="1" applyAlignment="1">
      <alignment vertical="center" wrapText="1"/>
    </xf>
    <xf numFmtId="0" fontId="7" fillId="0" borderId="21" xfId="0" applyFont="1" applyBorder="1" applyAlignment="1">
      <alignment wrapText="1"/>
    </xf>
    <xf numFmtId="0" fontId="94" fillId="10" borderId="43" xfId="0" applyFont="1" applyFill="1" applyBorder="1" applyAlignment="1">
      <alignment vertical="center" wrapText="1"/>
    </xf>
    <xf numFmtId="3" fontId="9" fillId="10" borderId="47" xfId="0" applyNumberFormat="1" applyFont="1" applyFill="1" applyBorder="1" applyAlignment="1">
      <alignment horizontal="center" vertical="center"/>
    </xf>
    <xf numFmtId="3" fontId="9" fillId="10" borderId="48" xfId="0" applyNumberFormat="1" applyFont="1" applyFill="1" applyBorder="1" applyAlignment="1">
      <alignment horizontal="center" vertical="center"/>
    </xf>
    <xf numFmtId="0" fontId="18" fillId="10" borderId="44" xfId="0" applyFont="1" applyFill="1" applyBorder="1" applyAlignment="1">
      <alignment vertical="center" wrapText="1"/>
    </xf>
    <xf numFmtId="0" fontId="66" fillId="0" borderId="54" xfId="0" applyFont="1" applyBorder="1" applyAlignment="1">
      <alignment horizontal="left" vertical="center" wrapText="1" indent="1"/>
    </xf>
    <xf numFmtId="170" fontId="7" fillId="0" borderId="16" xfId="7" applyNumberFormat="1" applyFont="1" applyBorder="1" applyAlignment="1">
      <alignment horizontal="center"/>
    </xf>
    <xf numFmtId="170" fontId="7" fillId="0" borderId="121" xfId="7" applyNumberFormat="1" applyFont="1" applyBorder="1" applyAlignment="1">
      <alignment horizontal="center"/>
    </xf>
    <xf numFmtId="43" fontId="7" fillId="3" borderId="70" xfId="7" applyFont="1" applyFill="1" applyBorder="1" applyAlignment="1">
      <alignment horizontal="right" vertical="center" wrapText="1"/>
    </xf>
    <xf numFmtId="43" fontId="7" fillId="3" borderId="7" xfId="7" applyFont="1" applyFill="1" applyBorder="1" applyAlignment="1">
      <alignment horizontal="right" vertical="center" wrapText="1"/>
    </xf>
    <xf numFmtId="3" fontId="7" fillId="3" borderId="7" xfId="0" applyNumberFormat="1" applyFont="1" applyFill="1" applyBorder="1" applyAlignment="1">
      <alignment horizontal="right" vertical="center" wrapText="1"/>
    </xf>
    <xf numFmtId="170" fontId="9" fillId="0" borderId="16" xfId="7" applyNumberFormat="1" applyFont="1" applyBorder="1" applyAlignment="1">
      <alignment horizontal="center" vertical="center"/>
    </xf>
    <xf numFmtId="170" fontId="9" fillId="0" borderId="121" xfId="7" applyNumberFormat="1" applyFont="1" applyBorder="1" applyAlignment="1">
      <alignment horizontal="center" vertical="center"/>
    </xf>
    <xf numFmtId="10" fontId="55" fillId="3" borderId="25" xfId="7" applyNumberFormat="1" applyFont="1" applyFill="1" applyBorder="1" applyAlignment="1">
      <alignment horizontal="center" vertical="center" wrapText="1"/>
    </xf>
    <xf numFmtId="10" fontId="55" fillId="3" borderId="6" xfId="7" applyNumberFormat="1" applyFont="1" applyFill="1" applyBorder="1" applyAlignment="1">
      <alignment horizontal="center" vertical="center" wrapText="1"/>
    </xf>
    <xf numFmtId="9" fontId="55" fillId="3" borderId="6" xfId="0" applyNumberFormat="1" applyFont="1" applyFill="1" applyBorder="1" applyAlignment="1">
      <alignment horizontal="center" vertical="center" wrapText="1"/>
    </xf>
    <xf numFmtId="9" fontId="7" fillId="3" borderId="28" xfId="0" applyNumberFormat="1" applyFont="1" applyFill="1" applyBorder="1" applyAlignment="1">
      <alignment horizontal="center" vertical="center"/>
    </xf>
    <xf numFmtId="9" fontId="7" fillId="3" borderId="57" xfId="0" applyNumberFormat="1" applyFont="1" applyFill="1" applyBorder="1" applyAlignment="1">
      <alignment horizontal="center" vertical="center"/>
    </xf>
    <xf numFmtId="0" fontId="9" fillId="3" borderId="47" xfId="0" applyFont="1" applyFill="1" applyBorder="1" applyAlignment="1">
      <alignment horizontal="center" vertical="center" wrapText="1"/>
    </xf>
    <xf numFmtId="0" fontId="9" fillId="3" borderId="48"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21" xfId="0" applyFont="1" applyFill="1" applyBorder="1" applyAlignment="1">
      <alignment horizontal="center" vertical="center" wrapText="1"/>
    </xf>
    <xf numFmtId="9" fontId="7" fillId="3" borderId="25" xfId="0" applyNumberFormat="1" applyFont="1" applyFill="1" applyBorder="1" applyAlignment="1">
      <alignment horizontal="center" vertical="center"/>
    </xf>
    <xf numFmtId="9" fontId="7" fillId="3" borderId="0" xfId="0" applyNumberFormat="1" applyFont="1" applyFill="1" applyBorder="1" applyAlignment="1">
      <alignment horizontal="center" vertical="center"/>
    </xf>
    <xf numFmtId="0" fontId="9" fillId="10" borderId="71" xfId="0" applyFont="1" applyFill="1" applyBorder="1" applyAlignment="1">
      <alignment vertical="center" wrapText="1"/>
    </xf>
    <xf numFmtId="10" fontId="94" fillId="3" borderId="18" xfId="7" applyNumberFormat="1" applyFont="1" applyFill="1" applyBorder="1" applyAlignment="1" applyProtection="1">
      <alignment horizontal="center" vertical="top" wrapText="1"/>
      <protection locked="0"/>
    </xf>
    <xf numFmtId="10" fontId="94" fillId="3" borderId="17" xfId="7" applyNumberFormat="1" applyFont="1" applyFill="1" applyBorder="1" applyAlignment="1" applyProtection="1">
      <alignment horizontal="center" vertical="top" wrapText="1"/>
      <protection locked="0"/>
    </xf>
    <xf numFmtId="9" fontId="94" fillId="0" borderId="17" xfId="7" applyNumberFormat="1" applyFont="1" applyBorder="1" applyAlignment="1">
      <alignment horizontal="center" vertical="center"/>
    </xf>
    <xf numFmtId="0" fontId="7" fillId="3" borderId="130" xfId="0" applyFont="1" applyFill="1" applyBorder="1" applyAlignment="1">
      <alignment horizontal="left" vertical="top" wrapText="1"/>
    </xf>
    <xf numFmtId="10" fontId="17" fillId="3" borderId="18" xfId="0" applyNumberFormat="1" applyFont="1" applyFill="1" applyBorder="1" applyAlignment="1">
      <alignment horizontal="center" vertical="center" wrapText="1"/>
    </xf>
    <xf numFmtId="10" fontId="17" fillId="3" borderId="17" xfId="0" applyNumberFormat="1" applyFont="1" applyFill="1" applyBorder="1" applyAlignment="1">
      <alignment horizontal="center" vertical="center" wrapText="1"/>
    </xf>
    <xf numFmtId="0" fontId="7" fillId="3" borderId="130" xfId="0" applyFont="1" applyFill="1" applyBorder="1" applyAlignment="1">
      <alignment horizontal="left" vertical="center" wrapText="1"/>
    </xf>
    <xf numFmtId="9" fontId="17" fillId="3" borderId="17" xfId="0" applyNumberFormat="1" applyFont="1" applyFill="1" applyBorder="1" applyAlignment="1">
      <alignment horizontal="center" vertical="center" wrapText="1"/>
    </xf>
    <xf numFmtId="0" fontId="7" fillId="3" borderId="25"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7" fillId="3" borderId="56" xfId="0" applyFont="1" applyFill="1" applyBorder="1" applyAlignment="1">
      <alignment horizontal="center" vertical="center" wrapText="1"/>
    </xf>
    <xf numFmtId="0" fontId="4" fillId="4" borderId="69" xfId="0" applyFont="1" applyFill="1" applyBorder="1" applyAlignment="1">
      <alignment vertical="center" wrapText="1"/>
    </xf>
    <xf numFmtId="0" fontId="5" fillId="0" borderId="65" xfId="0" applyFont="1" applyBorder="1" applyAlignment="1">
      <alignment horizontal="center" vertical="center"/>
    </xf>
    <xf numFmtId="0" fontId="5" fillId="0" borderId="11" xfId="0" applyFont="1" applyBorder="1" applyAlignment="1">
      <alignment horizontal="center" vertical="center"/>
    </xf>
    <xf numFmtId="0" fontId="5" fillId="0" borderId="10" xfId="0" applyFont="1" applyBorder="1" applyAlignment="1">
      <alignment horizontal="center" vertical="center"/>
    </xf>
    <xf numFmtId="0" fontId="5" fillId="0" borderId="64" xfId="0" applyFont="1" applyBorder="1" applyAlignment="1">
      <alignment horizontal="center" vertical="center"/>
    </xf>
    <xf numFmtId="0" fontId="4" fillId="3" borderId="61" xfId="0" applyFont="1" applyFill="1" applyBorder="1" applyAlignment="1">
      <alignment horizontal="left" vertical="center" wrapText="1"/>
    </xf>
    <xf numFmtId="0" fontId="4" fillId="3" borderId="59" xfId="0" applyFont="1" applyFill="1" applyBorder="1" applyAlignment="1">
      <alignment horizontal="left" vertical="center" wrapText="1"/>
    </xf>
    <xf numFmtId="0" fontId="24" fillId="0" borderId="0" xfId="0" applyFont="1" applyBorder="1" applyAlignment="1">
      <alignment horizontal="center" vertical="center" wrapText="1"/>
    </xf>
    <xf numFmtId="0" fontId="45" fillId="0" borderId="0" xfId="0" applyFont="1" applyBorder="1" applyAlignment="1">
      <alignment horizontal="center" vertical="center" wrapText="1"/>
    </xf>
    <xf numFmtId="0" fontId="5" fillId="3" borderId="0" xfId="0" applyFont="1" applyFill="1" applyBorder="1" applyAlignment="1">
      <alignment horizontal="center" vertical="center" wrapText="1"/>
    </xf>
    <xf numFmtId="0" fontId="24" fillId="3" borderId="0" xfId="0" applyFont="1" applyFill="1" applyBorder="1" applyAlignment="1">
      <alignment horizontal="left" vertical="center" wrapText="1"/>
    </xf>
    <xf numFmtId="49" fontId="45" fillId="0" borderId="113" xfId="0" applyNumberFormat="1" applyFont="1" applyFill="1" applyBorder="1" applyAlignment="1">
      <alignment horizontal="center" vertical="center"/>
    </xf>
    <xf numFmtId="0" fontId="0" fillId="2" borderId="47" xfId="0" applyFill="1" applyBorder="1"/>
    <xf numFmtId="0" fontId="0" fillId="2" borderId="46" xfId="0" applyFill="1" applyBorder="1"/>
    <xf numFmtId="0" fontId="32" fillId="2" borderId="58" xfId="0" applyFont="1" applyFill="1" applyBorder="1"/>
    <xf numFmtId="0" fontId="23" fillId="2" borderId="0" xfId="0" applyFont="1" applyFill="1"/>
    <xf numFmtId="3" fontId="0" fillId="0" borderId="0" xfId="0" applyNumberFormat="1" applyBorder="1"/>
    <xf numFmtId="9" fontId="0" fillId="0" borderId="0" xfId="0" applyNumberFormat="1" applyBorder="1"/>
    <xf numFmtId="0" fontId="13" fillId="0" borderId="133" xfId="0" applyFont="1" applyBorder="1" applyAlignment="1">
      <alignment horizontal="left" vertical="center" wrapText="1" indent="1"/>
    </xf>
    <xf numFmtId="3" fontId="12" fillId="0" borderId="134" xfId="0" applyNumberFormat="1" applyFont="1" applyBorder="1" applyAlignment="1">
      <alignment horizontal="center" vertical="center"/>
    </xf>
    <xf numFmtId="0" fontId="13" fillId="0" borderId="135" xfId="0" applyFont="1" applyBorder="1" applyAlignment="1">
      <alignment horizontal="left" vertical="center" wrapText="1" indent="1"/>
    </xf>
    <xf numFmtId="0" fontId="32" fillId="4" borderId="17" xfId="0" applyFont="1" applyFill="1" applyBorder="1" applyAlignment="1">
      <alignment vertical="center" wrapText="1"/>
    </xf>
    <xf numFmtId="0" fontId="14" fillId="2" borderId="17" xfId="0" applyFont="1" applyFill="1" applyBorder="1" applyAlignment="1">
      <alignment vertical="center" wrapText="1"/>
    </xf>
    <xf numFmtId="0" fontId="8" fillId="0" borderId="5" xfId="0" applyFont="1" applyBorder="1" applyAlignment="1">
      <alignment horizontal="left" vertical="center" wrapText="1" indent="1"/>
    </xf>
    <xf numFmtId="0" fontId="8" fillId="0" borderId="133" xfId="0" applyFont="1" applyBorder="1" applyAlignment="1">
      <alignment horizontal="left" vertical="center" wrapText="1" indent="1"/>
    </xf>
    <xf numFmtId="49" fontId="7" fillId="3" borderId="8" xfId="0" applyNumberFormat="1" applyFont="1" applyFill="1" applyBorder="1" applyAlignment="1">
      <alignment horizontal="center" vertical="center"/>
    </xf>
    <xf numFmtId="0" fontId="9" fillId="3" borderId="7" xfId="0" applyFont="1" applyFill="1" applyBorder="1" applyAlignment="1">
      <alignment vertical="center" wrapText="1"/>
    </xf>
    <xf numFmtId="0" fontId="14" fillId="4" borderId="7" xfId="0" applyFont="1" applyFill="1" applyBorder="1" applyAlignment="1">
      <alignment horizontal="left" vertical="center" wrapText="1"/>
    </xf>
    <xf numFmtId="49" fontId="7" fillId="0" borderId="8" xfId="0" applyNumberFormat="1" applyFont="1" applyFill="1" applyBorder="1" applyAlignment="1">
      <alignment horizontal="center" vertical="center"/>
    </xf>
    <xf numFmtId="0" fontId="7" fillId="3" borderId="17" xfId="0" applyFont="1" applyFill="1" applyBorder="1" applyAlignment="1">
      <alignment horizontal="center" vertical="center" wrapText="1"/>
    </xf>
    <xf numFmtId="0" fontId="7" fillId="3" borderId="41" xfId="0" applyFont="1" applyFill="1" applyBorder="1" applyAlignment="1">
      <alignment horizontal="center" vertical="center" wrapText="1"/>
    </xf>
    <xf numFmtId="0" fontId="8" fillId="4" borderId="9" xfId="0" applyFont="1" applyFill="1" applyBorder="1" applyAlignment="1">
      <alignment vertical="center" wrapText="1"/>
    </xf>
    <xf numFmtId="3" fontId="9" fillId="2" borderId="57" xfId="0" applyNumberFormat="1" applyFont="1" applyFill="1" applyBorder="1" applyAlignment="1">
      <alignment horizontal="center" vertical="center"/>
    </xf>
    <xf numFmtId="0" fontId="14" fillId="2" borderId="49" xfId="0" applyFont="1" applyFill="1" applyBorder="1" applyAlignment="1">
      <alignment vertical="center" wrapText="1"/>
    </xf>
    <xf numFmtId="0" fontId="7" fillId="3" borderId="7" xfId="0" applyFont="1" applyFill="1" applyBorder="1" applyAlignment="1">
      <alignment horizontal="left" vertical="top" wrapText="1"/>
    </xf>
    <xf numFmtId="49" fontId="4" fillId="3" borderId="1" xfId="0" applyNumberFormat="1" applyFont="1" applyFill="1" applyBorder="1" applyAlignment="1">
      <alignment horizontal="center" vertical="center" wrapText="1"/>
    </xf>
    <xf numFmtId="3" fontId="9" fillId="0" borderId="8" xfId="0" applyNumberFormat="1" applyFont="1" applyFill="1" applyBorder="1" applyAlignment="1">
      <alignment horizontal="center" vertical="center"/>
    </xf>
    <xf numFmtId="3" fontId="9" fillId="0" borderId="15" xfId="0" applyNumberFormat="1" applyFont="1" applyFill="1" applyBorder="1" applyAlignment="1">
      <alignment horizontal="center" vertical="center"/>
    </xf>
    <xf numFmtId="0" fontId="14" fillId="0" borderId="14" xfId="0" applyFont="1" applyFill="1" applyBorder="1" applyAlignment="1">
      <alignment vertical="center" wrapText="1"/>
    </xf>
    <xf numFmtId="4" fontId="7" fillId="0" borderId="8" xfId="0" applyNumberFormat="1" applyFont="1" applyBorder="1" applyAlignment="1">
      <alignment horizontal="center" vertical="center"/>
    </xf>
    <xf numFmtId="1" fontId="7" fillId="3" borderId="7" xfId="0" applyNumberFormat="1" applyFont="1" applyFill="1" applyBorder="1" applyAlignment="1">
      <alignment horizontal="center" vertical="center" wrapText="1"/>
    </xf>
    <xf numFmtId="0" fontId="0" fillId="0" borderId="0" xfId="0" applyFill="1"/>
    <xf numFmtId="165" fontId="7" fillId="0" borderId="8" xfId="0" applyNumberFormat="1" applyFont="1" applyFill="1" applyBorder="1" applyAlignment="1">
      <alignment horizontal="center" vertical="center"/>
    </xf>
    <xf numFmtId="9" fontId="7" fillId="0" borderId="8" xfId="0" applyNumberFormat="1" applyFont="1" applyFill="1" applyBorder="1" applyAlignment="1">
      <alignment horizontal="center" vertical="center"/>
    </xf>
    <xf numFmtId="0" fontId="7" fillId="0" borderId="7" xfId="0" applyFont="1" applyFill="1" applyBorder="1" applyAlignment="1">
      <alignment vertical="center" wrapText="1"/>
    </xf>
    <xf numFmtId="0" fontId="14" fillId="4" borderId="7" xfId="0" applyFont="1" applyFill="1" applyBorder="1" applyAlignment="1">
      <alignment vertical="center" wrapText="1"/>
    </xf>
    <xf numFmtId="43" fontId="12" fillId="0" borderId="8" xfId="7" applyFont="1" applyBorder="1" applyAlignment="1">
      <alignment horizontal="center" vertical="center"/>
    </xf>
    <xf numFmtId="43" fontId="7" fillId="0" borderId="8" xfId="7" applyFont="1" applyBorder="1" applyAlignment="1">
      <alignment horizontal="center" vertical="center"/>
    </xf>
    <xf numFmtId="3" fontId="54" fillId="3" borderId="7" xfId="0" applyNumberFormat="1" applyFont="1" applyFill="1" applyBorder="1" applyAlignment="1">
      <alignment horizontal="center" vertical="center" wrapText="1"/>
    </xf>
    <xf numFmtId="0" fontId="7" fillId="0" borderId="8" xfId="0" applyNumberFormat="1" applyFont="1" applyFill="1" applyBorder="1" applyAlignment="1">
      <alignment horizontal="center" vertical="center"/>
    </xf>
    <xf numFmtId="0" fontId="0" fillId="0" borderId="0" xfId="0" applyFill="1" applyAlignment="1">
      <alignment horizontal="center"/>
    </xf>
    <xf numFmtId="0" fontId="0" fillId="0" borderId="0" xfId="0" applyAlignment="1">
      <alignment horizontal="center"/>
    </xf>
    <xf numFmtId="3" fontId="0" fillId="0" borderId="0" xfId="0" applyNumberFormat="1" applyAlignment="1">
      <alignment horizontal="center"/>
    </xf>
    <xf numFmtId="0" fontId="8" fillId="0" borderId="7" xfId="0" applyFont="1" applyFill="1" applyBorder="1" applyAlignment="1">
      <alignment vertical="center" wrapText="1"/>
    </xf>
    <xf numFmtId="0" fontId="13" fillId="0" borderId="9" xfId="0" applyFont="1" applyFill="1" applyBorder="1" applyAlignment="1">
      <alignment horizontal="left" vertical="center" wrapText="1" indent="1"/>
    </xf>
    <xf numFmtId="0" fontId="8" fillId="0" borderId="9" xfId="0" applyFont="1" applyFill="1" applyBorder="1" applyAlignment="1">
      <alignment horizontal="left" vertical="center" wrapText="1" indent="1"/>
    </xf>
    <xf numFmtId="9" fontId="113" fillId="0" borderId="8" xfId="0" applyNumberFormat="1" applyFont="1" applyFill="1" applyBorder="1" applyAlignment="1">
      <alignment horizontal="center" vertical="center"/>
    </xf>
    <xf numFmtId="0" fontId="14" fillId="0" borderId="9" xfId="0" applyFont="1" applyFill="1" applyBorder="1" applyAlignment="1">
      <alignment horizontal="left" vertical="center" wrapText="1" indent="1"/>
    </xf>
    <xf numFmtId="3" fontId="55" fillId="0" borderId="7" xfId="0" applyNumberFormat="1" applyFont="1" applyFill="1" applyBorder="1" applyAlignment="1">
      <alignment horizontal="center" vertical="center" wrapText="1"/>
    </xf>
    <xf numFmtId="3" fontId="54" fillId="0" borderId="7" xfId="0" applyNumberFormat="1" applyFont="1" applyFill="1" applyBorder="1" applyAlignment="1">
      <alignment horizontal="center" vertical="center" wrapText="1"/>
    </xf>
    <xf numFmtId="4" fontId="0" fillId="0" borderId="0" xfId="0" applyNumberFormat="1" applyAlignment="1">
      <alignment horizontal="center"/>
    </xf>
    <xf numFmtId="9" fontId="7" fillId="4" borderId="8" xfId="0" applyNumberFormat="1" applyFont="1" applyFill="1" applyBorder="1" applyAlignment="1">
      <alignment horizontal="center" vertical="center"/>
    </xf>
    <xf numFmtId="3" fontId="0" fillId="0" borderId="0" xfId="0" applyNumberFormat="1" applyFill="1" applyAlignment="1">
      <alignment horizontal="center"/>
    </xf>
    <xf numFmtId="170" fontId="2" fillId="0" borderId="0" xfId="7" applyNumberFormat="1" applyFont="1" applyBorder="1" applyAlignment="1"/>
    <xf numFmtId="0" fontId="2" fillId="0" borderId="0" xfId="0" applyFont="1" applyBorder="1" applyAlignment="1">
      <alignment horizontal="center"/>
    </xf>
    <xf numFmtId="170" fontId="0" fillId="0" borderId="0" xfId="7" applyNumberFormat="1" applyFont="1" applyBorder="1" applyAlignment="1"/>
    <xf numFmtId="0" fontId="0" fillId="0" borderId="0" xfId="0" applyBorder="1" applyAlignment="1">
      <alignment horizontal="center"/>
    </xf>
    <xf numFmtId="49" fontId="114" fillId="3" borderId="1" xfId="0" applyNumberFormat="1" applyFont="1" applyFill="1" applyBorder="1" applyAlignment="1">
      <alignment horizontal="center" vertical="center" wrapText="1"/>
    </xf>
    <xf numFmtId="0" fontId="115" fillId="3" borderId="1" xfId="0" applyFont="1" applyFill="1" applyBorder="1" applyAlignment="1">
      <alignment horizontal="left" vertical="center" wrapText="1"/>
    </xf>
    <xf numFmtId="0" fontId="115" fillId="2" borderId="1" xfId="0" applyFont="1" applyFill="1" applyBorder="1" applyAlignment="1">
      <alignment horizontal="center" vertical="center" wrapText="1"/>
    </xf>
    <xf numFmtId="0" fontId="115" fillId="2" borderId="1" xfId="0" applyFont="1" applyFill="1" applyBorder="1" applyAlignment="1">
      <alignment horizontal="left" vertical="center" wrapText="1"/>
    </xf>
    <xf numFmtId="0" fontId="114" fillId="0" borderId="0" xfId="0" applyFont="1"/>
    <xf numFmtId="0" fontId="114" fillId="2" borderId="0" xfId="0" applyFont="1" applyFill="1"/>
    <xf numFmtId="0" fontId="115" fillId="2" borderId="0" xfId="0" applyFont="1" applyFill="1"/>
    <xf numFmtId="0" fontId="7" fillId="3" borderId="7" xfId="0" applyFont="1" applyFill="1" applyBorder="1" applyAlignment="1">
      <alignment vertical="center" wrapText="1"/>
    </xf>
    <xf numFmtId="0" fontId="7" fillId="3" borderId="7"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4" fillId="3" borderId="1" xfId="0" applyFont="1" applyFill="1" applyBorder="1" applyAlignment="1">
      <alignment horizontal="center" vertical="center" wrapText="1"/>
    </xf>
    <xf numFmtId="170" fontId="7" fillId="3" borderId="8" xfId="7" applyNumberFormat="1" applyFont="1" applyFill="1" applyBorder="1" applyAlignment="1">
      <alignment horizontal="center" vertical="center"/>
    </xf>
    <xf numFmtId="170" fontId="7" fillId="3" borderId="17" xfId="7" applyNumberFormat="1" applyFont="1" applyFill="1" applyBorder="1" applyAlignment="1">
      <alignment horizontal="center" vertical="center" wrapText="1"/>
    </xf>
    <xf numFmtId="0" fontId="7" fillId="3" borderId="17" xfId="0" applyFont="1" applyFill="1" applyBorder="1" applyAlignment="1">
      <alignment vertical="center" wrapText="1"/>
    </xf>
    <xf numFmtId="0" fontId="7" fillId="3" borderId="79" xfId="0" applyFont="1" applyFill="1" applyBorder="1" applyAlignment="1">
      <alignment vertical="center" wrapText="1"/>
    </xf>
    <xf numFmtId="0" fontId="4" fillId="4" borderId="5" xfId="0" applyFont="1" applyFill="1" applyBorder="1" applyAlignment="1">
      <alignment vertical="center" wrapText="1"/>
    </xf>
    <xf numFmtId="0" fontId="0" fillId="21" borderId="0" xfId="0" applyFill="1"/>
    <xf numFmtId="3" fontId="12" fillId="21" borderId="8" xfId="0" applyNumberFormat="1" applyFont="1" applyFill="1" applyBorder="1" applyAlignment="1">
      <alignment horizontal="center" vertical="center"/>
    </xf>
    <xf numFmtId="0" fontId="13" fillId="21" borderId="9" xfId="0" applyFont="1" applyFill="1" applyBorder="1" applyAlignment="1">
      <alignment horizontal="left" vertical="center" wrapText="1" indent="1"/>
    </xf>
    <xf numFmtId="3" fontId="7" fillId="21" borderId="8" xfId="0" applyNumberFormat="1" applyFont="1" applyFill="1" applyBorder="1" applyAlignment="1">
      <alignment horizontal="center" vertical="center"/>
    </xf>
    <xf numFmtId="0" fontId="6" fillId="21" borderId="7" xfId="0" applyFont="1" applyFill="1" applyBorder="1" applyAlignment="1">
      <alignment horizontal="left" vertical="center" wrapText="1" indent="1"/>
    </xf>
    <xf numFmtId="0" fontId="9" fillId="21" borderId="8" xfId="0" applyFont="1" applyFill="1" applyBorder="1" applyAlignment="1">
      <alignment horizontal="center" vertical="center" wrapText="1"/>
    </xf>
    <xf numFmtId="0" fontId="9" fillId="21" borderId="6" xfId="0" applyFont="1" applyFill="1" applyBorder="1" applyAlignment="1">
      <alignment horizontal="center" vertical="center" wrapText="1"/>
    </xf>
    <xf numFmtId="165" fontId="7" fillId="21" borderId="8" xfId="0" applyNumberFormat="1" applyFont="1" applyFill="1" applyBorder="1" applyAlignment="1">
      <alignment horizontal="center" vertical="center"/>
    </xf>
    <xf numFmtId="0" fontId="7" fillId="21" borderId="7" xfId="0" applyFont="1" applyFill="1" applyBorder="1" applyAlignment="1">
      <alignment horizontal="center" vertical="center" wrapText="1"/>
    </xf>
    <xf numFmtId="0" fontId="7" fillId="21" borderId="7" xfId="0" applyFont="1" applyFill="1" applyBorder="1" applyAlignment="1">
      <alignment horizontal="left" vertical="center" wrapText="1"/>
    </xf>
    <xf numFmtId="3" fontId="0" fillId="21" borderId="0" xfId="0" applyNumberFormat="1" applyFill="1"/>
    <xf numFmtId="3" fontId="7" fillId="21" borderId="7" xfId="0" applyNumberFormat="1" applyFont="1" applyFill="1" applyBorder="1" applyAlignment="1">
      <alignment horizontal="center" vertical="center" wrapText="1"/>
    </xf>
    <xf numFmtId="0" fontId="10" fillId="21" borderId="7" xfId="0" applyFont="1" applyFill="1" applyBorder="1" applyAlignment="1">
      <alignment horizontal="left" vertical="center" wrapText="1"/>
    </xf>
    <xf numFmtId="3" fontId="9" fillId="21" borderId="8" xfId="0" applyNumberFormat="1" applyFont="1" applyFill="1" applyBorder="1" applyAlignment="1">
      <alignment horizontal="center" vertical="center"/>
    </xf>
    <xf numFmtId="0" fontId="14" fillId="21" borderId="7" xfId="0" applyFont="1" applyFill="1" applyBorder="1" applyAlignment="1">
      <alignment vertical="center" wrapText="1"/>
    </xf>
    <xf numFmtId="3" fontId="17" fillId="21" borderId="8" xfId="0" applyNumberFormat="1" applyFont="1" applyFill="1" applyBorder="1" applyAlignment="1">
      <alignment horizontal="center" vertical="center"/>
    </xf>
    <xf numFmtId="0" fontId="8" fillId="21" borderId="9" xfId="0" applyFont="1" applyFill="1" applyBorder="1" applyAlignment="1">
      <alignment horizontal="left" vertical="center" wrapText="1" indent="1"/>
    </xf>
    <xf numFmtId="0" fontId="7" fillId="21" borderId="7" xfId="0" applyFont="1" applyFill="1" applyBorder="1" applyAlignment="1">
      <alignment vertical="center" wrapText="1"/>
    </xf>
    <xf numFmtId="9" fontId="7" fillId="21" borderId="8" xfId="0" applyNumberFormat="1" applyFont="1" applyFill="1" applyBorder="1" applyAlignment="1">
      <alignment horizontal="center" vertical="center"/>
    </xf>
    <xf numFmtId="0" fontId="8" fillId="21" borderId="7" xfId="0" applyFont="1" applyFill="1" applyBorder="1" applyAlignment="1">
      <alignment vertical="center" wrapText="1"/>
    </xf>
    <xf numFmtId="0" fontId="0" fillId="0" borderId="37" xfId="0" applyBorder="1"/>
    <xf numFmtId="0" fontId="104" fillId="0" borderId="17" xfId="0" applyFont="1" applyBorder="1" applyAlignment="1">
      <alignment wrapText="1"/>
    </xf>
    <xf numFmtId="0" fontId="104" fillId="9" borderId="20" xfId="0" applyFont="1" applyFill="1" applyBorder="1" applyAlignment="1">
      <alignment vertical="center" wrapText="1"/>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9" fillId="3"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3" fontId="35" fillId="0" borderId="8" xfId="0" applyNumberFormat="1" applyFont="1" applyBorder="1" applyAlignment="1">
      <alignment horizontal="center" vertical="center"/>
    </xf>
    <xf numFmtId="0" fontId="116" fillId="0" borderId="7" xfId="0" applyFont="1" applyBorder="1" applyAlignment="1">
      <alignment horizontal="left" vertical="center" wrapText="1" indent="1"/>
    </xf>
    <xf numFmtId="165" fontId="118" fillId="0" borderId="8" xfId="0" applyNumberFormat="1" applyFont="1" applyBorder="1" applyAlignment="1">
      <alignment horizontal="center" vertical="center"/>
    </xf>
    <xf numFmtId="3" fontId="118" fillId="0" borderId="8" xfId="0" applyNumberFormat="1" applyFont="1" applyBorder="1" applyAlignment="1">
      <alignment horizontal="center" vertical="center"/>
    </xf>
    <xf numFmtId="0" fontId="118" fillId="0" borderId="7" xfId="0" applyFont="1" applyBorder="1" applyAlignment="1">
      <alignment horizontal="left" vertical="center" wrapText="1" indent="1"/>
    </xf>
    <xf numFmtId="0" fontId="35" fillId="0" borderId="7" xfId="0" applyFont="1" applyBorder="1" applyAlignment="1">
      <alignment horizontal="left" vertical="center" wrapText="1" indent="1"/>
    </xf>
    <xf numFmtId="10" fontId="35" fillId="0" borderId="8" xfId="0" applyNumberFormat="1" applyFont="1" applyBorder="1" applyAlignment="1">
      <alignment horizontal="center" vertical="center"/>
    </xf>
    <xf numFmtId="10" fontId="118" fillId="3" borderId="8" xfId="0" applyNumberFormat="1" applyFont="1" applyFill="1" applyBorder="1" applyAlignment="1">
      <alignment horizontal="center" vertical="center"/>
    </xf>
    <xf numFmtId="165" fontId="119" fillId="0" borderId="8" xfId="0" applyNumberFormat="1" applyFont="1" applyBorder="1" applyAlignment="1">
      <alignment horizontal="center" vertical="center"/>
    </xf>
    <xf numFmtId="3" fontId="119" fillId="3" borderId="8" xfId="0" applyNumberFormat="1" applyFont="1" applyFill="1" applyBorder="1" applyAlignment="1">
      <alignment horizontal="center" vertical="center"/>
    </xf>
    <xf numFmtId="0" fontId="119" fillId="3" borderId="7" xfId="0" applyFont="1" applyFill="1" applyBorder="1" applyAlignment="1">
      <alignment vertical="center" wrapText="1"/>
    </xf>
    <xf numFmtId="3" fontId="116" fillId="4" borderId="8" xfId="0" applyNumberFormat="1" applyFont="1" applyFill="1" applyBorder="1" applyAlignment="1">
      <alignment horizontal="center" vertical="center"/>
    </xf>
    <xf numFmtId="0" fontId="116" fillId="4" borderId="7" xfId="0" applyFont="1" applyFill="1" applyBorder="1" applyAlignment="1">
      <alignment vertical="center" wrapText="1"/>
    </xf>
    <xf numFmtId="3" fontId="118" fillId="3" borderId="8" xfId="0" applyNumberFormat="1" applyFont="1" applyFill="1" applyBorder="1" applyAlignment="1">
      <alignment horizontal="center" vertical="center"/>
    </xf>
    <xf numFmtId="0" fontId="120" fillId="3" borderId="9" xfId="0" applyFont="1" applyFill="1" applyBorder="1" applyAlignment="1">
      <alignment horizontal="left" vertical="center" wrapText="1" indent="1"/>
    </xf>
    <xf numFmtId="0" fontId="35" fillId="3" borderId="7" xfId="0" applyFont="1" applyFill="1" applyBorder="1" applyAlignment="1">
      <alignment horizontal="left" vertical="center" wrapText="1" indent="1"/>
    </xf>
    <xf numFmtId="3" fontId="35" fillId="3" borderId="8" xfId="0" applyNumberFormat="1" applyFont="1" applyFill="1" applyBorder="1" applyAlignment="1">
      <alignment horizontal="center" vertical="center"/>
    </xf>
    <xf numFmtId="0" fontId="116" fillId="3" borderId="8" xfId="0" applyFont="1" applyFill="1" applyBorder="1" applyAlignment="1">
      <alignment horizontal="center" vertical="center" wrapText="1"/>
    </xf>
    <xf numFmtId="0" fontId="116" fillId="3" borderId="6" xfId="0" applyFont="1" applyFill="1" applyBorder="1" applyAlignment="1">
      <alignment horizontal="center" vertical="center" wrapText="1"/>
    </xf>
    <xf numFmtId="165" fontId="35" fillId="3" borderId="8" xfId="0" applyNumberFormat="1" applyFont="1" applyFill="1" applyBorder="1" applyAlignment="1">
      <alignment horizontal="center" vertical="center"/>
    </xf>
    <xf numFmtId="0" fontId="35" fillId="3" borderId="7" xfId="0" applyFont="1" applyFill="1" applyBorder="1" applyAlignment="1">
      <alignment horizontal="center" vertical="center" wrapText="1"/>
    </xf>
    <xf numFmtId="0" fontId="35" fillId="3" borderId="7" xfId="0" applyFont="1" applyFill="1" applyBorder="1" applyAlignment="1">
      <alignment horizontal="left" vertical="center" wrapText="1"/>
    </xf>
    <xf numFmtId="3" fontId="35" fillId="3" borderId="7" xfId="0" applyNumberFormat="1" applyFont="1" applyFill="1" applyBorder="1" applyAlignment="1">
      <alignment horizontal="center" vertical="center" wrapText="1"/>
    </xf>
    <xf numFmtId="0" fontId="123" fillId="3" borderId="7" xfId="0" applyFont="1" applyFill="1" applyBorder="1" applyAlignment="1">
      <alignment horizontal="left" vertical="center" wrapText="1"/>
    </xf>
    <xf numFmtId="0" fontId="120" fillId="0" borderId="9" xfId="0" applyFont="1" applyBorder="1" applyAlignment="1">
      <alignment horizontal="left" vertical="center" wrapText="1" indent="1"/>
    </xf>
    <xf numFmtId="0" fontId="123" fillId="4" borderId="7" xfId="0" applyFont="1" applyFill="1" applyBorder="1" applyAlignment="1">
      <alignment horizontal="left" vertical="center" wrapText="1"/>
    </xf>
    <xf numFmtId="165" fontId="35" fillId="0" borderId="8" xfId="0" applyNumberFormat="1" applyFont="1" applyBorder="1" applyAlignment="1">
      <alignment horizontal="center" vertical="center"/>
    </xf>
    <xf numFmtId="9" fontId="118" fillId="0" borderId="8" xfId="1" applyFont="1" applyBorder="1" applyAlignment="1">
      <alignment horizontal="center" vertical="center"/>
    </xf>
    <xf numFmtId="10" fontId="118" fillId="0" borderId="8" xfId="1" applyNumberFormat="1" applyFont="1" applyBorder="1" applyAlignment="1">
      <alignment horizontal="center" vertical="center"/>
    </xf>
    <xf numFmtId="9" fontId="35" fillId="3" borderId="8" xfId="0" applyNumberFormat="1" applyFont="1" applyFill="1" applyBorder="1" applyAlignment="1">
      <alignment horizontal="center" vertical="center"/>
    </xf>
    <xf numFmtId="0" fontId="35" fillId="3" borderId="7" xfId="0" applyFont="1" applyFill="1" applyBorder="1" applyAlignment="1">
      <alignment vertical="center" wrapText="1"/>
    </xf>
    <xf numFmtId="0" fontId="35" fillId="3" borderId="8" xfId="0" applyNumberFormat="1" applyFont="1" applyFill="1" applyBorder="1" applyAlignment="1">
      <alignment horizontal="center" vertical="center"/>
    </xf>
    <xf numFmtId="0" fontId="35" fillId="3" borderId="8" xfId="0" applyFont="1" applyFill="1" applyBorder="1" applyAlignment="1">
      <alignment horizontal="center" vertical="center" wrapText="1"/>
    </xf>
    <xf numFmtId="0" fontId="35" fillId="3" borderId="6" xfId="0" applyFont="1" applyFill="1" applyBorder="1" applyAlignment="1">
      <alignment horizontal="center" vertical="center" wrapText="1"/>
    </xf>
    <xf numFmtId="0" fontId="116" fillId="4" borderId="1" xfId="0" applyFont="1" applyFill="1" applyBorder="1" applyAlignment="1">
      <alignment vertical="center" wrapText="1"/>
    </xf>
    <xf numFmtId="0" fontId="124" fillId="3" borderId="1" xfId="0" applyFont="1" applyFill="1" applyBorder="1" applyAlignment="1">
      <alignment horizontal="left" vertical="center" wrapText="1"/>
    </xf>
    <xf numFmtId="0" fontId="114" fillId="3" borderId="1" xfId="0" applyFont="1" applyFill="1" applyBorder="1" applyAlignment="1">
      <alignment horizontal="center" vertical="center" wrapText="1"/>
    </xf>
    <xf numFmtId="0" fontId="30" fillId="0" borderId="0" xfId="8"/>
    <xf numFmtId="0" fontId="18" fillId="0" borderId="0" xfId="8" applyFont="1" applyBorder="1"/>
    <xf numFmtId="0" fontId="18" fillId="0" borderId="0" xfId="8" applyFont="1" applyBorder="1" applyAlignment="1">
      <alignment horizontal="center" vertical="center" wrapText="1"/>
    </xf>
    <xf numFmtId="0" fontId="8" fillId="0" borderId="0" xfId="8" applyFont="1"/>
    <xf numFmtId="3" fontId="7" fillId="0" borderId="8" xfId="8" applyNumberFormat="1" applyFont="1" applyBorder="1" applyAlignment="1">
      <alignment horizontal="center" vertical="center"/>
    </xf>
    <xf numFmtId="0" fontId="8" fillId="0" borderId="7" xfId="8" applyFont="1" applyBorder="1" applyAlignment="1">
      <alignment horizontal="left" vertical="center" wrapText="1" indent="1"/>
    </xf>
    <xf numFmtId="3" fontId="9" fillId="2" borderId="8" xfId="8" applyNumberFormat="1" applyFont="1" applyFill="1" applyBorder="1" applyAlignment="1">
      <alignment horizontal="center" vertical="center"/>
    </xf>
    <xf numFmtId="0" fontId="14" fillId="2" borderId="7" xfId="8" applyFont="1" applyFill="1" applyBorder="1" applyAlignment="1">
      <alignment vertical="center" wrapText="1"/>
    </xf>
    <xf numFmtId="165" fontId="12" fillId="0" borderId="8" xfId="8" applyNumberFormat="1" applyFont="1" applyBorder="1" applyAlignment="1">
      <alignment horizontal="center" vertical="center"/>
    </xf>
    <xf numFmtId="3" fontId="12" fillId="0" borderId="8" xfId="8" applyNumberFormat="1" applyFont="1" applyBorder="1" applyAlignment="1">
      <alignment horizontal="center" vertical="center"/>
    </xf>
    <xf numFmtId="0" fontId="11" fillId="0" borderId="7" xfId="8" applyFont="1" applyBorder="1" applyAlignment="1">
      <alignment horizontal="left" vertical="center" wrapText="1" indent="1"/>
    </xf>
    <xf numFmtId="0" fontId="6" fillId="0" borderId="7" xfId="8" applyFont="1" applyBorder="1" applyAlignment="1">
      <alignment horizontal="left" vertical="center" wrapText="1" indent="1"/>
    </xf>
    <xf numFmtId="165" fontId="17" fillId="0" borderId="8" xfId="8" applyNumberFormat="1" applyFont="1" applyBorder="1" applyAlignment="1">
      <alignment horizontal="center" vertical="center"/>
    </xf>
    <xf numFmtId="3" fontId="17" fillId="3" borderId="8" xfId="8" applyNumberFormat="1" applyFont="1" applyFill="1" applyBorder="1" applyAlignment="1">
      <alignment horizontal="center" vertical="center"/>
    </xf>
    <xf numFmtId="0" fontId="16" fillId="3" borderId="7" xfId="8" applyFont="1" applyFill="1" applyBorder="1" applyAlignment="1">
      <alignment vertical="center" wrapText="1"/>
    </xf>
    <xf numFmtId="3" fontId="9" fillId="4" borderId="8" xfId="8" applyNumberFormat="1" applyFont="1" applyFill="1" applyBorder="1" applyAlignment="1">
      <alignment horizontal="center" vertical="center"/>
    </xf>
    <xf numFmtId="0" fontId="8" fillId="4" borderId="7" xfId="8" applyFont="1" applyFill="1" applyBorder="1" applyAlignment="1">
      <alignment vertical="center" wrapText="1"/>
    </xf>
    <xf numFmtId="3" fontId="9" fillId="5" borderId="8" xfId="8" applyNumberFormat="1" applyFont="1" applyFill="1" applyBorder="1" applyAlignment="1">
      <alignment horizontal="center" vertical="center"/>
    </xf>
    <xf numFmtId="0" fontId="14" fillId="5" borderId="7" xfId="8" applyFont="1" applyFill="1" applyBorder="1" applyAlignment="1">
      <alignment vertical="center" wrapText="1"/>
    </xf>
    <xf numFmtId="3" fontId="17" fillId="0" borderId="8" xfId="8" applyNumberFormat="1" applyFont="1" applyBorder="1" applyAlignment="1">
      <alignment horizontal="center" vertical="center"/>
    </xf>
    <xf numFmtId="0" fontId="13" fillId="0" borderId="9" xfId="8" applyFont="1" applyBorder="1" applyAlignment="1">
      <alignment horizontal="left" vertical="center" wrapText="1" indent="1"/>
    </xf>
    <xf numFmtId="0" fontId="9" fillId="3" borderId="8" xfId="8" applyFont="1" applyFill="1" applyBorder="1" applyAlignment="1">
      <alignment horizontal="center" vertical="center" wrapText="1"/>
    </xf>
    <xf numFmtId="0" fontId="9" fillId="3" borderId="6" xfId="8" applyFont="1" applyFill="1" applyBorder="1" applyAlignment="1">
      <alignment horizontal="center" vertical="center" wrapText="1"/>
    </xf>
    <xf numFmtId="165" fontId="7" fillId="3" borderId="8" xfId="8" applyNumberFormat="1" applyFont="1" applyFill="1" applyBorder="1" applyAlignment="1">
      <alignment horizontal="center" vertical="center"/>
    </xf>
    <xf numFmtId="0" fontId="7" fillId="3" borderId="7" xfId="8" applyFont="1" applyFill="1" applyBorder="1" applyAlignment="1">
      <alignment horizontal="center" vertical="center" wrapText="1"/>
    </xf>
    <xf numFmtId="0" fontId="7" fillId="3" borderId="7" xfId="8" applyFont="1" applyFill="1" applyBorder="1" applyAlignment="1">
      <alignment horizontal="left" vertical="center" wrapText="1"/>
    </xf>
    <xf numFmtId="3" fontId="30" fillId="0" borderId="0" xfId="8" applyNumberFormat="1"/>
    <xf numFmtId="3" fontId="7" fillId="3" borderId="7" xfId="8" applyNumberFormat="1" applyFont="1" applyFill="1" applyBorder="1" applyAlignment="1">
      <alignment horizontal="center" vertical="center" wrapText="1"/>
    </xf>
    <xf numFmtId="0" fontId="10" fillId="4" borderId="7" xfId="8" applyFont="1" applyFill="1" applyBorder="1" applyAlignment="1">
      <alignment horizontal="left" vertical="center" wrapText="1"/>
    </xf>
    <xf numFmtId="0" fontId="7" fillId="4" borderId="7" xfId="8" applyFont="1" applyFill="1" applyBorder="1" applyAlignment="1">
      <alignment horizontal="left" vertical="center" wrapText="1"/>
    </xf>
    <xf numFmtId="165" fontId="7" fillId="0" borderId="8" xfId="8" applyNumberFormat="1" applyFont="1" applyBorder="1" applyAlignment="1">
      <alignment horizontal="center" vertical="center"/>
    </xf>
    <xf numFmtId="9" fontId="12" fillId="0" borderId="8" xfId="8" applyNumberFormat="1" applyFont="1" applyBorder="1" applyAlignment="1">
      <alignment horizontal="center" vertical="center"/>
    </xf>
    <xf numFmtId="10" fontId="12" fillId="0" borderId="8" xfId="8" applyNumberFormat="1" applyFont="1" applyBorder="1" applyAlignment="1">
      <alignment horizontal="center" vertical="center"/>
    </xf>
    <xf numFmtId="9" fontId="12" fillId="0" borderId="8" xfId="22" applyNumberFormat="1" applyFont="1" applyBorder="1" applyAlignment="1">
      <alignment horizontal="center" vertical="center"/>
    </xf>
    <xf numFmtId="4" fontId="7" fillId="3" borderId="7" xfId="8" applyNumberFormat="1" applyFont="1" applyFill="1" applyBorder="1" applyAlignment="1">
      <alignment horizontal="center" vertical="center" wrapText="1"/>
    </xf>
    <xf numFmtId="0" fontId="18" fillId="4" borderId="7" xfId="8" applyFont="1" applyFill="1" applyBorder="1" applyAlignment="1">
      <alignment vertical="center" wrapText="1"/>
    </xf>
    <xf numFmtId="1" fontId="7" fillId="3" borderId="8" xfId="8" applyNumberFormat="1" applyFont="1" applyFill="1" applyBorder="1" applyAlignment="1">
      <alignment horizontal="center" vertical="center"/>
    </xf>
    <xf numFmtId="9" fontId="7" fillId="3" borderId="8" xfId="8" applyNumberFormat="1" applyFont="1" applyFill="1" applyBorder="1" applyAlignment="1">
      <alignment horizontal="center" vertical="center"/>
    </xf>
    <xf numFmtId="0" fontId="7" fillId="3" borderId="7" xfId="8" applyFont="1" applyFill="1" applyBorder="1" applyAlignment="1">
      <alignment vertical="center" wrapText="1"/>
    </xf>
    <xf numFmtId="0" fontId="7" fillId="3" borderId="8" xfId="8" applyFont="1" applyFill="1" applyBorder="1" applyAlignment="1">
      <alignment horizontal="center" vertical="center" wrapText="1"/>
    </xf>
    <xf numFmtId="0" fontId="7" fillId="3" borderId="6" xfId="8" applyFont="1" applyFill="1" applyBorder="1" applyAlignment="1">
      <alignment horizontal="center" vertical="center" wrapText="1"/>
    </xf>
    <xf numFmtId="0" fontId="4" fillId="4" borderId="1" xfId="8" applyFont="1" applyFill="1" applyBorder="1" applyAlignment="1">
      <alignment vertical="center" wrapText="1"/>
    </xf>
    <xf numFmtId="0" fontId="4" fillId="3" borderId="1" xfId="8" applyFont="1" applyFill="1" applyBorder="1" applyAlignment="1">
      <alignment horizontal="left" vertical="center" wrapText="1"/>
    </xf>
    <xf numFmtId="0" fontId="2" fillId="0" borderId="0" xfId="8" applyFont="1" applyAlignment="1">
      <alignment horizontal="center"/>
    </xf>
    <xf numFmtId="0" fontId="5" fillId="3" borderId="1" xfId="8" applyFont="1" applyFill="1" applyBorder="1" applyAlignment="1">
      <alignment horizontal="center" vertical="center" wrapText="1"/>
    </xf>
    <xf numFmtId="0" fontId="24" fillId="3" borderId="1" xfId="8" applyFont="1" applyFill="1" applyBorder="1" applyAlignment="1">
      <alignment horizontal="left" vertical="center" wrapText="1"/>
    </xf>
    <xf numFmtId="49" fontId="31" fillId="3" borderId="1" xfId="8" applyNumberFormat="1" applyFont="1" applyFill="1" applyBorder="1" applyAlignment="1">
      <alignment horizontal="center" vertical="center" wrapText="1"/>
    </xf>
    <xf numFmtId="0" fontId="32" fillId="3" borderId="1" xfId="8" applyFont="1" applyFill="1" applyBorder="1" applyAlignment="1">
      <alignment horizontal="center" vertical="center" wrapText="1"/>
    </xf>
    <xf numFmtId="0" fontId="32" fillId="2" borderId="1" xfId="8" applyFont="1" applyFill="1" applyBorder="1" applyAlignment="1">
      <alignment horizontal="center" vertical="center" wrapText="1"/>
    </xf>
    <xf numFmtId="0" fontId="32" fillId="3" borderId="1" xfId="8" applyFont="1" applyFill="1" applyBorder="1" applyAlignment="1">
      <alignment horizontal="left" vertical="center" wrapText="1"/>
    </xf>
    <xf numFmtId="0" fontId="30" fillId="2" borderId="0" xfId="8" applyFill="1"/>
    <xf numFmtId="0" fontId="32" fillId="2" borderId="0" xfId="8" applyFont="1" applyFill="1"/>
    <xf numFmtId="4" fontId="7" fillId="3" borderId="7" xfId="0" applyNumberFormat="1" applyFont="1" applyFill="1" applyBorder="1" applyAlignment="1">
      <alignment horizontal="center" vertical="center" wrapText="1"/>
    </xf>
    <xf numFmtId="0" fontId="55" fillId="11" borderId="7" xfId="0" applyFont="1" applyFill="1" applyBorder="1" applyAlignment="1">
      <alignment vertical="center" wrapText="1"/>
    </xf>
    <xf numFmtId="1" fontId="7" fillId="3" borderId="8" xfId="0" applyNumberFormat="1" applyFont="1" applyFill="1" applyBorder="1" applyAlignment="1">
      <alignment horizontal="center" vertical="center"/>
    </xf>
    <xf numFmtId="0" fontId="10" fillId="11" borderId="7" xfId="0" applyFont="1" applyFill="1" applyBorder="1" applyAlignment="1">
      <alignment horizontal="left" vertical="center" wrapText="1"/>
    </xf>
    <xf numFmtId="1" fontId="54" fillId="3" borderId="8" xfId="0" applyNumberFormat="1" applyFont="1" applyFill="1" applyBorder="1" applyAlignment="1">
      <alignment horizontal="center" vertical="center"/>
    </xf>
    <xf numFmtId="0" fontId="31" fillId="2" borderId="0" xfId="0" applyFont="1" applyFill="1"/>
    <xf numFmtId="0" fontId="18" fillId="3" borderId="0" xfId="0" applyFont="1" applyFill="1" applyBorder="1" applyAlignment="1">
      <alignment horizontal="center" vertical="center" wrapText="1"/>
    </xf>
    <xf numFmtId="0" fontId="51" fillId="2" borderId="20" xfId="0" applyFont="1" applyFill="1" applyBorder="1"/>
    <xf numFmtId="3" fontId="7" fillId="3" borderId="0" xfId="0" applyNumberFormat="1" applyFont="1" applyFill="1" applyBorder="1" applyAlignment="1">
      <alignment horizontal="center" vertical="center"/>
    </xf>
    <xf numFmtId="0" fontId="11" fillId="3" borderId="7" xfId="0" applyFont="1" applyFill="1" applyBorder="1" applyAlignment="1">
      <alignment horizontal="left" vertical="center" wrapText="1" indent="1"/>
    </xf>
    <xf numFmtId="165" fontId="17" fillId="3" borderId="8" xfId="0" applyNumberFormat="1" applyFont="1" applyFill="1" applyBorder="1" applyAlignment="1">
      <alignment horizontal="center" vertical="center"/>
    </xf>
    <xf numFmtId="0" fontId="8" fillId="3" borderId="7" xfId="0" applyFont="1" applyFill="1" applyBorder="1" applyAlignment="1">
      <alignment vertical="center" wrapText="1"/>
    </xf>
    <xf numFmtId="3" fontId="12" fillId="3" borderId="8" xfId="0" applyNumberFormat="1" applyFont="1" applyFill="1" applyBorder="1" applyAlignment="1">
      <alignment horizontal="center" vertical="center" wrapText="1"/>
    </xf>
    <xf numFmtId="0" fontId="13" fillId="3" borderId="9" xfId="0" applyFont="1" applyFill="1" applyBorder="1" applyAlignment="1">
      <alignment horizontal="left" vertical="center" wrapText="1"/>
    </xf>
    <xf numFmtId="3" fontId="7" fillId="3" borderId="8" xfId="0" applyNumberFormat="1" applyFont="1" applyFill="1" applyBorder="1" applyAlignment="1">
      <alignment horizontal="center" vertical="center" wrapText="1"/>
    </xf>
    <xf numFmtId="0" fontId="6" fillId="3" borderId="7" xfId="0" applyFont="1" applyFill="1" applyBorder="1" applyAlignment="1">
      <alignment horizontal="left" vertical="center" wrapText="1"/>
    </xf>
    <xf numFmtId="165" fontId="7" fillId="19" borderId="8" xfId="0" applyNumberFormat="1" applyFont="1" applyFill="1" applyBorder="1" applyAlignment="1">
      <alignment horizontal="center" vertical="center" wrapText="1"/>
    </xf>
    <xf numFmtId="165" fontId="7" fillId="3" borderId="8" xfId="0" applyNumberFormat="1" applyFont="1" applyFill="1" applyBorder="1" applyAlignment="1">
      <alignment horizontal="center" vertical="center" wrapText="1"/>
    </xf>
    <xf numFmtId="0" fontId="7" fillId="19" borderId="7" xfId="0" applyFont="1" applyFill="1" applyBorder="1" applyAlignment="1">
      <alignment horizontal="center" vertical="center" wrapText="1"/>
    </xf>
    <xf numFmtId="3" fontId="7" fillId="19" borderId="7" xfId="0" applyNumberFormat="1" applyFont="1" applyFill="1" applyBorder="1" applyAlignment="1">
      <alignment horizontal="center" vertical="center" wrapText="1"/>
    </xf>
    <xf numFmtId="0" fontId="9" fillId="19" borderId="8" xfId="0" applyFont="1" applyFill="1" applyBorder="1" applyAlignment="1">
      <alignment horizontal="center" vertical="center" wrapText="1"/>
    </xf>
    <xf numFmtId="0" fontId="9" fillId="19" borderId="6" xfId="0" applyFont="1" applyFill="1" applyBorder="1" applyAlignment="1">
      <alignment horizontal="center" vertical="center" wrapText="1"/>
    </xf>
    <xf numFmtId="0" fontId="10" fillId="19" borderId="7" xfId="0" applyFont="1" applyFill="1" applyBorder="1" applyAlignment="1">
      <alignment horizontal="left" vertical="center" wrapText="1"/>
    </xf>
    <xf numFmtId="3" fontId="12" fillId="19" borderId="8" xfId="0" applyNumberFormat="1" applyFont="1" applyFill="1" applyBorder="1" applyAlignment="1">
      <alignment horizontal="center" vertical="center" wrapText="1"/>
    </xf>
    <xf numFmtId="0" fontId="13" fillId="19" borderId="9" xfId="0" applyFont="1" applyFill="1" applyBorder="1" applyAlignment="1">
      <alignment horizontal="left" vertical="center" wrapText="1"/>
    </xf>
    <xf numFmtId="3" fontId="7" fillId="19" borderId="8" xfId="0" applyNumberFormat="1" applyFont="1" applyFill="1" applyBorder="1" applyAlignment="1">
      <alignment horizontal="center" vertical="center" wrapText="1"/>
    </xf>
    <xf numFmtId="0" fontId="6" fillId="19" borderId="7" xfId="0" applyFont="1" applyFill="1" applyBorder="1" applyAlignment="1">
      <alignment horizontal="left" vertical="center" wrapText="1"/>
    </xf>
    <xf numFmtId="3" fontId="9" fillId="19" borderId="8" xfId="0" applyNumberFormat="1" applyFont="1" applyFill="1" applyBorder="1" applyAlignment="1">
      <alignment horizontal="center" vertical="center" wrapText="1"/>
    </xf>
    <xf numFmtId="3" fontId="9" fillId="3" borderId="8" xfId="0" applyNumberFormat="1" applyFont="1" applyFill="1" applyBorder="1" applyAlignment="1">
      <alignment horizontal="center" vertical="center" wrapText="1"/>
    </xf>
    <xf numFmtId="0" fontId="14" fillId="19" borderId="7" xfId="0" applyFont="1" applyFill="1" applyBorder="1" applyAlignment="1">
      <alignment vertical="center" wrapText="1"/>
    </xf>
    <xf numFmtId="0" fontId="8" fillId="19" borderId="9" xfId="0" applyFont="1" applyFill="1" applyBorder="1" applyAlignment="1">
      <alignment horizontal="left" vertical="center" wrapText="1"/>
    </xf>
    <xf numFmtId="0" fontId="7" fillId="19" borderId="7" xfId="0" applyFont="1" applyFill="1" applyBorder="1" applyAlignment="1">
      <alignment vertical="center" wrapText="1"/>
    </xf>
    <xf numFmtId="9" fontId="7" fillId="19" borderId="8" xfId="0" applyNumberFormat="1" applyFont="1" applyFill="1" applyBorder="1" applyAlignment="1">
      <alignment horizontal="center" vertical="center" wrapText="1"/>
    </xf>
    <xf numFmtId="0" fontId="8" fillId="19" borderId="1" xfId="0" applyFont="1" applyFill="1" applyBorder="1" applyAlignment="1">
      <alignment vertical="center" wrapText="1"/>
    </xf>
    <xf numFmtId="0" fontId="7" fillId="19" borderId="1" xfId="0" applyFont="1" applyFill="1" applyBorder="1" applyAlignment="1">
      <alignment horizontal="left" vertical="center" wrapText="1"/>
    </xf>
    <xf numFmtId="3" fontId="7" fillId="0" borderId="8" xfId="0" applyNumberFormat="1" applyFont="1" applyBorder="1" applyAlignment="1">
      <alignment horizontal="center" vertical="center" wrapText="1"/>
    </xf>
    <xf numFmtId="0" fontId="13" fillId="0" borderId="9" xfId="0" applyFont="1" applyBorder="1" applyAlignment="1">
      <alignment horizontal="left" vertical="center" wrapText="1"/>
    </xf>
    <xf numFmtId="3" fontId="55" fillId="0" borderId="8" xfId="0" applyNumberFormat="1" applyFont="1" applyBorder="1" applyAlignment="1">
      <alignment horizontal="center" vertical="center" wrapText="1"/>
    </xf>
    <xf numFmtId="3" fontId="55" fillId="3"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0" fontId="6" fillId="0" borderId="7" xfId="0" applyFont="1" applyBorder="1" applyAlignment="1">
      <alignment horizontal="left" vertical="center" wrapText="1"/>
    </xf>
    <xf numFmtId="3" fontId="7" fillId="11" borderId="7"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3" fontId="10" fillId="0" borderId="8" xfId="0" applyNumberFormat="1" applyFont="1" applyBorder="1" applyAlignment="1">
      <alignment horizontal="center" vertical="center" wrapText="1"/>
    </xf>
    <xf numFmtId="3" fontId="10" fillId="3" borderId="8" xfId="0" applyNumberFormat="1" applyFont="1" applyFill="1" applyBorder="1" applyAlignment="1">
      <alignment horizontal="center" vertical="center" wrapText="1"/>
    </xf>
    <xf numFmtId="0" fontId="14" fillId="0" borderId="9" xfId="0" applyFont="1" applyBorder="1" applyAlignment="1">
      <alignment horizontal="left" vertical="center" wrapText="1"/>
    </xf>
    <xf numFmtId="3" fontId="7" fillId="0" borderId="1" xfId="0" applyNumberFormat="1" applyFont="1" applyBorder="1" applyAlignment="1">
      <alignment horizontal="center" vertical="center" wrapText="1"/>
    </xf>
    <xf numFmtId="3" fontId="7" fillId="3" borderId="1" xfId="0" applyNumberFormat="1" applyFont="1" applyFill="1" applyBorder="1" applyAlignment="1">
      <alignment horizontal="center" vertical="center" wrapText="1"/>
    </xf>
    <xf numFmtId="0" fontId="0" fillId="0" borderId="1" xfId="0" applyBorder="1"/>
    <xf numFmtId="0" fontId="0" fillId="3" borderId="1" xfId="0" applyFill="1" applyBorder="1"/>
    <xf numFmtId="3" fontId="12" fillId="0" borderId="1" xfId="0" applyNumberFormat="1" applyFont="1" applyBorder="1" applyAlignment="1">
      <alignment horizontal="center" vertical="center" wrapText="1"/>
    </xf>
    <xf numFmtId="3" fontId="55" fillId="0" borderId="8" xfId="0" applyNumberFormat="1" applyFont="1" applyFill="1" applyBorder="1" applyAlignment="1">
      <alignment horizontal="center" vertical="center"/>
    </xf>
    <xf numFmtId="0" fontId="129" fillId="0" borderId="1" xfId="0" applyFont="1" applyBorder="1" applyAlignment="1">
      <alignment horizontal="center" vertical="center"/>
    </xf>
    <xf numFmtId="0" fontId="130" fillId="3" borderId="1" xfId="0" applyFont="1" applyFill="1" applyBorder="1" applyAlignment="1">
      <alignment horizontal="center" vertical="center"/>
    </xf>
    <xf numFmtId="0" fontId="130" fillId="0" borderId="1" xfId="0" applyFont="1" applyBorder="1" applyAlignment="1">
      <alignment horizontal="center" vertical="center"/>
    </xf>
    <xf numFmtId="9" fontId="7" fillId="3" borderId="8" xfId="0" applyNumberFormat="1" applyFont="1" applyFill="1" applyBorder="1" applyAlignment="1">
      <alignment horizontal="center" vertical="center" wrapText="1"/>
    </xf>
    <xf numFmtId="9" fontId="91" fillId="0" borderId="8" xfId="0" applyNumberFormat="1" applyFont="1" applyFill="1" applyBorder="1" applyAlignment="1">
      <alignment horizontal="center" vertical="center" wrapText="1"/>
    </xf>
    <xf numFmtId="9" fontId="91" fillId="3" borderId="8" xfId="0" applyNumberFormat="1" applyFont="1" applyFill="1" applyBorder="1" applyAlignment="1">
      <alignment horizontal="center" vertical="center" wrapText="1"/>
    </xf>
    <xf numFmtId="9" fontId="91" fillId="11" borderId="8" xfId="0" applyNumberFormat="1" applyFont="1" applyFill="1" applyBorder="1" applyAlignment="1">
      <alignment horizontal="center" vertical="center" wrapText="1"/>
    </xf>
    <xf numFmtId="0" fontId="91" fillId="0" borderId="7" xfId="0" applyFont="1" applyFill="1" applyBorder="1" applyAlignment="1">
      <alignment vertical="center" wrapText="1"/>
    </xf>
    <xf numFmtId="9" fontId="55" fillId="0" borderId="8" xfId="0" applyNumberFormat="1" applyFont="1" applyFill="1" applyBorder="1" applyAlignment="1">
      <alignment horizontal="center" vertical="center" wrapText="1"/>
    </xf>
    <xf numFmtId="9" fontId="55" fillId="3" borderId="8" xfId="0" applyNumberFormat="1" applyFont="1" applyFill="1" applyBorder="1" applyAlignment="1">
      <alignment horizontal="center" vertical="center" wrapText="1"/>
    </xf>
    <xf numFmtId="1" fontId="2" fillId="0" borderId="13" xfId="0" quotePrefix="1" applyNumberFormat="1" applyFont="1" applyBorder="1" applyAlignment="1">
      <alignment horizontal="center" vertical="center" wrapText="1"/>
    </xf>
    <xf numFmtId="0" fontId="8" fillId="0" borderId="138" xfId="0" applyFont="1" applyBorder="1" applyAlignment="1">
      <alignment horizontal="left" vertical="center" wrapText="1" indent="1"/>
    </xf>
    <xf numFmtId="0" fontId="14" fillId="2" borderId="138" xfId="0" applyFont="1" applyFill="1" applyBorder="1" applyAlignment="1">
      <alignment vertical="center" wrapText="1"/>
    </xf>
    <xf numFmtId="0" fontId="11" fillId="0" borderId="139" xfId="0" applyFont="1" applyBorder="1" applyAlignment="1">
      <alignment horizontal="left" vertical="center" wrapText="1" indent="1"/>
    </xf>
    <xf numFmtId="0" fontId="18" fillId="3" borderId="7" xfId="0" applyFont="1" applyFill="1" applyBorder="1" applyAlignment="1">
      <alignment vertical="center" wrapText="1"/>
    </xf>
    <xf numFmtId="1" fontId="7" fillId="0" borderId="8" xfId="0" applyNumberFormat="1" applyFont="1" applyFill="1" applyBorder="1" applyAlignment="1">
      <alignment horizontal="center" vertical="center"/>
    </xf>
    <xf numFmtId="165" fontId="54" fillId="3" borderId="8" xfId="0" applyNumberFormat="1" applyFont="1" applyFill="1" applyBorder="1" applyAlignment="1">
      <alignment horizontal="center" vertical="center"/>
    </xf>
    <xf numFmtId="0" fontId="5" fillId="3" borderId="1" xfId="0" applyFont="1" applyFill="1" applyBorder="1" applyAlignment="1">
      <alignment horizontal="center" vertical="center" wrapText="1"/>
    </xf>
    <xf numFmtId="0" fontId="0" fillId="0" borderId="0" xfId="0" applyAlignment="1">
      <alignment horizontal="left"/>
    </xf>
    <xf numFmtId="0" fontId="23" fillId="0" borderId="0" xfId="0" applyFont="1" applyAlignment="1">
      <alignment horizontal="left"/>
    </xf>
    <xf numFmtId="0" fontId="24" fillId="4" borderId="1" xfId="0" applyFont="1" applyFill="1" applyBorder="1" applyAlignment="1">
      <alignment horizontal="left" vertical="center" wrapText="1"/>
    </xf>
    <xf numFmtId="0" fontId="26" fillId="3" borderId="6" xfId="0" applyFont="1" applyFill="1" applyBorder="1" applyAlignment="1">
      <alignment horizontal="left" vertical="center" wrapText="1"/>
    </xf>
    <xf numFmtId="0" fontId="26" fillId="3" borderId="8" xfId="0" applyFont="1" applyFill="1" applyBorder="1" applyAlignment="1">
      <alignment horizontal="left" vertical="center" wrapText="1"/>
    </xf>
    <xf numFmtId="9" fontId="26" fillId="3" borderId="8" xfId="0" applyNumberFormat="1" applyFont="1" applyFill="1" applyBorder="1" applyAlignment="1">
      <alignment horizontal="left" vertical="center"/>
    </xf>
    <xf numFmtId="0" fontId="24" fillId="14" borderId="7" xfId="0" applyFont="1" applyFill="1" applyBorder="1" applyAlignment="1">
      <alignment horizontal="left" vertical="center" wrapText="1"/>
    </xf>
    <xf numFmtId="4" fontId="0" fillId="0" borderId="0" xfId="0" applyNumberFormat="1" applyAlignment="1">
      <alignment horizontal="left"/>
    </xf>
    <xf numFmtId="1" fontId="26" fillId="3" borderId="8" xfId="0" applyNumberFormat="1" applyFont="1" applyFill="1" applyBorder="1" applyAlignment="1">
      <alignment horizontal="left" vertical="center"/>
    </xf>
    <xf numFmtId="0" fontId="24" fillId="3" borderId="6" xfId="0" applyFont="1" applyFill="1" applyBorder="1" applyAlignment="1">
      <alignment horizontal="left" vertical="center" wrapText="1"/>
    </xf>
    <xf numFmtId="0" fontId="24" fillId="3" borderId="8" xfId="0" applyFont="1" applyFill="1" applyBorder="1" applyAlignment="1">
      <alignment horizontal="left" vertical="center" wrapText="1"/>
    </xf>
    <xf numFmtId="3" fontId="26" fillId="3" borderId="7" xfId="0" applyNumberFormat="1" applyFont="1" applyFill="1" applyBorder="1" applyAlignment="1">
      <alignment horizontal="left" vertical="center" wrapText="1"/>
    </xf>
    <xf numFmtId="165" fontId="26" fillId="3" borderId="8" xfId="0" applyNumberFormat="1" applyFont="1" applyFill="1" applyBorder="1" applyAlignment="1">
      <alignment horizontal="left" vertical="center"/>
    </xf>
    <xf numFmtId="3" fontId="0" fillId="0" borderId="0" xfId="0" applyNumberFormat="1" applyAlignment="1">
      <alignment horizontal="left"/>
    </xf>
    <xf numFmtId="3" fontId="26" fillId="0" borderId="8" xfId="0" applyNumberFormat="1" applyFont="1" applyBorder="1" applyAlignment="1">
      <alignment horizontal="left" vertical="center"/>
    </xf>
    <xf numFmtId="3" fontId="28" fillId="0" borderId="8" xfId="0" applyNumberFormat="1" applyFont="1" applyBorder="1" applyAlignment="1">
      <alignment horizontal="left" vertical="center"/>
    </xf>
    <xf numFmtId="0" fontId="25" fillId="2" borderId="7" xfId="0" applyFont="1" applyFill="1" applyBorder="1" applyAlignment="1">
      <alignment horizontal="left" vertical="center" wrapText="1"/>
    </xf>
    <xf numFmtId="3" fontId="24" fillId="2" borderId="8" xfId="0" applyNumberFormat="1" applyFont="1" applyFill="1" applyBorder="1" applyAlignment="1">
      <alignment horizontal="left" vertical="center"/>
    </xf>
    <xf numFmtId="0" fontId="25" fillId="0" borderId="9" xfId="0" applyFont="1" applyBorder="1" applyAlignment="1">
      <alignment horizontal="left" vertical="center" wrapText="1" indent="1"/>
    </xf>
    <xf numFmtId="0" fontId="24" fillId="4" borderId="7" xfId="0" applyFont="1" applyFill="1" applyBorder="1" applyAlignment="1">
      <alignment horizontal="left" vertical="center" wrapText="1"/>
    </xf>
    <xf numFmtId="0" fontId="26" fillId="4" borderId="1" xfId="0" applyFont="1" applyFill="1" applyBorder="1" applyAlignment="1">
      <alignment horizontal="left" vertical="center" wrapText="1"/>
    </xf>
    <xf numFmtId="0" fontId="29" fillId="0" borderId="29" xfId="0" applyFont="1" applyBorder="1" applyAlignment="1">
      <alignment horizontal="left" vertical="center" wrapText="1" indent="1"/>
    </xf>
    <xf numFmtId="0" fontId="25" fillId="5" borderId="7" xfId="0" applyFont="1" applyFill="1" applyBorder="1" applyAlignment="1">
      <alignment horizontal="left" vertical="center" wrapText="1"/>
    </xf>
    <xf numFmtId="3" fontId="24" fillId="5" borderId="8" xfId="0" applyNumberFormat="1" applyFont="1" applyFill="1" applyBorder="1" applyAlignment="1">
      <alignment horizontal="left" vertical="center"/>
    </xf>
    <xf numFmtId="3" fontId="24" fillId="4" borderId="8" xfId="0" applyNumberFormat="1" applyFont="1" applyFill="1" applyBorder="1" applyAlignment="1">
      <alignment horizontal="left" vertical="center"/>
    </xf>
    <xf numFmtId="0" fontId="27" fillId="3" borderId="7" xfId="0" applyFont="1" applyFill="1" applyBorder="1" applyAlignment="1">
      <alignment horizontal="left" vertical="center" wrapText="1"/>
    </xf>
    <xf numFmtId="3" fontId="27" fillId="3" borderId="8" xfId="0" applyNumberFormat="1" applyFont="1" applyFill="1" applyBorder="1" applyAlignment="1">
      <alignment horizontal="left" vertical="center"/>
    </xf>
    <xf numFmtId="165" fontId="27" fillId="0" borderId="8" xfId="0" applyNumberFormat="1" applyFont="1" applyBorder="1" applyAlignment="1">
      <alignment horizontal="left" vertical="center"/>
    </xf>
    <xf numFmtId="165" fontId="28" fillId="0" borderId="8" xfId="0" applyNumberFormat="1" applyFont="1" applyBorder="1" applyAlignment="1">
      <alignment horizontal="left" vertical="center"/>
    </xf>
    <xf numFmtId="3" fontId="7" fillId="0" borderId="0" xfId="0" applyNumberFormat="1" applyFont="1" applyBorder="1" applyAlignment="1">
      <alignment horizontal="left" vertical="center"/>
    </xf>
    <xf numFmtId="0" fontId="7" fillId="3" borderId="7" xfId="0" applyFont="1" applyFill="1" applyBorder="1" applyAlignment="1">
      <alignment horizontal="center" vertical="center" wrapText="1"/>
    </xf>
    <xf numFmtId="0" fontId="31" fillId="3" borderId="2" xfId="0" applyFont="1" applyFill="1" applyBorder="1" applyAlignment="1">
      <alignment horizontal="left" vertical="center" wrapText="1"/>
    </xf>
    <xf numFmtId="0" fontId="7" fillId="3" borderId="7" xfId="0" applyFont="1" applyFill="1" applyBorder="1" applyAlignment="1">
      <alignment vertical="center" wrapText="1"/>
    </xf>
    <xf numFmtId="0" fontId="7" fillId="3" borderId="6"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49" fontId="5" fillId="3" borderId="2" xfId="0" applyNumberFormat="1" applyFont="1" applyFill="1" applyBorder="1" applyAlignment="1">
      <alignment horizontal="center" vertical="center"/>
    </xf>
    <xf numFmtId="49" fontId="5" fillId="3" borderId="3" xfId="0" applyNumberFormat="1" applyFont="1" applyFill="1" applyBorder="1" applyAlignment="1">
      <alignment horizontal="center" vertical="center"/>
    </xf>
    <xf numFmtId="49" fontId="5" fillId="3" borderId="4" xfId="0" applyNumberFormat="1" applyFont="1" applyFill="1" applyBorder="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24" fillId="2" borderId="3"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82" fillId="2" borderId="0" xfId="0" applyFont="1" applyFill="1" applyAlignment="1">
      <alignment horizontal="left"/>
    </xf>
    <xf numFmtId="0" fontId="26" fillId="3" borderId="1" xfId="0" applyFont="1" applyFill="1" applyBorder="1" applyAlignment="1">
      <alignment horizontal="left" vertical="center"/>
    </xf>
    <xf numFmtId="49" fontId="26" fillId="3" borderId="2" xfId="0" applyNumberFormat="1" applyFont="1" applyFill="1" applyBorder="1" applyAlignment="1">
      <alignment horizontal="left" vertical="center"/>
    </xf>
    <xf numFmtId="49" fontId="26" fillId="3" borderId="3" xfId="0" applyNumberFormat="1" applyFont="1" applyFill="1" applyBorder="1" applyAlignment="1">
      <alignment horizontal="left" vertical="center"/>
    </xf>
    <xf numFmtId="49" fontId="26" fillId="3" borderId="4" xfId="0" applyNumberFormat="1" applyFont="1" applyFill="1" applyBorder="1" applyAlignment="1">
      <alignment horizontal="left" vertical="center"/>
    </xf>
    <xf numFmtId="0" fontId="26" fillId="3" borderId="2" xfId="0" applyFont="1" applyFill="1" applyBorder="1" applyAlignment="1">
      <alignment horizontal="left" vertical="center" wrapText="1"/>
    </xf>
    <xf numFmtId="0" fontId="26" fillId="3" borderId="3" xfId="0" applyFont="1" applyFill="1" applyBorder="1" applyAlignment="1">
      <alignment horizontal="left" vertical="center" wrapText="1"/>
    </xf>
    <xf numFmtId="0" fontId="26" fillId="3" borderId="4" xfId="0" applyFont="1" applyFill="1" applyBorder="1" applyAlignment="1">
      <alignment horizontal="left" vertical="center" wrapText="1"/>
    </xf>
    <xf numFmtId="0" fontId="24" fillId="0" borderId="2" xfId="0" applyFont="1" applyBorder="1" applyAlignment="1">
      <alignment horizontal="left"/>
    </xf>
    <xf numFmtId="0" fontId="24" fillId="0" borderId="3" xfId="0" applyFont="1" applyBorder="1" applyAlignment="1">
      <alignment horizontal="left"/>
    </xf>
    <xf numFmtId="0" fontId="24" fillId="0" borderId="4" xfId="0" applyFont="1" applyBorder="1" applyAlignment="1">
      <alignment horizontal="left"/>
    </xf>
    <xf numFmtId="0" fontId="26" fillId="3" borderId="5" xfId="0" applyFont="1" applyFill="1" applyBorder="1" applyAlignment="1">
      <alignment horizontal="left" vertical="center" wrapText="1"/>
    </xf>
    <xf numFmtId="0" fontId="26" fillId="3" borderId="7" xfId="0" applyFont="1" applyFill="1" applyBorder="1" applyAlignment="1">
      <alignment horizontal="left" vertical="center" wrapText="1"/>
    </xf>
    <xf numFmtId="0" fontId="26" fillId="4" borderId="3" xfId="0" applyFont="1" applyFill="1" applyBorder="1" applyAlignment="1">
      <alignment horizontal="left" vertical="center" wrapText="1"/>
    </xf>
    <xf numFmtId="0" fontId="26" fillId="4" borderId="3" xfId="0" applyFont="1" applyFill="1" applyBorder="1" applyAlignment="1">
      <alignment horizontal="left" vertical="center"/>
    </xf>
    <xf numFmtId="0" fontId="26" fillId="4" borderId="4" xfId="0" applyFont="1" applyFill="1" applyBorder="1" applyAlignment="1">
      <alignment horizontal="left" vertical="center"/>
    </xf>
    <xf numFmtId="0" fontId="26" fillId="14" borderId="2" xfId="0" applyFont="1" applyFill="1" applyBorder="1" applyAlignment="1">
      <alignment horizontal="left" vertical="center" wrapText="1"/>
    </xf>
    <xf numFmtId="0" fontId="26" fillId="14" borderId="3" xfId="0" applyFont="1" applyFill="1" applyBorder="1" applyAlignment="1">
      <alignment horizontal="left" vertical="center" wrapText="1"/>
    </xf>
    <xf numFmtId="0" fontId="26" fillId="14" borderId="4" xfId="0" applyFont="1" applyFill="1" applyBorder="1" applyAlignment="1">
      <alignment horizontal="left" vertical="center" wrapText="1"/>
    </xf>
    <xf numFmtId="0" fontId="24" fillId="4" borderId="2" xfId="0" applyFont="1" applyFill="1" applyBorder="1" applyAlignment="1">
      <alignment horizontal="left" vertical="center"/>
    </xf>
    <xf numFmtId="0" fontId="24" fillId="4" borderId="3" xfId="0" applyFont="1" applyFill="1" applyBorder="1" applyAlignment="1">
      <alignment horizontal="left" vertical="center"/>
    </xf>
    <xf numFmtId="0" fontId="24" fillId="4" borderId="4" xfId="0" applyFont="1" applyFill="1" applyBorder="1" applyAlignment="1">
      <alignment horizontal="left" vertical="center"/>
    </xf>
    <xf numFmtId="0" fontId="26" fillId="4" borderId="2" xfId="0" applyFont="1" applyFill="1" applyBorder="1" applyAlignment="1">
      <alignment horizontal="left" vertical="center" wrapText="1"/>
    </xf>
    <xf numFmtId="0" fontId="26" fillId="4" borderId="4" xfId="0" applyFont="1" applyFill="1" applyBorder="1" applyAlignment="1">
      <alignment horizontal="left" vertical="center" wrapText="1"/>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24" fillId="4" borderId="2" xfId="0" applyFont="1" applyFill="1" applyBorder="1" applyAlignment="1">
      <alignment horizontal="left" vertical="center" wrapText="1"/>
    </xf>
    <xf numFmtId="0" fontId="24" fillId="4" borderId="3" xfId="0" applyFont="1" applyFill="1" applyBorder="1" applyAlignment="1">
      <alignment horizontal="left" vertical="center" wrapText="1"/>
    </xf>
    <xf numFmtId="0" fontId="24" fillId="4" borderId="4" xfId="0" applyFont="1" applyFill="1" applyBorder="1" applyAlignment="1">
      <alignment horizontal="left" vertical="center" wrapText="1"/>
    </xf>
    <xf numFmtId="0" fontId="134" fillId="4" borderId="2" xfId="0" applyFont="1" applyFill="1" applyBorder="1" applyAlignment="1">
      <alignment horizontal="left" vertical="center"/>
    </xf>
    <xf numFmtId="0" fontId="134" fillId="4" borderId="3" xfId="0" applyFont="1" applyFill="1" applyBorder="1" applyAlignment="1">
      <alignment horizontal="left" vertical="center"/>
    </xf>
    <xf numFmtId="0" fontId="134" fillId="4" borderId="4" xfId="0" applyFont="1" applyFill="1" applyBorder="1" applyAlignment="1">
      <alignment horizontal="left" vertical="center"/>
    </xf>
    <xf numFmtId="9" fontId="26" fillId="4" borderId="2" xfId="0" applyNumberFormat="1" applyFont="1" applyFill="1" applyBorder="1" applyAlignment="1">
      <alignment horizontal="left" vertical="center"/>
    </xf>
    <xf numFmtId="9" fontId="26" fillId="4" borderId="3" xfId="0" applyNumberFormat="1" applyFont="1" applyFill="1" applyBorder="1" applyAlignment="1">
      <alignment horizontal="left" vertical="center"/>
    </xf>
    <xf numFmtId="9" fontId="26" fillId="4" borderId="4" xfId="0" applyNumberFormat="1" applyFont="1" applyFill="1" applyBorder="1" applyAlignment="1">
      <alignment horizontal="left" vertical="center"/>
    </xf>
    <xf numFmtId="0" fontId="26" fillId="4" borderId="2" xfId="0" applyFont="1" applyFill="1" applyBorder="1" applyAlignment="1">
      <alignment horizontal="left" vertical="center"/>
    </xf>
    <xf numFmtId="0" fontId="26" fillId="3" borderId="9" xfId="0" applyFont="1" applyFill="1" applyBorder="1" applyAlignment="1">
      <alignment horizontal="left" vertical="center" wrapText="1"/>
    </xf>
    <xf numFmtId="0" fontId="26" fillId="3" borderId="10" xfId="0" applyFont="1" applyFill="1" applyBorder="1" applyAlignment="1">
      <alignment horizontal="left" vertical="center"/>
    </xf>
    <xf numFmtId="0" fontId="26" fillId="3" borderId="11" xfId="0" applyFont="1" applyFill="1" applyBorder="1" applyAlignment="1">
      <alignment horizontal="left" vertical="center"/>
    </xf>
    <xf numFmtId="0" fontId="26" fillId="3" borderId="12" xfId="0" applyFont="1" applyFill="1" applyBorder="1" applyAlignment="1">
      <alignment horizontal="left" vertical="center"/>
    </xf>
    <xf numFmtId="0" fontId="26" fillId="3" borderId="13" xfId="0" applyFont="1" applyFill="1" applyBorder="1" applyAlignment="1">
      <alignment horizontal="left" vertical="center"/>
    </xf>
    <xf numFmtId="0" fontId="26" fillId="3" borderId="0" xfId="0" applyFont="1" applyFill="1" applyBorder="1" applyAlignment="1">
      <alignment horizontal="left" vertical="center"/>
    </xf>
    <xf numFmtId="0" fontId="26" fillId="3" borderId="6" xfId="0" applyFont="1" applyFill="1" applyBorder="1" applyAlignment="1">
      <alignment horizontal="left" vertical="center"/>
    </xf>
    <xf numFmtId="0" fontId="26" fillId="3" borderId="14" xfId="0" applyFont="1" applyFill="1" applyBorder="1" applyAlignment="1">
      <alignment horizontal="left" vertical="center"/>
    </xf>
    <xf numFmtId="0" fontId="26" fillId="3" borderId="15" xfId="0" applyFont="1" applyFill="1" applyBorder="1" applyAlignment="1">
      <alignment horizontal="left" vertical="center"/>
    </xf>
    <xf numFmtId="0" fontId="26" fillId="3" borderId="8" xfId="0" applyFont="1" applyFill="1" applyBorder="1" applyAlignment="1">
      <alignment horizontal="left" vertical="center"/>
    </xf>
    <xf numFmtId="0" fontId="38" fillId="3" borderId="5" xfId="0" applyFont="1" applyFill="1" applyBorder="1" applyAlignment="1">
      <alignment horizontal="center" vertical="center" wrapText="1"/>
    </xf>
    <xf numFmtId="0" fontId="38" fillId="3" borderId="7" xfId="0" applyFont="1" applyFill="1" applyBorder="1" applyAlignment="1">
      <alignment horizontal="center" vertical="center" wrapText="1"/>
    </xf>
    <xf numFmtId="0" fontId="39" fillId="4" borderId="2" xfId="0" applyFont="1" applyFill="1" applyBorder="1" applyAlignment="1">
      <alignment horizontal="center" vertical="center" wrapText="1"/>
    </xf>
    <xf numFmtId="0" fontId="39" fillId="4" borderId="3" xfId="0" applyFont="1" applyFill="1" applyBorder="1" applyAlignment="1">
      <alignment horizontal="center" vertical="center" wrapText="1"/>
    </xf>
    <xf numFmtId="0" fontId="39" fillId="4" borderId="4" xfId="0" applyFont="1" applyFill="1" applyBorder="1" applyAlignment="1">
      <alignment horizontal="center" vertical="center" wrapText="1"/>
    </xf>
    <xf numFmtId="0" fontId="38" fillId="3" borderId="5" xfId="0" applyFont="1" applyFill="1" applyBorder="1" applyAlignment="1">
      <alignment vertical="center" wrapText="1"/>
    </xf>
    <xf numFmtId="0" fontId="38" fillId="3" borderId="9" xfId="0" applyFont="1" applyFill="1" applyBorder="1" applyAlignment="1">
      <alignment vertical="center" wrapText="1"/>
    </xf>
    <xf numFmtId="0" fontId="38" fillId="3" borderId="11" xfId="0" applyFont="1" applyFill="1" applyBorder="1" applyAlignment="1">
      <alignment horizontal="center" vertical="center"/>
    </xf>
    <xf numFmtId="0" fontId="38" fillId="3" borderId="12" xfId="0" applyFont="1" applyFill="1" applyBorder="1" applyAlignment="1">
      <alignment horizontal="center" vertical="center"/>
    </xf>
    <xf numFmtId="0" fontId="38" fillId="3" borderId="0" xfId="0" applyFont="1" applyFill="1" applyBorder="1" applyAlignment="1">
      <alignment horizontal="center" vertical="center"/>
    </xf>
    <xf numFmtId="0" fontId="38" fillId="3" borderId="6" xfId="0" applyFont="1" applyFill="1" applyBorder="1" applyAlignment="1">
      <alignment horizontal="center" vertical="center"/>
    </xf>
    <xf numFmtId="0" fontId="38" fillId="3" borderId="15" xfId="0" applyFont="1" applyFill="1" applyBorder="1" applyAlignment="1">
      <alignment horizontal="center" vertical="center"/>
    </xf>
    <xf numFmtId="0" fontId="38" fillId="3" borderId="8" xfId="0" applyFont="1" applyFill="1" applyBorder="1" applyAlignment="1">
      <alignment horizontal="center" vertical="center"/>
    </xf>
    <xf numFmtId="0" fontId="39" fillId="5" borderId="2" xfId="0" applyFont="1" applyFill="1" applyBorder="1" applyAlignment="1">
      <alignment horizontal="left" vertical="center" wrapText="1"/>
    </xf>
    <xf numFmtId="0" fontId="39" fillId="5" borderId="3" xfId="0" applyFont="1" applyFill="1" applyBorder="1" applyAlignment="1">
      <alignment horizontal="left" vertical="center" wrapText="1"/>
    </xf>
    <xf numFmtId="0" fontId="39" fillId="5" borderId="4" xfId="0" applyFont="1" applyFill="1" applyBorder="1" applyAlignment="1">
      <alignment horizontal="left" vertical="center" wrapText="1"/>
    </xf>
    <xf numFmtId="0" fontId="38" fillId="3" borderId="2" xfId="0" applyFont="1" applyFill="1" applyBorder="1" applyAlignment="1">
      <alignment horizontal="center" vertical="center" wrapText="1"/>
    </xf>
    <xf numFmtId="0" fontId="38" fillId="3" borderId="3" xfId="0" applyFont="1" applyFill="1" applyBorder="1" applyAlignment="1">
      <alignment horizontal="center" vertical="center" wrapText="1"/>
    </xf>
    <xf numFmtId="0" fontId="38" fillId="3" borderId="4" xfId="0" applyFont="1" applyFill="1" applyBorder="1" applyAlignment="1">
      <alignment horizontal="center" vertical="center" wrapText="1"/>
    </xf>
    <xf numFmtId="0" fontId="39" fillId="3" borderId="2" xfId="0" applyFont="1" applyFill="1" applyBorder="1" applyAlignment="1">
      <alignment horizontal="center" vertical="center" wrapText="1"/>
    </xf>
    <xf numFmtId="0" fontId="39" fillId="3" borderId="3" xfId="0" applyFont="1" applyFill="1" applyBorder="1" applyAlignment="1">
      <alignment horizontal="center" vertical="center" wrapText="1"/>
    </xf>
    <xf numFmtId="0" fontId="39" fillId="3" borderId="4" xfId="0" applyFont="1" applyFill="1" applyBorder="1" applyAlignment="1">
      <alignment horizontal="center" vertical="center" wrapText="1"/>
    </xf>
    <xf numFmtId="0" fontId="43" fillId="4" borderId="2" xfId="0" applyFont="1" applyFill="1" applyBorder="1" applyAlignment="1">
      <alignment horizontal="center" vertical="center" wrapText="1"/>
    </xf>
    <xf numFmtId="0" fontId="43" fillId="4" borderId="3" xfId="0" applyFont="1" applyFill="1" applyBorder="1" applyAlignment="1">
      <alignment horizontal="center" vertical="center" wrapText="1"/>
    </xf>
    <xf numFmtId="0" fontId="43" fillId="4" borderId="4" xfId="0" applyFont="1" applyFill="1" applyBorder="1" applyAlignment="1">
      <alignment horizontal="center" vertical="center" wrapText="1"/>
    </xf>
    <xf numFmtId="0" fontId="39" fillId="4" borderId="2" xfId="0" applyFont="1" applyFill="1" applyBorder="1" applyAlignment="1">
      <alignment horizontal="center" vertical="center"/>
    </xf>
    <xf numFmtId="0" fontId="39" fillId="4" borderId="3" xfId="0" applyFont="1" applyFill="1" applyBorder="1" applyAlignment="1">
      <alignment horizontal="center" vertical="center"/>
    </xf>
    <xf numFmtId="0" fontId="39" fillId="4" borderId="4" xfId="0" applyFont="1" applyFill="1" applyBorder="1" applyAlignment="1">
      <alignment horizontal="center" vertical="center"/>
    </xf>
    <xf numFmtId="0" fontId="38" fillId="3" borderId="2" xfId="0" applyFont="1" applyFill="1" applyBorder="1" applyAlignment="1">
      <alignment horizontal="center" vertical="center"/>
    </xf>
    <xf numFmtId="0" fontId="38" fillId="3" borderId="3" xfId="0" applyFont="1" applyFill="1" applyBorder="1" applyAlignment="1">
      <alignment horizontal="center" vertical="center"/>
    </xf>
    <xf numFmtId="0" fontId="38" fillId="3" borderId="4" xfId="0" applyFont="1" applyFill="1" applyBorder="1" applyAlignment="1">
      <alignment horizontal="center" vertical="center"/>
    </xf>
    <xf numFmtId="0" fontId="38" fillId="3" borderId="7" xfId="0" applyFont="1" applyFill="1" applyBorder="1" applyAlignment="1">
      <alignment vertical="center" wrapText="1"/>
    </xf>
    <xf numFmtId="0" fontId="38" fillId="4" borderId="2" xfId="0" applyFont="1" applyFill="1" applyBorder="1" applyAlignment="1">
      <alignment horizontal="center" vertical="center"/>
    </xf>
    <xf numFmtId="0" fontId="38" fillId="4" borderId="3" xfId="0" applyFont="1" applyFill="1" applyBorder="1" applyAlignment="1">
      <alignment horizontal="center" vertical="center"/>
    </xf>
    <xf numFmtId="0" fontId="38" fillId="4" borderId="4" xfId="0" applyFont="1" applyFill="1" applyBorder="1" applyAlignment="1">
      <alignment horizontal="center" vertical="center"/>
    </xf>
    <xf numFmtId="0" fontId="38" fillId="3" borderId="10" xfId="0" applyFont="1" applyFill="1" applyBorder="1" applyAlignment="1">
      <alignment horizontal="center" vertical="center"/>
    </xf>
    <xf numFmtId="0" fontId="38" fillId="3" borderId="13" xfId="0" applyFont="1" applyFill="1" applyBorder="1" applyAlignment="1">
      <alignment horizontal="center" vertical="center"/>
    </xf>
    <xf numFmtId="0" fontId="38" fillId="3" borderId="14" xfId="0" applyFont="1" applyFill="1" applyBorder="1" applyAlignment="1">
      <alignment horizontal="center" vertical="center"/>
    </xf>
    <xf numFmtId="9" fontId="38" fillId="4" borderId="2" xfId="0" applyNumberFormat="1" applyFont="1" applyFill="1" applyBorder="1" applyAlignment="1">
      <alignment horizontal="center" vertical="center"/>
    </xf>
    <xf numFmtId="9" fontId="38" fillId="4" borderId="3" xfId="0" applyNumberFormat="1" applyFont="1" applyFill="1" applyBorder="1" applyAlignment="1">
      <alignment horizontal="center" vertical="center"/>
    </xf>
    <xf numFmtId="9" fontId="38" fillId="4" borderId="4" xfId="0" applyNumberFormat="1" applyFont="1" applyFill="1" applyBorder="1" applyAlignment="1">
      <alignment horizontal="center" vertical="center"/>
    </xf>
    <xf numFmtId="0" fontId="38" fillId="3" borderId="2" xfId="0" applyFont="1" applyFill="1" applyBorder="1" applyAlignment="1">
      <alignment horizontal="left" vertical="center" wrapText="1"/>
    </xf>
    <xf numFmtId="0" fontId="38" fillId="3" borderId="3" xfId="0" applyFont="1" applyFill="1" applyBorder="1" applyAlignment="1">
      <alignment horizontal="left" vertical="center" wrapText="1"/>
    </xf>
    <xf numFmtId="0" fontId="38" fillId="3" borderId="4" xfId="0" applyFont="1" applyFill="1" applyBorder="1" applyAlignment="1">
      <alignment horizontal="left" vertical="center" wrapText="1"/>
    </xf>
    <xf numFmtId="0" fontId="49" fillId="3" borderId="2" xfId="0" applyFont="1" applyFill="1" applyBorder="1" applyAlignment="1">
      <alignment horizontal="center" vertical="center" wrapText="1"/>
    </xf>
    <xf numFmtId="0" fontId="50" fillId="3" borderId="3" xfId="0" applyFont="1" applyFill="1" applyBorder="1" applyAlignment="1">
      <alignment horizontal="center" vertical="center" wrapText="1"/>
    </xf>
    <xf numFmtId="0" fontId="50" fillId="3" borderId="4" xfId="0" applyFont="1" applyFill="1" applyBorder="1" applyAlignment="1">
      <alignment horizontal="center" vertical="center" wrapText="1"/>
    </xf>
    <xf numFmtId="0" fontId="38" fillId="3" borderId="1" xfId="0" applyFont="1" applyFill="1" applyBorder="1" applyAlignment="1">
      <alignment horizontal="center" vertical="center"/>
    </xf>
    <xf numFmtId="49" fontId="38" fillId="3" borderId="2" xfId="0" applyNumberFormat="1" applyFont="1" applyFill="1" applyBorder="1" applyAlignment="1">
      <alignment horizontal="center" vertical="center"/>
    </xf>
    <xf numFmtId="49" fontId="38" fillId="3" borderId="3" xfId="0" applyNumberFormat="1" applyFont="1" applyFill="1" applyBorder="1" applyAlignment="1">
      <alignment horizontal="center" vertical="center"/>
    </xf>
    <xf numFmtId="49" fontId="38" fillId="3" borderId="4" xfId="0" applyNumberFormat="1" applyFont="1" applyFill="1" applyBorder="1" applyAlignment="1">
      <alignment horizontal="center" vertical="center"/>
    </xf>
    <xf numFmtId="0" fontId="39" fillId="0" borderId="2" xfId="0" applyFont="1" applyBorder="1" applyAlignment="1">
      <alignment horizontal="center"/>
    </xf>
    <xf numFmtId="0" fontId="39" fillId="0" borderId="3" xfId="0" applyFont="1" applyBorder="1" applyAlignment="1">
      <alignment horizontal="center"/>
    </xf>
    <xf numFmtId="0" fontId="39" fillId="0" borderId="4" xfId="0" applyFont="1" applyBorder="1" applyAlignment="1">
      <alignment horizontal="center"/>
    </xf>
    <xf numFmtId="0" fontId="39" fillId="4" borderId="2" xfId="0" applyFont="1" applyFill="1" applyBorder="1" applyAlignment="1">
      <alignment horizontal="left" vertical="center" wrapText="1"/>
    </xf>
    <xf numFmtId="0" fontId="39" fillId="4" borderId="3" xfId="0" applyFont="1" applyFill="1" applyBorder="1" applyAlignment="1">
      <alignment horizontal="left" vertical="center" wrapText="1"/>
    </xf>
    <xf numFmtId="0" fontId="39" fillId="4" borderId="4" xfId="0" applyFont="1" applyFill="1" applyBorder="1" applyAlignment="1">
      <alignment horizontal="left" vertical="center" wrapText="1"/>
    </xf>
    <xf numFmtId="0" fontId="38" fillId="0" borderId="2" xfId="0" applyFont="1" applyBorder="1" applyAlignment="1">
      <alignment horizontal="left" vertical="center" wrapText="1"/>
    </xf>
    <xf numFmtId="0" fontId="38" fillId="0" borderId="3" xfId="0" applyFont="1" applyBorder="1" applyAlignment="1">
      <alignment horizontal="left" vertical="center" wrapText="1"/>
    </xf>
    <xf numFmtId="0" fontId="38" fillId="0" borderId="4" xfId="0" applyFont="1" applyBorder="1" applyAlignment="1">
      <alignment horizontal="left" vertical="center" wrapText="1"/>
    </xf>
    <xf numFmtId="0" fontId="38" fillId="4" borderId="3" xfId="0" applyFont="1" applyFill="1" applyBorder="1" applyAlignment="1">
      <alignment horizontal="left" vertical="center" wrapText="1"/>
    </xf>
    <xf numFmtId="0" fontId="38" fillId="4" borderId="3" xfId="0" applyFont="1" applyFill="1" applyBorder="1" applyAlignment="1">
      <alignment horizontal="left" vertical="center"/>
    </xf>
    <xf numFmtId="0" fontId="38" fillId="4" borderId="4" xfId="0" applyFont="1" applyFill="1" applyBorder="1" applyAlignment="1">
      <alignment horizontal="left" vertical="center"/>
    </xf>
    <xf numFmtId="3" fontId="41" fillId="5" borderId="2" xfId="0" applyNumberFormat="1" applyFont="1" applyFill="1" applyBorder="1" applyAlignment="1">
      <alignment horizontal="center" vertical="center"/>
    </xf>
    <xf numFmtId="3" fontId="41" fillId="5" borderId="3" xfId="0" applyNumberFormat="1" applyFont="1" applyFill="1" applyBorder="1" applyAlignment="1">
      <alignment horizontal="center" vertical="center"/>
    </xf>
    <xf numFmtId="3" fontId="41" fillId="5" borderId="4" xfId="0" applyNumberFormat="1" applyFont="1" applyFill="1" applyBorder="1" applyAlignment="1">
      <alignment horizontal="center" vertical="center"/>
    </xf>
    <xf numFmtId="0" fontId="39" fillId="5" borderId="2" xfId="0" applyFont="1" applyFill="1" applyBorder="1" applyAlignment="1">
      <alignment horizontal="center" vertical="center" wrapText="1"/>
    </xf>
    <xf numFmtId="0" fontId="39" fillId="5" borderId="3" xfId="0" applyFont="1" applyFill="1" applyBorder="1" applyAlignment="1">
      <alignment horizontal="center" vertical="center" wrapText="1"/>
    </xf>
    <xf numFmtId="0" fontId="39" fillId="5" borderId="4" xfId="0" applyFont="1" applyFill="1" applyBorder="1" applyAlignment="1">
      <alignment horizontal="center" vertical="center" wrapText="1"/>
    </xf>
    <xf numFmtId="0" fontId="39" fillId="5" borderId="2" xfId="0" applyFont="1" applyFill="1" applyBorder="1" applyAlignment="1">
      <alignment horizontal="center" vertical="center"/>
    </xf>
    <xf numFmtId="0" fontId="39" fillId="5" borderId="3" xfId="0" applyFont="1" applyFill="1" applyBorder="1" applyAlignment="1">
      <alignment horizontal="center" vertical="center"/>
    </xf>
    <xf numFmtId="0" fontId="39" fillId="5" borderId="4" xfId="0" applyFont="1" applyFill="1" applyBorder="1" applyAlignment="1">
      <alignment horizontal="center" vertical="center"/>
    </xf>
    <xf numFmtId="9" fontId="39" fillId="4" borderId="2" xfId="0" applyNumberFormat="1" applyFont="1" applyFill="1" applyBorder="1" applyAlignment="1">
      <alignment horizontal="center" vertical="center"/>
    </xf>
    <xf numFmtId="9" fontId="39" fillId="4" borderId="3" xfId="0" applyNumberFormat="1" applyFont="1" applyFill="1" applyBorder="1" applyAlignment="1">
      <alignment horizontal="center" vertical="center"/>
    </xf>
    <xf numFmtId="9" fontId="39" fillId="4" borderId="4" xfId="0" applyNumberFormat="1" applyFont="1" applyFill="1" applyBorder="1" applyAlignment="1">
      <alignment horizontal="center" vertical="center"/>
    </xf>
    <xf numFmtId="0" fontId="49" fillId="3" borderId="3"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49" fillId="3" borderId="2" xfId="0" applyFont="1" applyFill="1" applyBorder="1" applyAlignment="1">
      <alignment horizontal="center" vertical="center"/>
    </xf>
    <xf numFmtId="0" fontId="49" fillId="3" borderId="3" xfId="0" applyFont="1" applyFill="1" applyBorder="1" applyAlignment="1">
      <alignment horizontal="center" vertical="center"/>
    </xf>
    <xf numFmtId="0" fontId="49" fillId="3" borderId="4" xfId="0" applyFont="1" applyFill="1" applyBorder="1" applyAlignment="1">
      <alignment horizontal="center" vertical="center"/>
    </xf>
    <xf numFmtId="0" fontId="38" fillId="4" borderId="3" xfId="0" applyFont="1" applyFill="1" applyBorder="1" applyAlignment="1">
      <alignment horizontal="center" vertical="center" wrapText="1"/>
    </xf>
    <xf numFmtId="0" fontId="5" fillId="3" borderId="3" xfId="0" applyFont="1" applyFill="1" applyBorder="1" applyAlignment="1">
      <alignment horizontal="left" vertical="top" wrapText="1"/>
    </xf>
    <xf numFmtId="0" fontId="5" fillId="3" borderId="32" xfId="0" applyFont="1" applyFill="1" applyBorder="1" applyAlignment="1">
      <alignment horizontal="left" vertical="top" wrapText="1"/>
    </xf>
    <xf numFmtId="0" fontId="65" fillId="0" borderId="15" xfId="0" applyFont="1" applyBorder="1" applyAlignment="1">
      <alignment horizontal="center" wrapText="1"/>
    </xf>
    <xf numFmtId="0" fontId="62" fillId="3" borderId="1" xfId="0" applyFont="1" applyFill="1" applyBorder="1" applyAlignment="1">
      <alignment horizontal="center" vertical="center"/>
    </xf>
    <xf numFmtId="49" fontId="39" fillId="3" borderId="2" xfId="0" applyNumberFormat="1" applyFont="1" applyFill="1" applyBorder="1" applyAlignment="1">
      <alignment horizontal="center" vertical="center"/>
    </xf>
    <xf numFmtId="49" fontId="39" fillId="3" borderId="3" xfId="0" applyNumberFormat="1" applyFont="1" applyFill="1" applyBorder="1" applyAlignment="1">
      <alignment horizontal="center" vertical="center"/>
    </xf>
    <xf numFmtId="49" fontId="39" fillId="3" borderId="4" xfId="0" applyNumberFormat="1" applyFont="1" applyFill="1" applyBorder="1" applyAlignment="1">
      <alignment horizontal="center" vertical="center"/>
    </xf>
    <xf numFmtId="0" fontId="63" fillId="2" borderId="2" xfId="0" applyFont="1" applyFill="1" applyBorder="1" applyAlignment="1">
      <alignment horizontal="center" vertical="center"/>
    </xf>
    <xf numFmtId="0" fontId="5" fillId="2" borderId="32" xfId="0" applyFont="1" applyFill="1" applyBorder="1" applyAlignment="1">
      <alignment horizontal="center" vertical="center"/>
    </xf>
    <xf numFmtId="49" fontId="64" fillId="3" borderId="2" xfId="0" applyNumberFormat="1" applyFont="1" applyFill="1" applyBorder="1" applyAlignment="1">
      <alignment horizontal="center" vertical="center"/>
    </xf>
    <xf numFmtId="49" fontId="5" fillId="3" borderId="32" xfId="0" applyNumberFormat="1" applyFont="1" applyFill="1" applyBorder="1" applyAlignment="1">
      <alignment horizontal="center" vertical="center"/>
    </xf>
    <xf numFmtId="0" fontId="46" fillId="3" borderId="10" xfId="0" applyFont="1" applyFill="1" applyBorder="1" applyAlignment="1">
      <alignment horizontal="left" vertical="center" wrapText="1"/>
    </xf>
    <xf numFmtId="0" fontId="5" fillId="3" borderId="32" xfId="0" applyFont="1" applyFill="1" applyBorder="1" applyAlignment="1">
      <alignment horizontal="left" vertical="center" wrapText="1"/>
    </xf>
    <xf numFmtId="0" fontId="24" fillId="2" borderId="32"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32" xfId="0" applyFont="1" applyFill="1" applyBorder="1" applyAlignment="1">
      <alignment horizontal="center" vertical="center" wrapText="1"/>
    </xf>
    <xf numFmtId="9" fontId="7" fillId="4" borderId="2" xfId="0" applyNumberFormat="1" applyFont="1" applyFill="1" applyBorder="1" applyAlignment="1">
      <alignment horizontal="center" vertical="center"/>
    </xf>
    <xf numFmtId="9" fontId="7" fillId="4" borderId="3" xfId="0" applyNumberFormat="1"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2" fillId="0" borderId="0" xfId="0" applyFont="1" applyAlignment="1">
      <alignment horizont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5"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7" fillId="3" borderId="5" xfId="0" applyFont="1" applyFill="1" applyBorder="1" applyAlignment="1">
      <alignment vertical="center" wrapText="1"/>
    </xf>
    <xf numFmtId="0" fontId="7" fillId="3" borderId="9" xfId="0" applyFont="1" applyFill="1" applyBorder="1" applyAlignment="1">
      <alignment vertical="center" wrapText="1"/>
    </xf>
    <xf numFmtId="0" fontId="7" fillId="3" borderId="7" xfId="0" applyFont="1" applyFill="1" applyBorder="1" applyAlignment="1">
      <alignment vertical="center" wrapText="1"/>
    </xf>
    <xf numFmtId="0" fontId="57" fillId="3" borderId="10" xfId="0" applyFont="1" applyFill="1" applyBorder="1" applyAlignment="1">
      <alignment horizontal="center" vertical="center" wrapText="1"/>
    </xf>
    <xf numFmtId="0" fontId="57" fillId="3" borderId="11" xfId="0" applyFont="1" applyFill="1" applyBorder="1" applyAlignment="1">
      <alignment horizontal="center" vertical="center" wrapText="1"/>
    </xf>
    <xf numFmtId="0" fontId="57" fillId="3" borderId="13" xfId="0" applyFont="1" applyFill="1" applyBorder="1" applyAlignment="1">
      <alignment horizontal="center" vertical="center" wrapText="1"/>
    </xf>
    <xf numFmtId="0" fontId="57" fillId="3" borderId="0" xfId="0" applyFont="1" applyFill="1" applyBorder="1" applyAlignment="1">
      <alignment horizontal="center" vertical="center" wrapText="1"/>
    </xf>
    <xf numFmtId="0" fontId="57" fillId="3" borderId="14" xfId="0" applyFont="1" applyFill="1" applyBorder="1" applyAlignment="1">
      <alignment horizontal="center" vertical="center" wrapText="1"/>
    </xf>
    <xf numFmtId="0" fontId="57" fillId="3" borderId="15" xfId="0" applyFont="1" applyFill="1" applyBorder="1" applyAlignment="1">
      <alignment horizontal="center" vertical="center" wrapText="1"/>
    </xf>
    <xf numFmtId="0" fontId="5" fillId="3" borderId="1" xfId="0" applyFont="1" applyFill="1" applyBorder="1" applyAlignment="1">
      <alignment horizontal="center" vertical="center"/>
    </xf>
    <xf numFmtId="49" fontId="5" fillId="3" borderId="2" xfId="0" quotePrefix="1" applyNumberFormat="1" applyFont="1" applyFill="1" applyBorder="1" applyAlignment="1">
      <alignment horizontal="center" vertical="center"/>
    </xf>
    <xf numFmtId="0" fontId="5" fillId="3" borderId="2" xfId="0" applyFont="1" applyFill="1" applyBorder="1" applyAlignment="1">
      <alignment horizontal="center" vertical="center" wrapText="1"/>
    </xf>
    <xf numFmtId="0" fontId="4" fillId="0" borderId="2" xfId="0" applyFont="1" applyBorder="1" applyAlignment="1">
      <alignment horizontal="center"/>
    </xf>
    <xf numFmtId="0" fontId="4" fillId="0" borderId="3" xfId="0" applyFont="1" applyBorder="1" applyAlignment="1">
      <alignment horizont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4" borderId="3" xfId="0" applyFont="1" applyFill="1" applyBorder="1" applyAlignment="1">
      <alignment horizontal="center" vertical="center" wrapText="1"/>
    </xf>
    <xf numFmtId="0" fontId="6" fillId="4" borderId="3" xfId="0" applyFont="1" applyFill="1" applyBorder="1" applyAlignment="1">
      <alignment horizontal="center" vertical="center"/>
    </xf>
    <xf numFmtId="0" fontId="6" fillId="4" borderId="2" xfId="0" applyFont="1" applyFill="1" applyBorder="1" applyAlignment="1">
      <alignment horizontal="center" vertical="center" wrapText="1"/>
    </xf>
    <xf numFmtId="0" fontId="9" fillId="4" borderId="2" xfId="0" applyFont="1" applyFill="1" applyBorder="1" applyAlignment="1">
      <alignment horizontal="center" vertical="center"/>
    </xf>
    <xf numFmtId="0" fontId="9" fillId="4" borderId="3"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6" fillId="4" borderId="2" xfId="0" applyFont="1" applyFill="1" applyBorder="1" applyAlignment="1">
      <alignment horizontal="center" vertical="center"/>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32" fillId="2" borderId="0" xfId="0" applyFont="1" applyFill="1" applyAlignment="1">
      <alignment horizont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33" xfId="0" applyFont="1" applyFill="1" applyBorder="1" applyAlignment="1">
      <alignment horizontal="center" vertical="center" wrapText="1"/>
    </xf>
    <xf numFmtId="0" fontId="3" fillId="2" borderId="0" xfId="0" applyFont="1" applyFill="1" applyBorder="1" applyAlignment="1">
      <alignment horizontal="center"/>
    </xf>
    <xf numFmtId="0" fontId="3" fillId="2" borderId="31" xfId="0" applyFont="1" applyFill="1" applyBorder="1" applyAlignment="1">
      <alignment horizontal="center"/>
    </xf>
    <xf numFmtId="3" fontId="7" fillId="3" borderId="10" xfId="0" applyNumberFormat="1" applyFont="1" applyFill="1" applyBorder="1" applyAlignment="1">
      <alignment horizontal="center" vertical="center"/>
    </xf>
    <xf numFmtId="0" fontId="7" fillId="3" borderId="11"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8" xfId="0" applyFont="1" applyFill="1" applyBorder="1" applyAlignment="1">
      <alignment horizontal="center" vertical="center"/>
    </xf>
    <xf numFmtId="0" fontId="4" fillId="0" borderId="4" xfId="0" applyFont="1" applyBorder="1" applyAlignment="1">
      <alignment horizontal="center"/>
    </xf>
    <xf numFmtId="0" fontId="7" fillId="3" borderId="4" xfId="0" applyFont="1" applyFill="1" applyBorder="1" applyAlignment="1">
      <alignment horizontal="center" vertical="center" wrapText="1"/>
    </xf>
    <xf numFmtId="0" fontId="9" fillId="4" borderId="4" xfId="0" applyFont="1" applyFill="1" applyBorder="1" applyAlignment="1">
      <alignment horizontal="center" vertical="center"/>
    </xf>
    <xf numFmtId="0" fontId="9" fillId="4" borderId="4" xfId="0" applyFont="1" applyFill="1" applyBorder="1" applyAlignment="1">
      <alignment horizontal="center" vertical="center" wrapText="1"/>
    </xf>
    <xf numFmtId="0" fontId="6" fillId="0" borderId="4"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6" fillId="4" borderId="4" xfId="0" applyFont="1" applyFill="1" applyBorder="1" applyAlignment="1">
      <alignment horizontal="center" vertical="center" wrapText="1"/>
    </xf>
    <xf numFmtId="0" fontId="7" fillId="0" borderId="5" xfId="0" applyFont="1" applyBorder="1" applyAlignment="1">
      <alignment vertical="center" wrapText="1"/>
    </xf>
    <xf numFmtId="0" fontId="7" fillId="0" borderId="9" xfId="0" applyFont="1" applyBorder="1" applyAlignment="1">
      <alignment vertical="center" wrapText="1"/>
    </xf>
    <xf numFmtId="0" fontId="7" fillId="0" borderId="7" xfId="0" applyFont="1" applyBorder="1" applyAlignment="1">
      <alignment vertical="center" wrapText="1"/>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0" xfId="0" applyFont="1" applyBorder="1" applyAlignment="1">
      <alignment horizontal="center" vertical="center"/>
    </xf>
    <xf numFmtId="0" fontId="7" fillId="0" borderId="6" xfId="0" applyFont="1" applyBorder="1" applyAlignment="1">
      <alignment horizontal="center" vertical="center"/>
    </xf>
    <xf numFmtId="0" fontId="7" fillId="0" borderId="15" xfId="0" applyFont="1" applyBorder="1" applyAlignment="1">
      <alignment horizontal="center" vertical="center"/>
    </xf>
    <xf numFmtId="0" fontId="7" fillId="0" borderId="8" xfId="0" applyFont="1" applyBorder="1" applyAlignment="1">
      <alignment horizontal="center" vertical="center"/>
    </xf>
    <xf numFmtId="0" fontId="7" fillId="4" borderId="4" xfId="0" applyFont="1" applyFill="1" applyBorder="1" applyAlignment="1">
      <alignment horizontal="center" vertical="center"/>
    </xf>
    <xf numFmtId="0" fontId="7" fillId="3" borderId="4" xfId="0" applyFont="1" applyFill="1" applyBorder="1" applyAlignment="1">
      <alignment horizontal="center" vertical="center"/>
    </xf>
    <xf numFmtId="0" fontId="4" fillId="4" borderId="4" xfId="0" applyFont="1" applyFill="1" applyBorder="1" applyAlignment="1">
      <alignment horizontal="center" vertical="center"/>
    </xf>
    <xf numFmtId="9" fontId="7" fillId="4" borderId="4" xfId="0" applyNumberFormat="1" applyFont="1" applyFill="1" applyBorder="1" applyAlignment="1">
      <alignment horizontal="center" vertical="center"/>
    </xf>
    <xf numFmtId="0" fontId="55" fillId="3" borderId="2" xfId="0" applyFont="1" applyFill="1" applyBorder="1" applyAlignment="1">
      <alignment horizontal="center" vertical="center" wrapText="1"/>
    </xf>
    <xf numFmtId="0" fontId="55" fillId="3" borderId="3" xfId="0" applyFont="1" applyFill="1" applyBorder="1" applyAlignment="1">
      <alignment horizontal="center" vertical="center" wrapText="1"/>
    </xf>
    <xf numFmtId="0" fontId="55" fillId="3" borderId="4" xfId="0" applyFont="1" applyFill="1" applyBorder="1" applyAlignment="1">
      <alignment horizontal="center" vertical="center" wrapText="1"/>
    </xf>
    <xf numFmtId="0" fontId="7" fillId="3" borderId="10" xfId="0" applyFont="1" applyFill="1" applyBorder="1" applyAlignment="1">
      <alignment horizontal="center" vertical="center"/>
    </xf>
    <xf numFmtId="0" fontId="59" fillId="4" borderId="2" xfId="0" applyFont="1" applyFill="1" applyBorder="1" applyAlignment="1">
      <alignment horizontal="center" vertical="center" wrapText="1"/>
    </xf>
    <xf numFmtId="0" fontId="59" fillId="4" borderId="3" xfId="0" applyFont="1" applyFill="1" applyBorder="1" applyAlignment="1">
      <alignment horizontal="center" vertical="center" wrapText="1"/>
    </xf>
    <xf numFmtId="0" fontId="59" fillId="4" borderId="4" xfId="0" applyFont="1" applyFill="1" applyBorder="1" applyAlignment="1">
      <alignment horizontal="center" vertical="center" wrapText="1"/>
    </xf>
    <xf numFmtId="0" fontId="55" fillId="3" borderId="2" xfId="0" applyFont="1" applyFill="1" applyBorder="1" applyAlignment="1">
      <alignment horizontal="center" vertical="center"/>
    </xf>
    <xf numFmtId="0" fontId="55" fillId="3" borderId="3" xfId="0" applyFont="1" applyFill="1" applyBorder="1" applyAlignment="1">
      <alignment horizontal="center" vertical="center"/>
    </xf>
    <xf numFmtId="0" fontId="55" fillId="3" borderId="4" xfId="0" applyFont="1" applyFill="1" applyBorder="1" applyAlignment="1">
      <alignment horizontal="center" vertical="center"/>
    </xf>
    <xf numFmtId="0" fontId="2" fillId="0" borderId="0" xfId="0" applyFont="1" applyAlignment="1">
      <alignment horizont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3" borderId="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0" borderId="12" xfId="0" applyFont="1" applyBorder="1" applyAlignment="1">
      <alignment horizontal="left" vertical="center" wrapText="1"/>
    </xf>
    <xf numFmtId="0" fontId="6" fillId="0" borderId="13" xfId="0" applyFont="1" applyBorder="1" applyAlignment="1">
      <alignment horizontal="left" vertical="center" wrapText="1"/>
    </xf>
    <xf numFmtId="0" fontId="6" fillId="0" borderId="0" xfId="0" applyFont="1" applyBorder="1" applyAlignment="1">
      <alignment horizontal="left" vertical="center" wrapText="1"/>
    </xf>
    <xf numFmtId="0" fontId="6" fillId="0" borderId="6"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6" fillId="0" borderId="8" xfId="0" applyFont="1" applyBorder="1" applyAlignment="1">
      <alignment horizontal="left" vertical="center" wrapText="1"/>
    </xf>
    <xf numFmtId="0" fontId="5" fillId="4" borderId="2" xfId="0" applyFont="1" applyFill="1" applyBorder="1" applyAlignment="1">
      <alignment horizontal="left" vertical="center" wrapText="1"/>
    </xf>
    <xf numFmtId="0" fontId="5" fillId="4" borderId="3" xfId="0" applyFont="1" applyFill="1" applyBorder="1" applyAlignment="1">
      <alignment horizontal="left" vertical="center" wrapText="1"/>
    </xf>
    <xf numFmtId="0" fontId="5" fillId="4" borderId="4" xfId="0" applyFont="1" applyFill="1" applyBorder="1" applyAlignment="1">
      <alignment horizontal="left" vertical="center" wrapText="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6" fillId="4" borderId="2"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4" borderId="4" xfId="0" applyFont="1" applyFill="1" applyBorder="1" applyAlignment="1">
      <alignment horizontal="left" vertical="center" wrapText="1"/>
    </xf>
    <xf numFmtId="0" fontId="15" fillId="4" borderId="4"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71" fillId="3" borderId="2" xfId="0" applyFont="1" applyFill="1" applyBorder="1" applyAlignment="1">
      <alignment horizontal="center" vertical="center" wrapText="1"/>
    </xf>
    <xf numFmtId="0" fontId="71" fillId="3" borderId="3" xfId="0" applyFont="1" applyFill="1" applyBorder="1" applyAlignment="1">
      <alignment horizontal="center" vertical="center" wrapText="1"/>
    </xf>
    <xf numFmtId="0" fontId="71"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71" fillId="3" borderId="2" xfId="0" applyFont="1" applyFill="1" applyBorder="1" applyAlignment="1">
      <alignment horizontal="center" vertical="center"/>
    </xf>
    <xf numFmtId="0" fontId="71" fillId="3" borderId="3" xfId="0" applyFont="1" applyFill="1" applyBorder="1" applyAlignment="1">
      <alignment horizontal="center" vertical="center"/>
    </xf>
    <xf numFmtId="0" fontId="71" fillId="3" borderId="4" xfId="0" applyFont="1" applyFill="1" applyBorder="1" applyAlignment="1">
      <alignment horizontal="center" vertical="center"/>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81" fillId="3" borderId="2" xfId="0" applyFont="1" applyFill="1" applyBorder="1" applyAlignment="1">
      <alignment horizontal="center" vertical="center" wrapText="1"/>
    </xf>
    <xf numFmtId="0" fontId="81" fillId="3" borderId="3" xfId="0" applyFont="1" applyFill="1" applyBorder="1" applyAlignment="1">
      <alignment horizontal="center" vertical="center" wrapText="1"/>
    </xf>
    <xf numFmtId="0" fontId="81" fillId="3" borderId="4" xfId="0" applyFont="1" applyFill="1" applyBorder="1" applyAlignment="1">
      <alignment horizontal="center" vertical="center" wrapText="1"/>
    </xf>
    <xf numFmtId="0" fontId="81" fillId="3" borderId="1" xfId="0" applyFont="1" applyFill="1" applyBorder="1" applyAlignment="1">
      <alignment horizontal="center" vertical="center"/>
    </xf>
    <xf numFmtId="49" fontId="81" fillId="3" borderId="2" xfId="0" applyNumberFormat="1" applyFont="1" applyFill="1" applyBorder="1" applyAlignment="1">
      <alignment horizontal="center" vertical="center"/>
    </xf>
    <xf numFmtId="49" fontId="81" fillId="3" borderId="3" xfId="0" applyNumberFormat="1" applyFont="1" applyFill="1" applyBorder="1" applyAlignment="1">
      <alignment horizontal="center" vertical="center"/>
    </xf>
    <xf numFmtId="49" fontId="81" fillId="3" borderId="4" xfId="0" applyNumberFormat="1" applyFont="1" applyFill="1" applyBorder="1" applyAlignment="1">
      <alignment horizontal="center" vertical="center"/>
    </xf>
    <xf numFmtId="0" fontId="80" fillId="3" borderId="2" xfId="0" applyFont="1" applyFill="1" applyBorder="1" applyAlignment="1">
      <alignment horizontal="center" vertical="center" wrapText="1"/>
    </xf>
    <xf numFmtId="0" fontId="80" fillId="3" borderId="3" xfId="0" applyFont="1" applyFill="1" applyBorder="1" applyAlignment="1">
      <alignment horizontal="center" vertical="center" wrapText="1"/>
    </xf>
    <xf numFmtId="0" fontId="80" fillId="3" borderId="4" xfId="0" applyFont="1" applyFill="1" applyBorder="1" applyAlignment="1">
      <alignment horizontal="center" vertical="center" wrapText="1"/>
    </xf>
    <xf numFmtId="0" fontId="71" fillId="4" borderId="2" xfId="0" applyFont="1" applyFill="1" applyBorder="1" applyAlignment="1">
      <alignment horizontal="center" vertical="center"/>
    </xf>
    <xf numFmtId="0" fontId="71" fillId="4" borderId="3" xfId="0" applyFont="1" applyFill="1" applyBorder="1" applyAlignment="1">
      <alignment horizontal="center" vertical="center"/>
    </xf>
    <xf numFmtId="0" fontId="71" fillId="4" borderId="4" xfId="0" applyFont="1" applyFill="1" applyBorder="1" applyAlignment="1">
      <alignment horizontal="center" vertical="center"/>
    </xf>
    <xf numFmtId="0" fontId="7" fillId="3" borderId="10"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9" fontId="9" fillId="4" borderId="3" xfId="0" applyNumberFormat="1" applyFont="1" applyFill="1" applyBorder="1" applyAlignment="1">
      <alignment horizontal="center" vertical="center"/>
    </xf>
    <xf numFmtId="9" fontId="9" fillId="4" borderId="4" xfId="0" applyNumberFormat="1" applyFont="1" applyFill="1" applyBorder="1" applyAlignment="1">
      <alignment horizontal="center" vertical="center"/>
    </xf>
    <xf numFmtId="0" fontId="75" fillId="3" borderId="10" xfId="0" applyFont="1" applyFill="1" applyBorder="1" applyAlignment="1">
      <alignment horizontal="center" vertical="center" wrapText="1"/>
    </xf>
    <xf numFmtId="9" fontId="71" fillId="3" borderId="2" xfId="0" applyNumberFormat="1" applyFont="1" applyFill="1" applyBorder="1" applyAlignment="1">
      <alignment horizontal="center" vertical="center"/>
    </xf>
    <xf numFmtId="9" fontId="71" fillId="3" borderId="3" xfId="0" applyNumberFormat="1" applyFont="1" applyFill="1" applyBorder="1" applyAlignment="1">
      <alignment horizontal="center" vertical="center"/>
    </xf>
    <xf numFmtId="9" fontId="71" fillId="3" borderId="4" xfId="0" applyNumberFormat="1" applyFont="1" applyFill="1" applyBorder="1" applyAlignment="1">
      <alignment horizontal="center" vertical="center"/>
    </xf>
    <xf numFmtId="9" fontId="71" fillId="4" borderId="3" xfId="0" applyNumberFormat="1" applyFont="1" applyFill="1" applyBorder="1" applyAlignment="1">
      <alignment horizontal="center" vertical="center"/>
    </xf>
    <xf numFmtId="9" fontId="71" fillId="4" borderId="4" xfId="0" applyNumberFormat="1" applyFont="1" applyFill="1" applyBorder="1" applyAlignment="1">
      <alignment horizontal="center" vertical="center"/>
    </xf>
    <xf numFmtId="9" fontId="9" fillId="3" borderId="3" xfId="0" applyNumberFormat="1" applyFont="1" applyFill="1" applyBorder="1" applyAlignment="1">
      <alignment horizontal="center" vertical="center"/>
    </xf>
    <xf numFmtId="9" fontId="9" fillId="3" borderId="4" xfId="0" applyNumberFormat="1" applyFont="1" applyFill="1" applyBorder="1" applyAlignment="1">
      <alignment horizontal="center" vertical="center"/>
    </xf>
    <xf numFmtId="9" fontId="71" fillId="4" borderId="2" xfId="0" applyNumberFormat="1" applyFont="1" applyFill="1" applyBorder="1" applyAlignment="1">
      <alignment horizontal="center" vertical="center"/>
    </xf>
    <xf numFmtId="0" fontId="31" fillId="3" borderId="5" xfId="0" applyFont="1" applyFill="1" applyBorder="1" applyAlignment="1">
      <alignment vertical="center" wrapText="1"/>
    </xf>
    <xf numFmtId="0" fontId="31" fillId="3" borderId="9" xfId="0" applyFont="1" applyFill="1" applyBorder="1" applyAlignment="1">
      <alignment vertical="center" wrapText="1"/>
    </xf>
    <xf numFmtId="0" fontId="31" fillId="3" borderId="7" xfId="0" applyFont="1" applyFill="1" applyBorder="1" applyAlignment="1">
      <alignment vertical="center" wrapText="1"/>
    </xf>
    <xf numFmtId="0" fontId="26" fillId="4" borderId="2" xfId="0" applyFont="1" applyFill="1" applyBorder="1" applyAlignment="1">
      <alignment horizontal="center" vertical="center" wrapText="1"/>
    </xf>
    <xf numFmtId="0" fontId="26" fillId="4" borderId="3" xfId="0" applyFont="1" applyFill="1" applyBorder="1" applyAlignment="1">
      <alignment horizontal="center" vertical="center" wrapText="1"/>
    </xf>
    <xf numFmtId="0" fontId="26" fillId="4" borderId="4" xfId="0" applyFont="1" applyFill="1" applyBorder="1" applyAlignment="1">
      <alignment horizontal="center" vertical="center" wrapText="1"/>
    </xf>
    <xf numFmtId="0" fontId="24" fillId="0" borderId="2"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4" xfId="0" applyFont="1" applyFill="1" applyBorder="1" applyAlignment="1">
      <alignment horizontal="center" vertical="center"/>
    </xf>
    <xf numFmtId="0" fontId="26" fillId="3" borderId="2"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2"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31" fillId="3" borderId="5" xfId="0" applyFont="1" applyFill="1" applyBorder="1" applyAlignment="1">
      <alignment horizontal="center" vertical="center" wrapText="1"/>
    </xf>
    <xf numFmtId="0" fontId="31" fillId="3" borderId="7" xfId="0" applyFont="1" applyFill="1" applyBorder="1" applyAlignment="1">
      <alignment horizontal="center" vertical="center" wrapText="1"/>
    </xf>
    <xf numFmtId="0" fontId="24" fillId="4" borderId="2" xfId="0" applyFont="1" applyFill="1" applyBorder="1" applyAlignment="1">
      <alignment horizontal="center" vertical="center" wrapText="1"/>
    </xf>
    <xf numFmtId="0" fontId="24" fillId="4" borderId="3" xfId="0" applyFont="1" applyFill="1" applyBorder="1" applyAlignment="1">
      <alignment horizontal="center" vertical="center" wrapText="1"/>
    </xf>
    <xf numFmtId="0" fontId="24" fillId="4" borderId="4" xfId="0" applyFont="1" applyFill="1" applyBorder="1" applyAlignment="1">
      <alignment horizontal="center" vertical="center" wrapText="1"/>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49" fontId="26" fillId="3" borderId="2" xfId="0" applyNumberFormat="1" applyFont="1" applyFill="1" applyBorder="1" applyAlignment="1">
      <alignment horizontal="center" vertical="center"/>
    </xf>
    <xf numFmtId="49" fontId="26" fillId="3" borderId="3" xfId="0" applyNumberFormat="1" applyFont="1" applyFill="1" applyBorder="1" applyAlignment="1">
      <alignment horizontal="center" vertical="center"/>
    </xf>
    <xf numFmtId="0" fontId="26" fillId="3" borderId="10" xfId="0" applyFont="1" applyFill="1" applyBorder="1" applyAlignment="1">
      <alignment horizontal="center" vertical="center" wrapText="1"/>
    </xf>
    <xf numFmtId="0" fontId="24" fillId="4" borderId="93" xfId="0" applyFont="1" applyFill="1" applyBorder="1" applyAlignment="1">
      <alignment horizontal="center" vertical="center" wrapText="1"/>
    </xf>
    <xf numFmtId="0" fontId="24" fillId="4" borderId="92" xfId="0" applyFont="1" applyFill="1" applyBorder="1" applyAlignment="1">
      <alignment horizontal="center" vertical="center" wrapText="1"/>
    </xf>
    <xf numFmtId="0" fontId="31" fillId="3" borderId="89" xfId="0" applyFont="1" applyFill="1" applyBorder="1" applyAlignment="1">
      <alignment horizontal="center" vertical="center" wrapText="1"/>
    </xf>
    <xf numFmtId="0" fontId="31" fillId="3" borderId="91" xfId="0" applyFont="1" applyFill="1" applyBorder="1" applyAlignment="1">
      <alignment horizontal="center" vertical="center" wrapText="1"/>
    </xf>
    <xf numFmtId="0" fontId="5" fillId="3" borderId="89" xfId="0" applyFont="1" applyFill="1" applyBorder="1" applyAlignment="1">
      <alignment horizontal="center" vertical="center" wrapText="1"/>
    </xf>
    <xf numFmtId="0" fontId="5" fillId="3" borderId="91" xfId="0" applyFont="1" applyFill="1" applyBorder="1" applyAlignment="1">
      <alignment horizontal="center" vertical="center" wrapText="1"/>
    </xf>
    <xf numFmtId="0" fontId="31" fillId="3" borderId="89" xfId="0" applyFont="1" applyFill="1" applyBorder="1" applyAlignment="1">
      <alignment vertical="center" wrapText="1"/>
    </xf>
    <xf numFmtId="0" fontId="31" fillId="3" borderId="87" xfId="0" applyFont="1" applyFill="1" applyBorder="1" applyAlignment="1">
      <alignment vertical="center" wrapText="1"/>
    </xf>
    <xf numFmtId="0" fontId="31" fillId="3" borderId="85" xfId="0" applyFont="1" applyFill="1" applyBorder="1" applyAlignment="1">
      <alignment vertical="center" wrapText="1"/>
    </xf>
    <xf numFmtId="0" fontId="7" fillId="3" borderId="88" xfId="0" applyFont="1" applyFill="1" applyBorder="1" applyAlignment="1">
      <alignment horizontal="center" vertical="center"/>
    </xf>
    <xf numFmtId="0" fontId="7" fillId="3" borderId="86" xfId="0" applyFont="1" applyFill="1" applyBorder="1" applyAlignment="1">
      <alignment horizontal="center" vertical="center"/>
    </xf>
    <xf numFmtId="0" fontId="7" fillId="3" borderId="84" xfId="0" applyFont="1" applyFill="1" applyBorder="1" applyAlignment="1">
      <alignment horizontal="center" vertical="center"/>
    </xf>
    <xf numFmtId="0" fontId="7" fillId="3" borderId="83" xfId="0" applyFont="1" applyFill="1" applyBorder="1" applyAlignment="1">
      <alignment horizontal="center" vertical="center"/>
    </xf>
    <xf numFmtId="0" fontId="7" fillId="3" borderId="82" xfId="0" applyFont="1" applyFill="1" applyBorder="1" applyAlignment="1">
      <alignment horizontal="center" vertical="center"/>
    </xf>
    <xf numFmtId="9" fontId="7" fillId="4" borderId="92" xfId="0" applyNumberFormat="1" applyFont="1" applyFill="1" applyBorder="1" applyAlignment="1">
      <alignment horizontal="center" vertical="center"/>
    </xf>
    <xf numFmtId="0" fontId="26" fillId="4" borderId="92" xfId="0" applyFont="1" applyFill="1" applyBorder="1" applyAlignment="1">
      <alignment horizontal="center" vertical="center" wrapText="1"/>
    </xf>
    <xf numFmtId="0" fontId="26" fillId="3" borderId="92" xfId="0" applyFont="1" applyFill="1" applyBorder="1" applyAlignment="1">
      <alignment horizontal="center" vertical="center"/>
    </xf>
    <xf numFmtId="0" fontId="26" fillId="4" borderId="98" xfId="0" applyFont="1" applyFill="1" applyBorder="1" applyAlignment="1">
      <alignment horizontal="center" vertical="center" wrapText="1"/>
    </xf>
    <xf numFmtId="0" fontId="26" fillId="4" borderId="97" xfId="0" applyFont="1" applyFill="1" applyBorder="1" applyAlignment="1">
      <alignment horizontal="center" vertical="center" wrapText="1"/>
    </xf>
    <xf numFmtId="0" fontId="26" fillId="4" borderId="96" xfId="0" applyFont="1" applyFill="1" applyBorder="1" applyAlignment="1">
      <alignment horizontal="center" vertical="center" wrapText="1"/>
    </xf>
    <xf numFmtId="0" fontId="26" fillId="0" borderId="2" xfId="0" applyFont="1" applyFill="1" applyBorder="1" applyAlignment="1">
      <alignment horizontal="center" vertical="center" wrapText="1"/>
    </xf>
    <xf numFmtId="0" fontId="26" fillId="0" borderId="3" xfId="0" applyFont="1" applyFill="1" applyBorder="1" applyAlignment="1">
      <alignment horizontal="center" vertical="center" wrapText="1"/>
    </xf>
    <xf numFmtId="0" fontId="26" fillId="0" borderId="92" xfId="0" applyFont="1" applyFill="1" applyBorder="1" applyAlignment="1">
      <alignment horizontal="center" vertical="center" wrapText="1"/>
    </xf>
    <xf numFmtId="9" fontId="7" fillId="4" borderId="98" xfId="0" applyNumberFormat="1" applyFont="1" applyFill="1" applyBorder="1" applyAlignment="1">
      <alignment horizontal="center" vertical="center"/>
    </xf>
    <xf numFmtId="9" fontId="7" fillId="4" borderId="97" xfId="0" applyNumberFormat="1" applyFont="1" applyFill="1" applyBorder="1" applyAlignment="1">
      <alignment horizontal="center" vertical="center"/>
    </xf>
    <xf numFmtId="9" fontId="7" fillId="4" borderId="96" xfId="0" applyNumberFormat="1" applyFont="1" applyFill="1" applyBorder="1" applyAlignment="1">
      <alignment horizontal="center" vertical="center"/>
    </xf>
    <xf numFmtId="0" fontId="26" fillId="4" borderId="103" xfId="0" applyFont="1" applyFill="1" applyBorder="1" applyAlignment="1">
      <alignment horizontal="center" vertical="center" wrapText="1"/>
    </xf>
    <xf numFmtId="0" fontId="26" fillId="4" borderId="102" xfId="0" applyFont="1" applyFill="1" applyBorder="1" applyAlignment="1">
      <alignment horizontal="center" vertical="center" wrapText="1"/>
    </xf>
    <xf numFmtId="0" fontId="26" fillId="4" borderId="101" xfId="0" applyFont="1" applyFill="1" applyBorder="1" applyAlignment="1">
      <alignment horizontal="center" vertical="center" wrapText="1"/>
    </xf>
    <xf numFmtId="0" fontId="26" fillId="4" borderId="14" xfId="0" applyFont="1" applyFill="1" applyBorder="1" applyAlignment="1">
      <alignment horizontal="center" vertical="center" wrapText="1"/>
    </xf>
    <xf numFmtId="0" fontId="26" fillId="4" borderId="15" xfId="0" applyFont="1" applyFill="1" applyBorder="1" applyAlignment="1">
      <alignment horizontal="center" vertical="center" wrapText="1"/>
    </xf>
    <xf numFmtId="0" fontId="26" fillId="4" borderId="90" xfId="0" applyFont="1" applyFill="1" applyBorder="1" applyAlignment="1">
      <alignment horizontal="center" vertical="center" wrapText="1"/>
    </xf>
    <xf numFmtId="0" fontId="26" fillId="3" borderId="92" xfId="0" applyFont="1" applyFill="1" applyBorder="1" applyAlignment="1">
      <alignment horizontal="center" vertical="center" wrapText="1"/>
    </xf>
    <xf numFmtId="0" fontId="26" fillId="3" borderId="89" xfId="0" applyFont="1" applyFill="1" applyBorder="1" applyAlignment="1">
      <alignment horizontal="center" vertical="center" wrapText="1"/>
    </xf>
    <xf numFmtId="0" fontId="26" fillId="3" borderId="91" xfId="0" applyFont="1" applyFill="1" applyBorder="1" applyAlignment="1">
      <alignment horizontal="center" vertical="center" wrapText="1"/>
    </xf>
    <xf numFmtId="0" fontId="24" fillId="4" borderId="93" xfId="0" applyFont="1" applyFill="1" applyBorder="1" applyAlignment="1">
      <alignment horizontal="center" vertical="center"/>
    </xf>
    <xf numFmtId="0" fontId="24" fillId="4" borderId="3" xfId="0" applyFont="1" applyFill="1" applyBorder="1" applyAlignment="1">
      <alignment horizontal="center" vertical="center"/>
    </xf>
    <xf numFmtId="0" fontId="24" fillId="4" borderId="92" xfId="0" applyFont="1" applyFill="1" applyBorder="1" applyAlignment="1">
      <alignment horizontal="center" vertical="center"/>
    </xf>
    <xf numFmtId="0" fontId="26" fillId="4" borderId="2" xfId="0" applyFont="1" applyFill="1" applyBorder="1" applyAlignment="1">
      <alignment horizontal="center" vertical="center"/>
    </xf>
    <xf numFmtId="0" fontId="26" fillId="4" borderId="3" xfId="0" applyFont="1" applyFill="1" applyBorder="1" applyAlignment="1">
      <alignment horizontal="center" vertical="center"/>
    </xf>
    <xf numFmtId="0" fontId="26" fillId="4" borderId="92" xfId="0" applyFont="1" applyFill="1" applyBorder="1" applyAlignment="1">
      <alignment horizontal="center" vertical="center"/>
    </xf>
    <xf numFmtId="0" fontId="26" fillId="3" borderId="93" xfId="0" applyFont="1" applyFill="1" applyBorder="1" applyAlignment="1">
      <alignment horizontal="center" vertical="center" wrapText="1"/>
    </xf>
    <xf numFmtId="0" fontId="31" fillId="3" borderId="91" xfId="0" applyFont="1" applyFill="1" applyBorder="1" applyAlignment="1">
      <alignment vertical="center" wrapText="1"/>
    </xf>
    <xf numFmtId="0" fontId="7" fillId="3" borderId="90" xfId="0" applyFont="1" applyFill="1" applyBorder="1" applyAlignment="1">
      <alignment horizontal="center" vertical="center"/>
    </xf>
    <xf numFmtId="0" fontId="24" fillId="4" borderId="93" xfId="0" applyFont="1" applyFill="1" applyBorder="1" applyAlignment="1">
      <alignment horizontal="left" vertical="center" wrapText="1"/>
    </xf>
    <xf numFmtId="0" fontId="24" fillId="4" borderId="92" xfId="0" applyFont="1" applyFill="1" applyBorder="1" applyAlignment="1">
      <alignment horizontal="left" vertical="center" wrapText="1"/>
    </xf>
    <xf numFmtId="0" fontId="26" fillId="3" borderId="5" xfId="0" applyFont="1" applyFill="1" applyBorder="1" applyAlignment="1">
      <alignment horizontal="center" vertical="center" wrapText="1"/>
    </xf>
    <xf numFmtId="0" fontId="26" fillId="3" borderId="7" xfId="0" applyFont="1" applyFill="1" applyBorder="1" applyAlignment="1">
      <alignment horizontal="center" vertical="center" wrapText="1"/>
    </xf>
    <xf numFmtId="0" fontId="26" fillId="3" borderId="111" xfId="0" applyFont="1" applyFill="1" applyBorder="1" applyAlignment="1">
      <alignment horizontal="center" vertical="center"/>
    </xf>
    <xf numFmtId="0" fontId="26" fillId="3" borderId="110" xfId="0" applyFont="1" applyFill="1" applyBorder="1" applyAlignment="1">
      <alignment horizontal="center" vertical="center"/>
    </xf>
    <xf numFmtId="49" fontId="26" fillId="3" borderId="92" xfId="0" applyNumberFormat="1" applyFont="1" applyFill="1" applyBorder="1" applyAlignment="1">
      <alignment horizontal="center" vertical="center"/>
    </xf>
    <xf numFmtId="0" fontId="24" fillId="0" borderId="93" xfId="0" applyFont="1" applyBorder="1" applyAlignment="1">
      <alignment horizontal="center"/>
    </xf>
    <xf numFmtId="0" fontId="24" fillId="0" borderId="3" xfId="0" applyFont="1" applyBorder="1" applyAlignment="1">
      <alignment horizontal="center"/>
    </xf>
    <xf numFmtId="0" fontId="24" fillId="0" borderId="92" xfId="0" applyFont="1" applyBorder="1" applyAlignment="1">
      <alignment horizontal="center"/>
    </xf>
    <xf numFmtId="0" fontId="27" fillId="4" borderId="98" xfId="0" applyFont="1" applyFill="1" applyBorder="1" applyAlignment="1">
      <alignment horizontal="center" vertical="center"/>
    </xf>
    <xf numFmtId="0" fontId="27" fillId="4" borderId="97" xfId="0" applyFont="1" applyFill="1" applyBorder="1" applyAlignment="1">
      <alignment horizontal="center" vertical="center"/>
    </xf>
    <xf numFmtId="0" fontId="27" fillId="4" borderId="96" xfId="0" applyFont="1" applyFill="1" applyBorder="1" applyAlignment="1">
      <alignment horizontal="center" vertical="center"/>
    </xf>
    <xf numFmtId="0" fontId="34" fillId="0" borderId="0" xfId="0" applyFont="1" applyAlignment="1">
      <alignment horizontal="center"/>
    </xf>
    <xf numFmtId="0" fontId="82" fillId="2" borderId="0" xfId="0" applyFont="1" applyFill="1" applyAlignment="1">
      <alignment horizontal="center"/>
    </xf>
    <xf numFmtId="0" fontId="24" fillId="4" borderId="2" xfId="0" applyFont="1" applyFill="1" applyBorder="1" applyAlignment="1">
      <alignment horizontal="center" vertical="center"/>
    </xf>
    <xf numFmtId="0" fontId="26" fillId="0" borderId="109"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88" xfId="0" applyFont="1" applyBorder="1" applyAlignment="1">
      <alignment horizontal="center" vertical="center" wrapText="1"/>
    </xf>
    <xf numFmtId="0" fontId="26" fillId="0" borderId="108"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86" xfId="0" applyFont="1" applyBorder="1" applyAlignment="1">
      <alignment horizontal="center" vertical="center" wrapText="1"/>
    </xf>
    <xf numFmtId="0" fontId="26" fillId="0" borderId="104"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90" xfId="0" applyFont="1" applyBorder="1" applyAlignment="1">
      <alignment horizontal="center" vertical="center" wrapText="1"/>
    </xf>
    <xf numFmtId="0" fontId="24" fillId="4" borderId="104" xfId="0" applyFont="1" applyFill="1" applyBorder="1" applyAlignment="1">
      <alignment horizontal="center" vertical="center"/>
    </xf>
    <xf numFmtId="0" fontId="24" fillId="4" borderId="15" xfId="0" applyFont="1" applyFill="1" applyBorder="1" applyAlignment="1">
      <alignment horizontal="center" vertical="center"/>
    </xf>
    <xf numFmtId="0" fontId="24" fillId="4" borderId="90" xfId="0" applyFont="1" applyFill="1" applyBorder="1" applyAlignment="1">
      <alignment horizontal="center" vertical="center"/>
    </xf>
    <xf numFmtId="0" fontId="26" fillId="2" borderId="32" xfId="0" applyFont="1" applyFill="1" applyBorder="1" applyAlignment="1">
      <alignment horizontal="center" vertical="center"/>
    </xf>
    <xf numFmtId="49" fontId="26" fillId="3" borderId="32" xfId="0" applyNumberFormat="1" applyFont="1" applyFill="1" applyBorder="1" applyAlignment="1">
      <alignment horizontal="center" vertical="center"/>
    </xf>
    <xf numFmtId="0" fontId="5" fillId="3" borderId="2" xfId="0" applyFont="1" applyFill="1" applyBorder="1" applyAlignment="1">
      <alignment vertical="top" wrapText="1"/>
    </xf>
    <xf numFmtId="0" fontId="5" fillId="3" borderId="3" xfId="0" applyFont="1" applyFill="1" applyBorder="1" applyAlignment="1">
      <alignment vertical="top" wrapText="1"/>
    </xf>
    <xf numFmtId="0" fontId="5" fillId="3" borderId="32" xfId="0" applyFont="1" applyFill="1" applyBorder="1" applyAlignment="1">
      <alignment vertical="top" wrapText="1"/>
    </xf>
    <xf numFmtId="0" fontId="24" fillId="2" borderId="2" xfId="0" applyFont="1" applyFill="1" applyBorder="1" applyAlignment="1">
      <alignment horizontal="center" vertical="center" wrapText="1"/>
    </xf>
    <xf numFmtId="0" fontId="5" fillId="3" borderId="2" xfId="0" applyFont="1" applyFill="1" applyBorder="1" applyAlignment="1">
      <alignment horizontal="left" vertical="top" wrapText="1"/>
    </xf>
    <xf numFmtId="0" fontId="5" fillId="3" borderId="4" xfId="0" applyFont="1" applyFill="1" applyBorder="1" applyAlignment="1">
      <alignment horizontal="left" vertical="top" wrapText="1"/>
    </xf>
    <xf numFmtId="0" fontId="7" fillId="4" borderId="2" xfId="0" applyFont="1" applyFill="1" applyBorder="1" applyAlignment="1">
      <alignment horizontal="left" vertical="top" wrapText="1"/>
    </xf>
    <xf numFmtId="0" fontId="7" fillId="4" borderId="3" xfId="0" applyFont="1" applyFill="1" applyBorder="1" applyAlignment="1">
      <alignment horizontal="left" vertical="top"/>
    </xf>
    <xf numFmtId="0" fontId="7" fillId="4" borderId="4" xfId="0" applyFont="1" applyFill="1" applyBorder="1" applyAlignment="1">
      <alignment horizontal="left" vertical="top"/>
    </xf>
    <xf numFmtId="0" fontId="58" fillId="3" borderId="2" xfId="0" applyFont="1" applyFill="1" applyBorder="1" applyAlignment="1">
      <alignment horizontal="left" vertical="top" wrapText="1"/>
    </xf>
    <xf numFmtId="0" fontId="7" fillId="3" borderId="3" xfId="0" applyFont="1" applyFill="1" applyBorder="1" applyAlignment="1">
      <alignment horizontal="left" vertical="top" wrapText="1"/>
    </xf>
    <xf numFmtId="0" fontId="7" fillId="3" borderId="4" xfId="0" applyFont="1" applyFill="1" applyBorder="1" applyAlignment="1">
      <alignment horizontal="left" vertical="top" wrapText="1"/>
    </xf>
    <xf numFmtId="0" fontId="58" fillId="4" borderId="2" xfId="0" applyFont="1" applyFill="1" applyBorder="1" applyAlignment="1">
      <alignment horizontal="left" vertical="top"/>
    </xf>
    <xf numFmtId="0" fontId="58" fillId="4" borderId="3" xfId="0" applyFont="1" applyFill="1" applyBorder="1" applyAlignment="1">
      <alignment horizontal="left" vertical="top"/>
    </xf>
    <xf numFmtId="0" fontId="58" fillId="4" borderId="4" xfId="0" applyFont="1" applyFill="1" applyBorder="1" applyAlignment="1">
      <alignment horizontal="left" vertical="top"/>
    </xf>
    <xf numFmtId="0" fontId="60" fillId="4" borderId="2" xfId="0" applyFont="1" applyFill="1" applyBorder="1" applyAlignment="1">
      <alignment horizontal="center" vertical="center" wrapText="1"/>
    </xf>
    <xf numFmtId="0" fontId="60" fillId="4" borderId="3" xfId="0" applyFont="1" applyFill="1" applyBorder="1" applyAlignment="1">
      <alignment horizontal="center" vertical="center" wrapText="1"/>
    </xf>
    <xf numFmtId="0" fontId="60" fillId="4" borderId="4" xfId="0" applyFont="1" applyFill="1" applyBorder="1" applyAlignment="1">
      <alignment horizontal="center" vertical="center" wrapText="1"/>
    </xf>
    <xf numFmtId="0" fontId="58" fillId="3" borderId="3" xfId="0" applyFont="1" applyFill="1" applyBorder="1" applyAlignment="1">
      <alignment horizontal="left" vertical="top" wrapText="1"/>
    </xf>
    <xf numFmtId="0" fontId="58" fillId="3" borderId="4" xfId="0" applyFont="1" applyFill="1" applyBorder="1" applyAlignment="1">
      <alignment horizontal="left" vertical="top" wrapText="1"/>
    </xf>
    <xf numFmtId="0" fontId="58" fillId="4" borderId="2" xfId="0" applyFont="1" applyFill="1" applyBorder="1" applyAlignment="1">
      <alignment horizontal="center" vertical="center"/>
    </xf>
    <xf numFmtId="0" fontId="58" fillId="4" borderId="3" xfId="0" applyFont="1" applyFill="1" applyBorder="1" applyAlignment="1">
      <alignment horizontal="center" vertical="center"/>
    </xf>
    <xf numFmtId="0" fontId="58" fillId="4" borderId="4" xfId="0" applyFont="1" applyFill="1" applyBorder="1" applyAlignment="1">
      <alignment horizontal="center" vertical="center"/>
    </xf>
    <xf numFmtId="0" fontId="58" fillId="3" borderId="2" xfId="0" applyFont="1" applyFill="1" applyBorder="1" applyAlignment="1">
      <alignment horizontal="left" vertical="center" wrapText="1"/>
    </xf>
    <xf numFmtId="0" fontId="58" fillId="3" borderId="3" xfId="0" applyFont="1" applyFill="1" applyBorder="1" applyAlignment="1">
      <alignment horizontal="left" vertical="center" wrapText="1"/>
    </xf>
    <xf numFmtId="0" fontId="58" fillId="3" borderId="4" xfId="0" applyFont="1" applyFill="1" applyBorder="1" applyAlignment="1">
      <alignment horizontal="left" vertical="center" wrapText="1"/>
    </xf>
    <xf numFmtId="0" fontId="56" fillId="4" borderId="2" xfId="0" applyFont="1" applyFill="1" applyBorder="1" applyAlignment="1">
      <alignment horizontal="center" vertical="center"/>
    </xf>
    <xf numFmtId="0" fontId="56" fillId="4" borderId="3" xfId="0" applyFont="1" applyFill="1" applyBorder="1" applyAlignment="1">
      <alignment horizontal="center" vertical="center"/>
    </xf>
    <xf numFmtId="0" fontId="56" fillId="4" borderId="4" xfId="0" applyFont="1" applyFill="1" applyBorder="1" applyAlignment="1">
      <alignment horizontal="center" vertical="center"/>
    </xf>
    <xf numFmtId="0" fontId="56" fillId="3" borderId="2" xfId="0" applyFont="1" applyFill="1" applyBorder="1" applyAlignment="1">
      <alignment horizontal="center" vertical="center"/>
    </xf>
    <xf numFmtId="0" fontId="56" fillId="3" borderId="3" xfId="0" applyFont="1" applyFill="1" applyBorder="1" applyAlignment="1">
      <alignment horizontal="center" vertical="center"/>
    </xf>
    <xf numFmtId="0" fontId="56" fillId="3" borderId="4" xfId="0" applyFont="1" applyFill="1" applyBorder="1" applyAlignment="1">
      <alignment horizontal="center" vertical="center"/>
    </xf>
    <xf numFmtId="0" fontId="57" fillId="3" borderId="2" xfId="0" applyFont="1" applyFill="1" applyBorder="1" applyAlignment="1">
      <alignment horizontal="left" vertical="center" wrapText="1"/>
    </xf>
    <xf numFmtId="0" fontId="57" fillId="3" borderId="3" xfId="0" applyFont="1" applyFill="1" applyBorder="1" applyAlignment="1">
      <alignment horizontal="left" vertical="center" wrapText="1"/>
    </xf>
    <xf numFmtId="0" fontId="57" fillId="3" borderId="4" xfId="0" applyFont="1" applyFill="1" applyBorder="1" applyAlignment="1">
      <alignment horizontal="left" vertical="center" wrapText="1"/>
    </xf>
    <xf numFmtId="0" fontId="57" fillId="3" borderId="2" xfId="0" applyFont="1" applyFill="1" applyBorder="1" applyAlignment="1">
      <alignment horizontal="center" vertical="center"/>
    </xf>
    <xf numFmtId="0" fontId="57" fillId="3" borderId="3" xfId="0" applyFont="1" applyFill="1" applyBorder="1" applyAlignment="1">
      <alignment horizontal="center" vertical="center"/>
    </xf>
    <xf numFmtId="0" fontId="57" fillId="3" borderId="4" xfId="0" applyFont="1" applyFill="1" applyBorder="1" applyAlignment="1">
      <alignment horizontal="center" vertical="center"/>
    </xf>
    <xf numFmtId="49" fontId="55" fillId="4" borderId="2" xfId="0" applyNumberFormat="1" applyFont="1" applyFill="1" applyBorder="1" applyAlignment="1">
      <alignment horizontal="center" vertical="center" wrapText="1"/>
    </xf>
    <xf numFmtId="49" fontId="55" fillId="4" borderId="3" xfId="0" applyNumberFormat="1" applyFont="1" applyFill="1" applyBorder="1" applyAlignment="1">
      <alignment horizontal="center" vertical="center" wrapText="1"/>
    </xf>
    <xf numFmtId="49" fontId="55" fillId="4" borderId="4" xfId="0" applyNumberFormat="1"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center" vertical="center" wrapText="1"/>
    </xf>
    <xf numFmtId="0" fontId="87" fillId="0" borderId="11" xfId="0" applyFont="1" applyBorder="1" applyAlignment="1">
      <alignment horizontal="center" wrapText="1"/>
    </xf>
    <xf numFmtId="0" fontId="3" fillId="2" borderId="0" xfId="0" applyFont="1" applyFill="1" applyAlignment="1">
      <alignment horizontal="center"/>
    </xf>
    <xf numFmtId="0" fontId="86" fillId="14" borderId="2" xfId="0" applyFont="1" applyFill="1" applyBorder="1" applyAlignment="1">
      <alignment horizontal="center" vertical="center"/>
    </xf>
    <xf numFmtId="0" fontId="86" fillId="14" borderId="3" xfId="0" applyFont="1" applyFill="1" applyBorder="1" applyAlignment="1">
      <alignment horizontal="center" vertical="center"/>
    </xf>
    <xf numFmtId="0" fontId="86" fillId="14" borderId="4" xfId="0" applyFont="1" applyFill="1" applyBorder="1" applyAlignment="1">
      <alignment horizontal="center" vertical="center"/>
    </xf>
    <xf numFmtId="0" fontId="4" fillId="14" borderId="2" xfId="0" applyFont="1" applyFill="1" applyBorder="1" applyAlignment="1">
      <alignment horizontal="center" vertical="center"/>
    </xf>
    <xf numFmtId="0" fontId="4" fillId="14" borderId="3" xfId="0" applyFont="1" applyFill="1" applyBorder="1" applyAlignment="1">
      <alignment horizontal="center" vertical="center"/>
    </xf>
    <xf numFmtId="0" fontId="4" fillId="14" borderId="4" xfId="0" applyFont="1" applyFill="1" applyBorder="1" applyAlignment="1">
      <alignment horizontal="center" vertical="center"/>
    </xf>
    <xf numFmtId="49" fontId="5" fillId="4" borderId="2" xfId="0" applyNumberFormat="1" applyFont="1" applyFill="1" applyBorder="1" applyAlignment="1">
      <alignment horizontal="center" vertical="center" wrapText="1"/>
    </xf>
    <xf numFmtId="49" fontId="5" fillId="4" borderId="3" xfId="0" applyNumberFormat="1" applyFont="1" applyFill="1" applyBorder="1" applyAlignment="1">
      <alignment horizontal="center" vertical="center" wrapText="1"/>
    </xf>
    <xf numFmtId="49" fontId="5" fillId="4" borderId="4" xfId="0" applyNumberFormat="1" applyFont="1" applyFill="1" applyBorder="1" applyAlignment="1">
      <alignment horizontal="center" vertical="center" wrapText="1"/>
    </xf>
    <xf numFmtId="0" fontId="84" fillId="3" borderId="5" xfId="0" applyFont="1" applyFill="1" applyBorder="1" applyAlignment="1">
      <alignment horizontal="center" vertical="center" wrapText="1"/>
    </xf>
    <xf numFmtId="0" fontId="84" fillId="3" borderId="7" xfId="0" applyFont="1" applyFill="1" applyBorder="1" applyAlignment="1">
      <alignment horizontal="center" vertical="center" wrapText="1"/>
    </xf>
    <xf numFmtId="49" fontId="54" fillId="4" borderId="2" xfId="0" applyNumberFormat="1" applyFont="1" applyFill="1" applyBorder="1" applyAlignment="1">
      <alignment horizontal="center" vertical="center" wrapText="1"/>
    </xf>
    <xf numFmtId="49" fontId="54" fillId="4" borderId="3" xfId="0" applyNumberFormat="1" applyFont="1" applyFill="1" applyBorder="1" applyAlignment="1">
      <alignment horizontal="center" vertical="center" wrapText="1"/>
    </xf>
    <xf numFmtId="49" fontId="54" fillId="4" borderId="4" xfId="0" applyNumberFormat="1" applyFont="1" applyFill="1" applyBorder="1" applyAlignment="1">
      <alignment horizontal="center" vertical="center" wrapText="1"/>
    </xf>
    <xf numFmtId="0" fontId="9" fillId="19" borderId="2" xfId="0" applyFont="1" applyFill="1" applyBorder="1" applyAlignment="1">
      <alignment horizontal="center" vertical="center"/>
    </xf>
    <xf numFmtId="0" fontId="9" fillId="19" borderId="3" xfId="0" applyFont="1" applyFill="1" applyBorder="1" applyAlignment="1">
      <alignment horizontal="center" vertical="center"/>
    </xf>
    <xf numFmtId="0" fontId="9" fillId="19" borderId="4" xfId="0" applyFont="1" applyFill="1" applyBorder="1" applyAlignment="1">
      <alignment horizontal="center" vertical="center"/>
    </xf>
    <xf numFmtId="49" fontId="7" fillId="3" borderId="10" xfId="0" applyNumberFormat="1" applyFont="1" applyFill="1" applyBorder="1" applyAlignment="1">
      <alignment horizontal="center" vertical="center" wrapText="1"/>
    </xf>
    <xf numFmtId="49" fontId="7" fillId="3" borderId="11" xfId="0" applyNumberFormat="1" applyFont="1" applyFill="1" applyBorder="1" applyAlignment="1">
      <alignment horizontal="center" vertical="center" wrapText="1"/>
    </xf>
    <xf numFmtId="49" fontId="7" fillId="3" borderId="12" xfId="0" applyNumberFormat="1" applyFont="1" applyFill="1" applyBorder="1" applyAlignment="1">
      <alignment horizontal="center" vertical="center" wrapText="1"/>
    </xf>
    <xf numFmtId="49" fontId="7" fillId="3" borderId="13" xfId="0" applyNumberFormat="1" applyFont="1" applyFill="1" applyBorder="1" applyAlignment="1">
      <alignment horizontal="center" vertical="center" wrapText="1"/>
    </xf>
    <xf numFmtId="49" fontId="7" fillId="3" borderId="0" xfId="0" applyNumberFormat="1" applyFont="1" applyFill="1" applyBorder="1" applyAlignment="1">
      <alignment horizontal="center" vertical="center" wrapText="1"/>
    </xf>
    <xf numFmtId="49" fontId="7" fillId="3" borderId="6" xfId="0" applyNumberFormat="1" applyFont="1" applyFill="1" applyBorder="1" applyAlignment="1">
      <alignment horizontal="center" vertical="center" wrapText="1"/>
    </xf>
    <xf numFmtId="49" fontId="7" fillId="3" borderId="14" xfId="0" applyNumberFormat="1" applyFont="1" applyFill="1" applyBorder="1" applyAlignment="1">
      <alignment horizontal="center" vertical="center" wrapText="1"/>
    </xf>
    <xf numFmtId="49" fontId="7" fillId="3" borderId="15" xfId="0" applyNumberFormat="1" applyFont="1" applyFill="1" applyBorder="1" applyAlignment="1">
      <alignment horizontal="center" vertical="center" wrapText="1"/>
    </xf>
    <xf numFmtId="49" fontId="7" fillId="3" borderId="8" xfId="0" applyNumberFormat="1"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49" fontId="7" fillId="4" borderId="3" xfId="0" applyNumberFormat="1" applyFont="1" applyFill="1" applyBorder="1" applyAlignment="1">
      <alignment horizontal="center" vertical="center" wrapText="1"/>
    </xf>
    <xf numFmtId="49" fontId="7" fillId="4" borderId="4" xfId="0" applyNumberFormat="1" applyFont="1" applyFill="1" applyBorder="1" applyAlignment="1">
      <alignment horizontal="center" vertical="center" wrapText="1"/>
    </xf>
    <xf numFmtId="49" fontId="9" fillId="16" borderId="2" xfId="0" applyNumberFormat="1" applyFont="1" applyFill="1" applyBorder="1" applyAlignment="1">
      <alignment horizontal="center" vertical="center" wrapText="1"/>
    </xf>
    <xf numFmtId="49" fontId="9" fillId="16" borderId="3" xfId="0" applyNumberFormat="1" applyFont="1" applyFill="1" applyBorder="1" applyAlignment="1">
      <alignment horizontal="center" vertical="center" wrapText="1"/>
    </xf>
    <xf numFmtId="49" fontId="9" fillId="16" borderId="4" xfId="0" applyNumberFormat="1" applyFont="1" applyFill="1" applyBorder="1" applyAlignment="1">
      <alignment horizontal="center" vertical="center" wrapText="1"/>
    </xf>
    <xf numFmtId="9" fontId="7" fillId="14" borderId="2" xfId="0" applyNumberFormat="1" applyFont="1" applyFill="1" applyBorder="1" applyAlignment="1">
      <alignment horizontal="center" vertical="center"/>
    </xf>
    <xf numFmtId="9" fontId="7" fillId="14" borderId="3" xfId="0" applyNumberFormat="1" applyFont="1" applyFill="1" applyBorder="1" applyAlignment="1">
      <alignment horizontal="center" vertical="center"/>
    </xf>
    <xf numFmtId="9" fontId="7" fillId="14" borderId="4" xfId="0" applyNumberFormat="1" applyFont="1" applyFill="1" applyBorder="1" applyAlignment="1">
      <alignment horizontal="center" vertical="center"/>
    </xf>
    <xf numFmtId="0" fontId="7" fillId="14" borderId="2" xfId="0" applyFont="1" applyFill="1" applyBorder="1" applyAlignment="1">
      <alignment horizontal="center" vertical="center"/>
    </xf>
    <xf numFmtId="0" fontId="7" fillId="14" borderId="3" xfId="0" applyFont="1" applyFill="1" applyBorder="1" applyAlignment="1">
      <alignment horizontal="center" vertical="center"/>
    </xf>
    <xf numFmtId="0" fontId="7" fillId="14" borderId="4" xfId="0" applyFont="1" applyFill="1" applyBorder="1" applyAlignment="1">
      <alignment horizontal="center" vertical="center"/>
    </xf>
    <xf numFmtId="0" fontId="7" fillId="14" borderId="5" xfId="0" applyFont="1" applyFill="1" applyBorder="1" applyAlignment="1">
      <alignment horizontal="center" vertical="center" wrapText="1"/>
    </xf>
    <xf numFmtId="0" fontId="7" fillId="14" borderId="7" xfId="0" applyFont="1" applyFill="1" applyBorder="1" applyAlignment="1">
      <alignment horizontal="center" vertical="center" wrapText="1"/>
    </xf>
    <xf numFmtId="0" fontId="9" fillId="14" borderId="2" xfId="0" applyFont="1" applyFill="1" applyBorder="1" applyAlignment="1">
      <alignment horizontal="center" vertical="center" wrapText="1"/>
    </xf>
    <xf numFmtId="0" fontId="9" fillId="14" borderId="3" xfId="0" applyFont="1" applyFill="1" applyBorder="1" applyAlignment="1">
      <alignment horizontal="center" vertical="center" wrapText="1"/>
    </xf>
    <xf numFmtId="0" fontId="9" fillId="14" borderId="4" xfId="0" applyFont="1" applyFill="1" applyBorder="1" applyAlignment="1">
      <alignment horizontal="center" vertical="center" wrapText="1"/>
    </xf>
    <xf numFmtId="0" fontId="7" fillId="14" borderId="5" xfId="0" applyFont="1" applyFill="1" applyBorder="1" applyAlignment="1">
      <alignment vertical="center" wrapText="1"/>
    </xf>
    <xf numFmtId="0" fontId="7" fillId="14" borderId="9" xfId="0" applyFont="1" applyFill="1" applyBorder="1" applyAlignment="1">
      <alignment vertical="center" wrapText="1"/>
    </xf>
    <xf numFmtId="0" fontId="7" fillId="14" borderId="10" xfId="0" applyFont="1" applyFill="1" applyBorder="1" applyAlignment="1">
      <alignment horizontal="center" vertical="center"/>
    </xf>
    <xf numFmtId="0" fontId="7" fillId="14" borderId="11" xfId="0" applyFont="1" applyFill="1" applyBorder="1" applyAlignment="1">
      <alignment horizontal="center" vertical="center"/>
    </xf>
    <xf numFmtId="0" fontId="7" fillId="14" borderId="12" xfId="0" applyFont="1" applyFill="1" applyBorder="1" applyAlignment="1">
      <alignment horizontal="center" vertical="center"/>
    </xf>
    <xf numFmtId="0" fontId="7" fillId="14" borderId="13" xfId="0" applyFont="1" applyFill="1" applyBorder="1" applyAlignment="1">
      <alignment horizontal="center" vertical="center"/>
    </xf>
    <xf numFmtId="0" fontId="7" fillId="14" borderId="0" xfId="0" applyFont="1" applyFill="1" applyBorder="1" applyAlignment="1">
      <alignment horizontal="center" vertical="center"/>
    </xf>
    <xf numFmtId="0" fontId="7" fillId="14" borderId="6" xfId="0" applyFont="1" applyFill="1" applyBorder="1" applyAlignment="1">
      <alignment horizontal="center" vertical="center"/>
    </xf>
    <xf numFmtId="49" fontId="85" fillId="4" borderId="2" xfId="0" applyNumberFormat="1" applyFont="1" applyFill="1" applyBorder="1" applyAlignment="1">
      <alignment horizontal="center" vertical="center" wrapText="1"/>
    </xf>
    <xf numFmtId="49" fontId="85" fillId="4" borderId="3" xfId="0" applyNumberFormat="1" applyFont="1" applyFill="1" applyBorder="1" applyAlignment="1">
      <alignment horizontal="center" vertical="center" wrapText="1"/>
    </xf>
    <xf numFmtId="49" fontId="85" fillId="4" borderId="4" xfId="0" applyNumberFormat="1" applyFont="1" applyFill="1" applyBorder="1" applyAlignment="1">
      <alignment horizontal="center" vertical="center" wrapText="1"/>
    </xf>
    <xf numFmtId="0" fontId="9" fillId="17" borderId="2" xfId="0" applyFont="1" applyFill="1" applyBorder="1" applyAlignment="1">
      <alignment horizontal="center" vertical="center"/>
    </xf>
    <xf numFmtId="0" fontId="9" fillId="17" borderId="3" xfId="0" applyFont="1" applyFill="1" applyBorder="1" applyAlignment="1">
      <alignment horizontal="center" vertical="center"/>
    </xf>
    <xf numFmtId="0" fontId="9" fillId="17" borderId="4" xfId="0" applyFont="1" applyFill="1" applyBorder="1" applyAlignment="1">
      <alignment horizontal="center" vertical="center"/>
    </xf>
    <xf numFmtId="49" fontId="14" fillId="4" borderId="2" xfId="0" applyNumberFormat="1" applyFont="1" applyFill="1" applyBorder="1" applyAlignment="1">
      <alignment horizontal="center" vertical="center" wrapText="1"/>
    </xf>
    <xf numFmtId="49" fontId="14" fillId="4" borderId="3"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0" fontId="7" fillId="14" borderId="2" xfId="0" applyFont="1" applyFill="1" applyBorder="1" applyAlignment="1">
      <alignment horizontal="center" vertical="center" wrapText="1"/>
    </xf>
    <xf numFmtId="0" fontId="7" fillId="14" borderId="3" xfId="0" applyFont="1" applyFill="1" applyBorder="1" applyAlignment="1">
      <alignment horizontal="center" vertical="center" wrapText="1"/>
    </xf>
    <xf numFmtId="0" fontId="7" fillId="14" borderId="4" xfId="0" applyFont="1" applyFill="1" applyBorder="1" applyAlignment="1">
      <alignment horizontal="center" vertical="center" wrapText="1"/>
    </xf>
    <xf numFmtId="0" fontId="7" fillId="14" borderId="7" xfId="0" applyFont="1" applyFill="1" applyBorder="1" applyAlignment="1">
      <alignment vertical="center" wrapText="1"/>
    </xf>
    <xf numFmtId="0" fontId="7" fillId="14" borderId="14" xfId="0" applyFont="1" applyFill="1" applyBorder="1" applyAlignment="1">
      <alignment horizontal="center" vertical="center"/>
    </xf>
    <xf numFmtId="0" fontId="7" fillId="14" borderId="15" xfId="0" applyFont="1" applyFill="1" applyBorder="1" applyAlignment="1">
      <alignment horizontal="center" vertical="center"/>
    </xf>
    <xf numFmtId="0" fontId="7" fillId="14" borderId="8" xfId="0" applyFont="1" applyFill="1" applyBorder="1" applyAlignment="1">
      <alignment horizontal="center" vertical="center"/>
    </xf>
    <xf numFmtId="0" fontId="9" fillId="15" borderId="2" xfId="0" applyFont="1" applyFill="1" applyBorder="1" applyAlignment="1">
      <alignment horizontal="center" vertical="center"/>
    </xf>
    <xf numFmtId="0" fontId="9" fillId="15" borderId="3" xfId="0" applyFont="1" applyFill="1" applyBorder="1" applyAlignment="1">
      <alignment horizontal="center" vertical="center"/>
    </xf>
    <xf numFmtId="0" fontId="9" fillId="15" borderId="4" xfId="0" applyFont="1" applyFill="1" applyBorder="1" applyAlignment="1">
      <alignment horizontal="center" vertical="center"/>
    </xf>
    <xf numFmtId="9" fontId="7" fillId="15" borderId="2" xfId="0" applyNumberFormat="1" applyFont="1" applyFill="1" applyBorder="1" applyAlignment="1">
      <alignment horizontal="center" vertical="center"/>
    </xf>
    <xf numFmtId="9" fontId="7" fillId="15" borderId="3" xfId="0" applyNumberFormat="1" applyFont="1" applyFill="1" applyBorder="1" applyAlignment="1">
      <alignment horizontal="center" vertical="center"/>
    </xf>
    <xf numFmtId="9" fontId="7" fillId="15" borderId="4" xfId="0" applyNumberFormat="1" applyFont="1" applyFill="1" applyBorder="1" applyAlignment="1">
      <alignment horizontal="center" vertical="center"/>
    </xf>
    <xf numFmtId="0" fontId="7" fillId="15" borderId="2" xfId="0" applyFont="1" applyFill="1" applyBorder="1" applyAlignment="1">
      <alignment horizontal="center" vertical="center" wrapText="1"/>
    </xf>
    <xf numFmtId="0" fontId="7" fillId="15" borderId="3" xfId="0" applyFont="1" applyFill="1" applyBorder="1" applyAlignment="1">
      <alignment horizontal="center" vertical="center" wrapText="1"/>
    </xf>
    <xf numFmtId="0" fontId="7" fillId="15" borderId="4" xfId="0" applyFont="1" applyFill="1" applyBorder="1" applyAlignment="1">
      <alignment horizontal="center" vertical="center" wrapText="1"/>
    </xf>
    <xf numFmtId="0" fontId="7" fillId="15" borderId="2" xfId="0" applyFont="1" applyFill="1" applyBorder="1" applyAlignment="1">
      <alignment horizontal="center" vertical="center"/>
    </xf>
    <xf numFmtId="0" fontId="7" fillId="15" borderId="3" xfId="0" applyFont="1" applyFill="1" applyBorder="1" applyAlignment="1">
      <alignment horizontal="center" vertical="center"/>
    </xf>
    <xf numFmtId="0" fontId="7" fillId="15" borderId="4" xfId="0" applyFont="1" applyFill="1" applyBorder="1" applyAlignment="1">
      <alignment horizontal="center" vertical="center"/>
    </xf>
    <xf numFmtId="0" fontId="7" fillId="15" borderId="5" xfId="0" applyFont="1" applyFill="1" applyBorder="1" applyAlignment="1">
      <alignment horizontal="center" vertical="center" wrapText="1"/>
    </xf>
    <xf numFmtId="0" fontId="7" fillId="15" borderId="7" xfId="0" applyFont="1" applyFill="1" applyBorder="1" applyAlignment="1">
      <alignment horizontal="center" vertical="center" wrapText="1"/>
    </xf>
    <xf numFmtId="0" fontId="9" fillId="15" borderId="2" xfId="0" applyFont="1" applyFill="1" applyBorder="1" applyAlignment="1">
      <alignment horizontal="center" vertical="center" wrapText="1"/>
    </xf>
    <xf numFmtId="0" fontId="9" fillId="15" borderId="3" xfId="0" applyFont="1" applyFill="1" applyBorder="1" applyAlignment="1">
      <alignment horizontal="center" vertical="center" wrapText="1"/>
    </xf>
    <xf numFmtId="0" fontId="9" fillId="15" borderId="4" xfId="0" applyFont="1" applyFill="1" applyBorder="1" applyAlignment="1">
      <alignment horizontal="center" vertical="center" wrapText="1"/>
    </xf>
    <xf numFmtId="0" fontId="7" fillId="15" borderId="5" xfId="0" applyFont="1" applyFill="1" applyBorder="1" applyAlignment="1">
      <alignment vertical="center" wrapText="1"/>
    </xf>
    <xf numFmtId="0" fontId="7" fillId="15" borderId="9" xfId="0" applyFont="1" applyFill="1" applyBorder="1" applyAlignment="1">
      <alignment vertical="center" wrapText="1"/>
    </xf>
    <xf numFmtId="0" fontId="7" fillId="15" borderId="7" xfId="0" applyFont="1" applyFill="1" applyBorder="1" applyAlignment="1">
      <alignment vertical="center" wrapText="1"/>
    </xf>
    <xf numFmtId="0" fontId="7" fillId="15" borderId="10" xfId="0" applyFont="1" applyFill="1" applyBorder="1" applyAlignment="1">
      <alignment horizontal="center" vertical="center"/>
    </xf>
    <xf numFmtId="0" fontId="7" fillId="15" borderId="11" xfId="0" applyFont="1" applyFill="1" applyBorder="1" applyAlignment="1">
      <alignment horizontal="center" vertical="center"/>
    </xf>
    <xf numFmtId="0" fontId="7" fillId="15" borderId="12" xfId="0" applyFont="1" applyFill="1" applyBorder="1" applyAlignment="1">
      <alignment horizontal="center" vertical="center"/>
    </xf>
    <xf numFmtId="0" fontId="7" fillId="15" borderId="13" xfId="0" applyFont="1" applyFill="1" applyBorder="1" applyAlignment="1">
      <alignment horizontal="center" vertical="center"/>
    </xf>
    <xf numFmtId="0" fontId="7" fillId="15" borderId="0" xfId="0" applyFont="1" applyFill="1" applyBorder="1" applyAlignment="1">
      <alignment horizontal="center" vertical="center"/>
    </xf>
    <xf numFmtId="0" fontId="7" fillId="15" borderId="6" xfId="0" applyFont="1" applyFill="1" applyBorder="1" applyAlignment="1">
      <alignment horizontal="center" vertical="center"/>
    </xf>
    <xf numFmtId="0" fontId="9" fillId="14" borderId="2" xfId="0" applyFont="1" applyFill="1" applyBorder="1" applyAlignment="1">
      <alignment horizontal="center" vertical="center"/>
    </xf>
    <xf numFmtId="0" fontId="9" fillId="14" borderId="3" xfId="0" applyFont="1" applyFill="1" applyBorder="1" applyAlignment="1">
      <alignment horizontal="center" vertical="center"/>
    </xf>
    <xf numFmtId="0" fontId="9" fillId="14" borderId="4" xfId="0" applyFont="1" applyFill="1" applyBorder="1" applyAlignment="1">
      <alignment horizontal="center" vertical="center"/>
    </xf>
    <xf numFmtId="49" fontId="7" fillId="14" borderId="2" xfId="0" applyNumberFormat="1" applyFont="1" applyFill="1" applyBorder="1" applyAlignment="1">
      <alignment horizontal="center" vertical="center" wrapText="1"/>
    </xf>
    <xf numFmtId="49" fontId="7" fillId="14" borderId="3" xfId="0" applyNumberFormat="1" applyFont="1" applyFill="1" applyBorder="1" applyAlignment="1">
      <alignment horizontal="center" vertical="center" wrapText="1"/>
    </xf>
    <xf numFmtId="49" fontId="7" fillId="14" borderId="4" xfId="0" applyNumberFormat="1" applyFont="1" applyFill="1" applyBorder="1" applyAlignment="1">
      <alignment horizontal="center" vertical="center" wrapText="1"/>
    </xf>
    <xf numFmtId="0" fontId="26" fillId="2" borderId="4" xfId="0" applyFont="1" applyFill="1" applyBorder="1" applyAlignment="1">
      <alignment horizontal="center" vertical="center"/>
    </xf>
    <xf numFmtId="49" fontId="26" fillId="3" borderId="4" xfId="0" applyNumberFormat="1" applyFont="1" applyFill="1" applyBorder="1" applyAlignment="1">
      <alignment horizontal="center" vertical="center"/>
    </xf>
    <xf numFmtId="9" fontId="7" fillId="3" borderId="2" xfId="0" applyNumberFormat="1" applyFont="1" applyFill="1" applyBorder="1" applyAlignment="1">
      <alignment horizontal="center" vertical="center"/>
    </xf>
    <xf numFmtId="9" fontId="7" fillId="3" borderId="3" xfId="0" applyNumberFormat="1" applyFont="1" applyFill="1" applyBorder="1" applyAlignment="1">
      <alignment horizontal="center" vertical="center"/>
    </xf>
    <xf numFmtId="9" fontId="7" fillId="3" borderId="4" xfId="0" applyNumberFormat="1" applyFont="1" applyFill="1" applyBorder="1" applyAlignment="1">
      <alignment horizontal="center" vertical="center"/>
    </xf>
    <xf numFmtId="0" fontId="7" fillId="14" borderId="2" xfId="0" applyFont="1" applyFill="1" applyBorder="1" applyAlignment="1">
      <alignment horizontal="left" vertical="center" wrapText="1"/>
    </xf>
    <xf numFmtId="0" fontId="7" fillId="14" borderId="3" xfId="0" applyFont="1" applyFill="1" applyBorder="1" applyAlignment="1">
      <alignment horizontal="left" vertical="center" wrapText="1"/>
    </xf>
    <xf numFmtId="0" fontId="7" fillId="14" borderId="4" xfId="0" applyFont="1" applyFill="1" applyBorder="1" applyAlignment="1">
      <alignment horizontal="left"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75" fillId="3" borderId="2" xfId="0" applyFont="1" applyFill="1" applyBorder="1" applyAlignment="1">
      <alignment horizontal="center" vertical="center"/>
    </xf>
    <xf numFmtId="0" fontId="75" fillId="3" borderId="3" xfId="0" applyFont="1" applyFill="1" applyBorder="1" applyAlignment="1">
      <alignment horizontal="center" vertical="center"/>
    </xf>
    <xf numFmtId="0" fontId="75" fillId="3" borderId="4" xfId="0" applyFont="1" applyFill="1" applyBorder="1" applyAlignment="1">
      <alignment horizontal="center" vertical="center"/>
    </xf>
    <xf numFmtId="9" fontId="75" fillId="4" borderId="2" xfId="0" applyNumberFormat="1" applyFont="1" applyFill="1" applyBorder="1" applyAlignment="1">
      <alignment horizontal="center" vertical="center"/>
    </xf>
    <xf numFmtId="9" fontId="75" fillId="4" borderId="3" xfId="0" applyNumberFormat="1" applyFont="1" applyFill="1" applyBorder="1" applyAlignment="1">
      <alignment horizontal="center" vertical="center"/>
    </xf>
    <xf numFmtId="9" fontId="75" fillId="4" borderId="4" xfId="0" applyNumberFormat="1" applyFont="1" applyFill="1" applyBorder="1" applyAlignment="1">
      <alignment horizontal="center" vertical="center"/>
    </xf>
    <xf numFmtId="0" fontId="63" fillId="2" borderId="112" xfId="0" applyFont="1" applyFill="1" applyBorder="1" applyAlignment="1">
      <alignment horizontal="center" vertical="center"/>
    </xf>
    <xf numFmtId="49" fontId="26" fillId="3" borderId="112" xfId="0" applyNumberFormat="1" applyFont="1" applyFill="1" applyBorder="1" applyAlignment="1">
      <alignment horizontal="center" vertical="center"/>
    </xf>
    <xf numFmtId="0" fontId="26" fillId="3" borderId="112" xfId="0" applyFont="1" applyFill="1" applyBorder="1" applyAlignment="1">
      <alignment horizontal="center" vertical="center" wrapText="1"/>
    </xf>
    <xf numFmtId="0" fontId="24" fillId="2" borderId="112" xfId="0" applyFont="1" applyFill="1" applyBorder="1" applyAlignment="1">
      <alignment horizontal="center" vertical="center" wrapText="1"/>
    </xf>
    <xf numFmtId="0" fontId="24" fillId="3" borderId="112" xfId="0" applyFont="1" applyFill="1" applyBorder="1" applyAlignment="1">
      <alignment horizontal="center" vertical="center" wrapText="1"/>
    </xf>
    <xf numFmtId="0" fontId="75" fillId="3" borderId="11" xfId="0" applyFont="1" applyFill="1" applyBorder="1" applyAlignment="1">
      <alignment horizontal="center" vertical="center" wrapText="1"/>
    </xf>
    <xf numFmtId="0" fontId="75" fillId="3" borderId="12" xfId="0" applyFont="1" applyFill="1" applyBorder="1" applyAlignment="1">
      <alignment horizontal="center" vertical="center" wrapText="1"/>
    </xf>
    <xf numFmtId="0" fontId="75" fillId="3" borderId="13" xfId="0" applyFont="1" applyFill="1" applyBorder="1" applyAlignment="1">
      <alignment horizontal="center" vertical="center" wrapText="1"/>
    </xf>
    <xf numFmtId="0" fontId="75" fillId="3" borderId="0" xfId="0" applyFont="1" applyFill="1" applyBorder="1" applyAlignment="1">
      <alignment horizontal="center" vertical="center" wrapText="1"/>
    </xf>
    <xf numFmtId="0" fontId="75" fillId="3" borderId="6" xfId="0" applyFont="1" applyFill="1" applyBorder="1" applyAlignment="1">
      <alignment horizontal="center" vertical="center" wrapText="1"/>
    </xf>
    <xf numFmtId="0" fontId="75" fillId="3" borderId="14" xfId="0" applyFont="1" applyFill="1" applyBorder="1" applyAlignment="1">
      <alignment horizontal="center" vertical="center" wrapText="1"/>
    </xf>
    <xf numFmtId="0" fontId="75" fillId="3" borderId="15" xfId="0" applyFont="1" applyFill="1" applyBorder="1" applyAlignment="1">
      <alignment horizontal="center" vertical="center" wrapText="1"/>
    </xf>
    <xf numFmtId="0" fontId="75" fillId="3" borderId="8" xfId="0" applyFont="1" applyFill="1" applyBorder="1" applyAlignment="1">
      <alignment horizontal="center" vertical="center" wrapText="1"/>
    </xf>
    <xf numFmtId="0" fontId="75" fillId="0" borderId="2" xfId="0" applyFont="1" applyFill="1" applyBorder="1" applyAlignment="1">
      <alignment horizontal="center" vertical="center"/>
    </xf>
    <xf numFmtId="0" fontId="75" fillId="0" borderId="3" xfId="0" applyFont="1" applyFill="1" applyBorder="1" applyAlignment="1">
      <alignment horizontal="center" vertical="center"/>
    </xf>
    <xf numFmtId="0" fontId="75" fillId="0" borderId="4" xfId="0" applyFont="1" applyFill="1" applyBorder="1" applyAlignment="1">
      <alignment horizontal="center" vertical="center"/>
    </xf>
    <xf numFmtId="0" fontId="75" fillId="3" borderId="2" xfId="0" applyFont="1" applyFill="1" applyBorder="1" applyAlignment="1">
      <alignment horizontal="center" vertical="center" wrapText="1"/>
    </xf>
    <xf numFmtId="0" fontId="75" fillId="3" borderId="3" xfId="0" applyFont="1" applyFill="1" applyBorder="1" applyAlignment="1">
      <alignment horizontal="center" vertical="center" wrapText="1"/>
    </xf>
    <xf numFmtId="0" fontId="75" fillId="3" borderId="4" xfId="0" applyFont="1" applyFill="1" applyBorder="1" applyAlignment="1">
      <alignment horizontal="center" vertical="center" wrapText="1"/>
    </xf>
    <xf numFmtId="0" fontId="75" fillId="3" borderId="5" xfId="0" applyFont="1" applyFill="1" applyBorder="1" applyAlignment="1">
      <alignment horizontal="center" vertical="center" wrapText="1"/>
    </xf>
    <xf numFmtId="0" fontId="75" fillId="3" borderId="7" xfId="0" applyFont="1" applyFill="1" applyBorder="1" applyAlignment="1">
      <alignment horizontal="center" vertical="center" wrapText="1"/>
    </xf>
    <xf numFmtId="0" fontId="75" fillId="3" borderId="5" xfId="0" applyFont="1" applyFill="1" applyBorder="1" applyAlignment="1">
      <alignment vertical="center" wrapText="1"/>
    </xf>
    <xf numFmtId="0" fontId="75" fillId="3" borderId="9" xfId="0" applyFont="1" applyFill="1" applyBorder="1" applyAlignment="1">
      <alignment vertical="center" wrapText="1"/>
    </xf>
    <xf numFmtId="0" fontId="75" fillId="3" borderId="7" xfId="0" applyFont="1" applyFill="1" applyBorder="1" applyAlignment="1">
      <alignment vertical="center" wrapText="1"/>
    </xf>
    <xf numFmtId="0" fontId="75" fillId="0" borderId="5" xfId="0" applyFont="1" applyBorder="1" applyAlignment="1">
      <alignment vertical="center" wrapText="1"/>
    </xf>
    <xf numFmtId="0" fontId="75" fillId="0" borderId="9" xfId="0" applyFont="1" applyBorder="1" applyAlignment="1">
      <alignment vertical="center" wrapText="1"/>
    </xf>
    <xf numFmtId="0" fontId="75" fillId="0" borderId="7" xfId="0" applyFont="1" applyBorder="1" applyAlignment="1">
      <alignment vertical="center" wrapText="1"/>
    </xf>
    <xf numFmtId="0" fontId="75" fillId="0" borderId="10" xfId="0" applyFont="1" applyBorder="1" applyAlignment="1">
      <alignment horizontal="center" vertical="center"/>
    </xf>
    <xf numFmtId="0" fontId="75" fillId="0" borderId="11" xfId="0" applyFont="1" applyBorder="1" applyAlignment="1">
      <alignment horizontal="center" vertical="center"/>
    </xf>
    <xf numFmtId="0" fontId="75" fillId="0" borderId="12" xfId="0" applyFont="1" applyBorder="1" applyAlignment="1">
      <alignment horizontal="center" vertical="center"/>
    </xf>
    <xf numFmtId="0" fontId="75" fillId="0" borderId="13" xfId="0" applyFont="1" applyBorder="1" applyAlignment="1">
      <alignment horizontal="center" vertical="center"/>
    </xf>
    <xf numFmtId="0" fontId="75" fillId="0" borderId="0" xfId="0" applyFont="1" applyBorder="1" applyAlignment="1">
      <alignment horizontal="center" vertical="center"/>
    </xf>
    <xf numFmtId="0" fontId="75" fillId="0" borderId="6" xfId="0" applyFont="1" applyBorder="1" applyAlignment="1">
      <alignment horizontal="center" vertical="center"/>
    </xf>
    <xf numFmtId="0" fontId="75" fillId="0" borderId="14" xfId="0" applyFont="1" applyBorder="1" applyAlignment="1">
      <alignment horizontal="center" vertical="center"/>
    </xf>
    <xf numFmtId="0" fontId="75" fillId="0" borderId="15" xfId="0" applyFont="1" applyBorder="1" applyAlignment="1">
      <alignment horizontal="center" vertical="center"/>
    </xf>
    <xf numFmtId="0" fontId="75" fillId="0" borderId="8" xfId="0" applyFont="1" applyBorder="1" applyAlignment="1">
      <alignment horizontal="center" vertical="center"/>
    </xf>
    <xf numFmtId="0" fontId="75" fillId="4" borderId="2" xfId="0" applyFont="1" applyFill="1" applyBorder="1" applyAlignment="1">
      <alignment horizontal="center" vertical="center"/>
    </xf>
    <xf numFmtId="0" fontId="75" fillId="4" borderId="3" xfId="0" applyFont="1" applyFill="1" applyBorder="1" applyAlignment="1">
      <alignment horizontal="center" vertical="center"/>
    </xf>
    <xf numFmtId="0" fontId="75" fillId="4" borderId="4" xfId="0" applyFont="1" applyFill="1" applyBorder="1" applyAlignment="1">
      <alignment horizontal="center" vertical="center"/>
    </xf>
    <xf numFmtId="0" fontId="71" fillId="4" borderId="2" xfId="0" applyFont="1" applyFill="1" applyBorder="1" applyAlignment="1">
      <alignment horizontal="center" vertical="center" wrapText="1"/>
    </xf>
    <xf numFmtId="0" fontId="71" fillId="4" borderId="3" xfId="0" applyFont="1" applyFill="1" applyBorder="1" applyAlignment="1">
      <alignment horizontal="center" vertical="center" wrapText="1"/>
    </xf>
    <xf numFmtId="0" fontId="71" fillId="4" borderId="4" xfId="0" applyFont="1" applyFill="1" applyBorder="1" applyAlignment="1">
      <alignment horizontal="center" vertical="center" wrapText="1"/>
    </xf>
    <xf numFmtId="0" fontId="55" fillId="0" borderId="2" xfId="0" applyFont="1" applyFill="1" applyBorder="1" applyAlignment="1">
      <alignment horizontal="center" vertical="center"/>
    </xf>
    <xf numFmtId="0" fontId="55" fillId="0" borderId="3" xfId="0" applyFont="1" applyFill="1" applyBorder="1" applyAlignment="1">
      <alignment horizontal="center" vertical="center"/>
    </xf>
    <xf numFmtId="0" fontId="55" fillId="0" borderId="4" xfId="0" applyFont="1" applyFill="1" applyBorder="1" applyAlignment="1">
      <alignment horizontal="center" vertical="center"/>
    </xf>
    <xf numFmtId="0" fontId="75" fillId="3" borderId="10" xfId="0" applyFont="1" applyFill="1" applyBorder="1" applyAlignment="1">
      <alignment horizontal="center" vertical="center"/>
    </xf>
    <xf numFmtId="0" fontId="75" fillId="3" borderId="11" xfId="0" applyFont="1" applyFill="1" applyBorder="1" applyAlignment="1">
      <alignment horizontal="center" vertical="center"/>
    </xf>
    <xf numFmtId="0" fontId="75" fillId="3" borderId="12" xfId="0" applyFont="1" applyFill="1" applyBorder="1" applyAlignment="1">
      <alignment horizontal="center" vertical="center"/>
    </xf>
    <xf numFmtId="0" fontId="75" fillId="3" borderId="13" xfId="0" applyFont="1" applyFill="1" applyBorder="1" applyAlignment="1">
      <alignment horizontal="center" vertical="center"/>
    </xf>
    <xf numFmtId="0" fontId="75" fillId="3" borderId="0" xfId="0" applyFont="1" applyFill="1" applyBorder="1" applyAlignment="1">
      <alignment horizontal="center" vertical="center"/>
    </xf>
    <xf numFmtId="0" fontId="75" fillId="3" borderId="6" xfId="0" applyFont="1" applyFill="1" applyBorder="1" applyAlignment="1">
      <alignment horizontal="center" vertical="center"/>
    </xf>
    <xf numFmtId="0" fontId="75" fillId="3" borderId="14" xfId="0" applyFont="1" applyFill="1" applyBorder="1" applyAlignment="1">
      <alignment horizontal="center" vertical="center"/>
    </xf>
    <xf numFmtId="0" fontId="75" fillId="3" borderId="15" xfId="0" applyFont="1" applyFill="1" applyBorder="1" applyAlignment="1">
      <alignment horizontal="center" vertical="center"/>
    </xf>
    <xf numFmtId="0" fontId="75" fillId="3" borderId="8" xfId="0" applyFont="1" applyFill="1" applyBorder="1" applyAlignment="1">
      <alignment horizontal="center" vertical="center"/>
    </xf>
    <xf numFmtId="0" fontId="75" fillId="10" borderId="2" xfId="0" applyFont="1" applyFill="1" applyBorder="1" applyAlignment="1">
      <alignment horizontal="center" vertical="center" wrapText="1"/>
    </xf>
    <xf numFmtId="0" fontId="75" fillId="10" borderId="3" xfId="0" applyFont="1" applyFill="1" applyBorder="1" applyAlignment="1">
      <alignment horizontal="center" vertical="center" wrapText="1"/>
    </xf>
    <xf numFmtId="0" fontId="75" fillId="10" borderId="4" xfId="0" applyFont="1" applyFill="1" applyBorder="1" applyAlignment="1">
      <alignment horizontal="center" vertical="center" wrapText="1"/>
    </xf>
    <xf numFmtId="0" fontId="75" fillId="4" borderId="2" xfId="0" applyFont="1" applyFill="1" applyBorder="1" applyAlignment="1">
      <alignment horizontal="left" vertical="center" wrapText="1"/>
    </xf>
    <xf numFmtId="0" fontId="75" fillId="4" borderId="3" xfId="0" applyFont="1" applyFill="1" applyBorder="1" applyAlignment="1">
      <alignment horizontal="left" vertical="center" wrapText="1"/>
    </xf>
    <xf numFmtId="0" fontId="75" fillId="4" borderId="4" xfId="0" applyFont="1" applyFill="1" applyBorder="1" applyAlignment="1">
      <alignment horizontal="left" vertical="center" wrapText="1"/>
    </xf>
    <xf numFmtId="0" fontId="90" fillId="3" borderId="5" xfId="0" applyFont="1" applyFill="1" applyBorder="1" applyAlignment="1">
      <alignment horizontal="center" vertical="center" wrapText="1"/>
    </xf>
    <xf numFmtId="0" fontId="90" fillId="3" borderId="7" xfId="0" applyFont="1" applyFill="1" applyBorder="1" applyAlignment="1">
      <alignment horizontal="center" vertical="center" wrapText="1"/>
    </xf>
    <xf numFmtId="0" fontId="75" fillId="4" borderId="2" xfId="0" applyFont="1" applyFill="1" applyBorder="1" applyAlignment="1">
      <alignment horizontal="center" vertical="center" wrapText="1"/>
    </xf>
    <xf numFmtId="0" fontId="75" fillId="4" borderId="3" xfId="0" applyFont="1" applyFill="1" applyBorder="1" applyAlignment="1">
      <alignment horizontal="center" vertical="center" wrapText="1"/>
    </xf>
    <xf numFmtId="0" fontId="75" fillId="4" borderId="4" xfId="0" applyFont="1" applyFill="1" applyBorder="1" applyAlignment="1">
      <alignment horizontal="center" vertical="center" wrapText="1"/>
    </xf>
    <xf numFmtId="0" fontId="78" fillId="2" borderId="0" xfId="0" applyFont="1" applyFill="1" applyAlignment="1">
      <alignment horizontal="center"/>
    </xf>
    <xf numFmtId="49" fontId="75" fillId="0" borderId="2" xfId="0" applyNumberFormat="1" applyFont="1" applyFill="1" applyBorder="1" applyAlignment="1">
      <alignment horizontal="center" vertical="center"/>
    </xf>
    <xf numFmtId="49" fontId="75" fillId="0" borderId="3" xfId="0" applyNumberFormat="1" applyFont="1" applyFill="1" applyBorder="1" applyAlignment="1">
      <alignment horizontal="center" vertical="center"/>
    </xf>
    <xf numFmtId="49" fontId="75" fillId="0" borderId="4" xfId="0" applyNumberFormat="1" applyFont="1" applyFill="1" applyBorder="1" applyAlignment="1">
      <alignment horizontal="center" vertical="center"/>
    </xf>
    <xf numFmtId="0" fontId="71" fillId="0" borderId="2" xfId="0" applyFont="1" applyBorder="1" applyAlignment="1">
      <alignment horizontal="center"/>
    </xf>
    <xf numFmtId="0" fontId="71" fillId="0" borderId="3" xfId="0" applyFont="1" applyBorder="1" applyAlignment="1">
      <alignment horizontal="center"/>
    </xf>
    <xf numFmtId="0" fontId="71" fillId="0" borderId="4" xfId="0" applyFont="1" applyBorder="1" applyAlignment="1">
      <alignment horizontal="center"/>
    </xf>
    <xf numFmtId="0" fontId="71" fillId="0" borderId="10" xfId="0" applyFont="1" applyBorder="1" applyAlignment="1">
      <alignment horizontal="center" vertical="center" wrapText="1"/>
    </xf>
    <xf numFmtId="0" fontId="71" fillId="0" borderId="11" xfId="0" applyFont="1" applyBorder="1" applyAlignment="1">
      <alignment horizontal="center" vertical="center" wrapText="1"/>
    </xf>
    <xf numFmtId="0" fontId="71" fillId="0" borderId="12" xfId="0" applyFont="1" applyBorder="1" applyAlignment="1">
      <alignment horizontal="center" vertical="center" wrapText="1"/>
    </xf>
    <xf numFmtId="0" fontId="71" fillId="0" borderId="13" xfId="0" applyFont="1" applyBorder="1" applyAlignment="1">
      <alignment horizontal="center" vertical="center" wrapText="1"/>
    </xf>
    <xf numFmtId="0" fontId="71" fillId="0" borderId="0" xfId="0" applyFont="1" applyBorder="1" applyAlignment="1">
      <alignment horizontal="center" vertical="center" wrapText="1"/>
    </xf>
    <xf numFmtId="0" fontId="71" fillId="0" borderId="6" xfId="0" applyFont="1" applyBorder="1" applyAlignment="1">
      <alignment horizontal="center" vertical="center" wrapText="1"/>
    </xf>
    <xf numFmtId="0" fontId="71" fillId="0" borderId="14" xfId="0" applyFont="1" applyBorder="1" applyAlignment="1">
      <alignment horizontal="center" vertical="center" wrapText="1"/>
    </xf>
    <xf numFmtId="0" fontId="71" fillId="0" borderId="15" xfId="0" applyFont="1" applyBorder="1" applyAlignment="1">
      <alignment horizontal="center" vertical="center" wrapText="1"/>
    </xf>
    <xf numFmtId="0" fontId="71" fillId="0" borderId="8" xfId="0" applyFont="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87" fillId="0" borderId="0" xfId="0" applyFont="1" applyAlignment="1">
      <alignment horizontal="center" vertical="center"/>
    </xf>
    <xf numFmtId="0" fontId="6" fillId="4" borderId="4"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91" fillId="4" borderId="3" xfId="0" applyFont="1" applyFill="1" applyBorder="1" applyAlignment="1">
      <alignment horizontal="center" vertical="center" wrapText="1"/>
    </xf>
    <xf numFmtId="0" fontId="91" fillId="4" borderId="3" xfId="0" applyFont="1" applyFill="1" applyBorder="1" applyAlignment="1">
      <alignment horizontal="center" vertical="center"/>
    </xf>
    <xf numFmtId="0" fontId="91" fillId="4" borderId="4" xfId="0" applyFont="1" applyFill="1" applyBorder="1" applyAlignment="1">
      <alignment horizontal="center" vertical="center"/>
    </xf>
    <xf numFmtId="0" fontId="55" fillId="0" borderId="2" xfId="0" applyFont="1" applyFill="1" applyBorder="1" applyAlignment="1">
      <alignment horizontal="center" vertical="center" wrapText="1"/>
    </xf>
    <xf numFmtId="0" fontId="91" fillId="0" borderId="3" xfId="0" applyFont="1" applyFill="1" applyBorder="1" applyAlignment="1">
      <alignment horizontal="center" vertical="center" wrapText="1"/>
    </xf>
    <xf numFmtId="0" fontId="91" fillId="0" borderId="4"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59" fillId="3" borderId="2" xfId="0" applyFont="1" applyFill="1" applyBorder="1" applyAlignment="1">
      <alignment horizontal="center" vertical="center" wrapText="1"/>
    </xf>
    <xf numFmtId="0" fontId="59" fillId="3" borderId="3" xfId="0" applyFont="1" applyFill="1" applyBorder="1" applyAlignment="1">
      <alignment horizontal="center" vertical="center" wrapText="1"/>
    </xf>
    <xf numFmtId="0" fontId="59" fillId="3" borderId="4" xfId="0" applyFont="1" applyFill="1" applyBorder="1" applyAlignment="1">
      <alignment horizontal="center" vertical="center" wrapText="1"/>
    </xf>
    <xf numFmtId="0" fontId="7" fillId="3" borderId="13" xfId="0" applyFont="1" applyFill="1" applyBorder="1" applyAlignment="1">
      <alignment horizontal="left" vertical="center"/>
    </xf>
    <xf numFmtId="0" fontId="7" fillId="3" borderId="0" xfId="0" applyFont="1" applyFill="1" applyBorder="1" applyAlignment="1">
      <alignment horizontal="left" vertical="center"/>
    </xf>
    <xf numFmtId="0" fontId="7" fillId="3" borderId="6" xfId="0" applyFont="1" applyFill="1" applyBorder="1" applyAlignment="1">
      <alignment horizontal="left" vertical="center"/>
    </xf>
    <xf numFmtId="49" fontId="7" fillId="4" borderId="2" xfId="0" applyNumberFormat="1" applyFont="1" applyFill="1" applyBorder="1" applyAlignment="1">
      <alignment horizontal="center" vertical="center"/>
    </xf>
    <xf numFmtId="49" fontId="7" fillId="4" borderId="3" xfId="0" applyNumberFormat="1" applyFont="1" applyFill="1" applyBorder="1" applyAlignment="1">
      <alignment horizontal="center" vertical="center"/>
    </xf>
    <xf numFmtId="49" fontId="7" fillId="4" borderId="4" xfId="0" applyNumberFormat="1" applyFont="1" applyFill="1" applyBorder="1" applyAlignment="1">
      <alignment horizontal="center" vertical="center"/>
    </xf>
    <xf numFmtId="3" fontId="7" fillId="0" borderId="2" xfId="0" applyNumberFormat="1" applyFont="1" applyFill="1" applyBorder="1" applyAlignment="1">
      <alignment horizontal="center" vertical="center"/>
    </xf>
    <xf numFmtId="3" fontId="7" fillId="0" borderId="3" xfId="0" applyNumberFormat="1" applyFont="1" applyFill="1" applyBorder="1" applyAlignment="1">
      <alignment horizontal="center" vertical="center"/>
    </xf>
    <xf numFmtId="3" fontId="7" fillId="0" borderId="4" xfId="0" applyNumberFormat="1" applyFont="1" applyFill="1" applyBorder="1" applyAlignment="1">
      <alignment horizontal="center" vertical="center"/>
    </xf>
    <xf numFmtId="0" fontId="63" fillId="2" borderId="3" xfId="0" applyFont="1" applyFill="1" applyBorder="1" applyAlignment="1">
      <alignment horizontal="center" vertical="center"/>
    </xf>
    <xf numFmtId="0" fontId="63" fillId="2" borderId="4" xfId="0" applyFont="1" applyFill="1" applyBorder="1" applyAlignment="1">
      <alignment horizontal="center" vertical="center"/>
    </xf>
    <xf numFmtId="49" fontId="92" fillId="3" borderId="2" xfId="0" applyNumberFormat="1" applyFont="1" applyFill="1" applyBorder="1" applyAlignment="1">
      <alignment horizontal="center" vertical="center"/>
    </xf>
    <xf numFmtId="49" fontId="92" fillId="3" borderId="3" xfId="0" applyNumberFormat="1" applyFont="1" applyFill="1" applyBorder="1" applyAlignment="1">
      <alignment horizontal="center" vertical="center"/>
    </xf>
    <xf numFmtId="49" fontId="92" fillId="3" borderId="4" xfId="0" applyNumberFormat="1" applyFont="1" applyFill="1" applyBorder="1" applyAlignment="1">
      <alignment horizontal="center" vertical="center"/>
    </xf>
    <xf numFmtId="0" fontId="81" fillId="3" borderId="10" xfId="0" applyFont="1" applyFill="1" applyBorder="1" applyAlignment="1">
      <alignment horizontal="center" vertical="center" wrapText="1"/>
    </xf>
    <xf numFmtId="0" fontId="9" fillId="5" borderId="2" xfId="0" applyFont="1" applyFill="1" applyBorder="1" applyAlignment="1">
      <alignment horizontal="center" vertical="center" wrapText="1"/>
    </xf>
    <xf numFmtId="0" fontId="9" fillId="5" borderId="3" xfId="0" applyFont="1" applyFill="1" applyBorder="1" applyAlignment="1">
      <alignment horizontal="center" vertical="center" wrapText="1"/>
    </xf>
    <xf numFmtId="0" fontId="9" fillId="5" borderId="4" xfId="0" applyFont="1" applyFill="1" applyBorder="1" applyAlignment="1">
      <alignment horizontal="center" vertical="center" wrapText="1"/>
    </xf>
    <xf numFmtId="9" fontId="7" fillId="19" borderId="2" xfId="0" applyNumberFormat="1" applyFont="1" applyFill="1" applyBorder="1" applyAlignment="1">
      <alignment horizontal="center" vertical="center"/>
    </xf>
    <xf numFmtId="9" fontId="7" fillId="19" borderId="3" xfId="0" applyNumberFormat="1" applyFont="1" applyFill="1" applyBorder="1" applyAlignment="1">
      <alignment horizontal="center" vertical="center"/>
    </xf>
    <xf numFmtId="9" fontId="7" fillId="19" borderId="4" xfId="0" applyNumberFormat="1" applyFont="1" applyFill="1" applyBorder="1" applyAlignment="1">
      <alignment horizontal="center" vertical="center"/>
    </xf>
    <xf numFmtId="0" fontId="5" fillId="3" borderId="1" xfId="0" quotePrefix="1" applyFont="1" applyFill="1" applyBorder="1" applyAlignment="1">
      <alignment horizontal="center" vertical="center"/>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95" fillId="4" borderId="3" xfId="0" applyFont="1" applyFill="1" applyBorder="1" applyAlignment="1">
      <alignment horizontal="left" vertical="center" wrapText="1"/>
    </xf>
    <xf numFmtId="0" fontId="95" fillId="4" borderId="3" xfId="0" applyFont="1" applyFill="1" applyBorder="1" applyAlignment="1">
      <alignment horizontal="left" vertical="center"/>
    </xf>
    <xf numFmtId="0" fontId="95" fillId="4" borderId="4" xfId="0" applyFont="1" applyFill="1" applyBorder="1" applyAlignment="1">
      <alignment horizontal="left" vertical="center"/>
    </xf>
    <xf numFmtId="0" fontId="55" fillId="3" borderId="5" xfId="0" applyFont="1" applyFill="1" applyBorder="1" applyAlignment="1">
      <alignment horizontal="center" vertical="center" wrapText="1"/>
    </xf>
    <xf numFmtId="0" fontId="55" fillId="3" borderId="7" xfId="0" applyFont="1" applyFill="1" applyBorder="1" applyAlignment="1">
      <alignment horizontal="center" vertical="center" wrapText="1"/>
    </xf>
    <xf numFmtId="0" fontId="91" fillId="4" borderId="2" xfId="0" applyFont="1" applyFill="1" applyBorder="1" applyAlignment="1">
      <alignment horizontal="left" vertical="center" wrapText="1"/>
    </xf>
    <xf numFmtId="0" fontId="91" fillId="4" borderId="3" xfId="0" applyFont="1" applyFill="1" applyBorder="1" applyAlignment="1">
      <alignment horizontal="left" vertical="center" wrapText="1"/>
    </xf>
    <xf numFmtId="0" fontId="91" fillId="4" borderId="4" xfId="0" applyFont="1" applyFill="1" applyBorder="1" applyAlignment="1">
      <alignment horizontal="left" vertical="center" wrapText="1"/>
    </xf>
    <xf numFmtId="0" fontId="52" fillId="2" borderId="0" xfId="0" applyFont="1" applyFill="1" applyAlignment="1">
      <alignment horizontal="center"/>
    </xf>
    <xf numFmtId="0" fontId="95" fillId="3" borderId="1" xfId="0" applyFont="1" applyFill="1" applyBorder="1" applyAlignment="1">
      <alignment horizontal="center" vertical="center"/>
    </xf>
    <xf numFmtId="49" fontId="95" fillId="3" borderId="2" xfId="0" applyNumberFormat="1" applyFont="1" applyFill="1" applyBorder="1" applyAlignment="1">
      <alignment horizontal="center" vertical="center"/>
    </xf>
    <xf numFmtId="49" fontId="95" fillId="3" borderId="3" xfId="0" applyNumberFormat="1" applyFont="1" applyFill="1" applyBorder="1" applyAlignment="1">
      <alignment horizontal="center" vertical="center"/>
    </xf>
    <xf numFmtId="49" fontId="95" fillId="3" borderId="4" xfId="0" applyNumberFormat="1" applyFont="1" applyFill="1" applyBorder="1" applyAlignment="1">
      <alignment horizontal="center" vertical="center"/>
    </xf>
    <xf numFmtId="0" fontId="95" fillId="3" borderId="2" xfId="0" applyFont="1" applyFill="1" applyBorder="1" applyAlignment="1">
      <alignment horizontal="center" vertical="center" wrapText="1"/>
    </xf>
    <xf numFmtId="0" fontId="95" fillId="3" borderId="3" xfId="0" applyFont="1" applyFill="1" applyBorder="1" applyAlignment="1">
      <alignment horizontal="center" vertical="center" wrapText="1"/>
    </xf>
    <xf numFmtId="0" fontId="95" fillId="3" borderId="4" xfId="0" applyFont="1" applyFill="1" applyBorder="1" applyAlignment="1">
      <alignment horizontal="center" vertical="center" wrapText="1"/>
    </xf>
    <xf numFmtId="0" fontId="96" fillId="0" borderId="2" xfId="0" applyFont="1" applyBorder="1" applyAlignment="1">
      <alignment horizontal="center"/>
    </xf>
    <xf numFmtId="0" fontId="96" fillId="0" borderId="3" xfId="0" applyFont="1" applyBorder="1" applyAlignment="1">
      <alignment horizontal="center"/>
    </xf>
    <xf numFmtId="0" fontId="96" fillId="0" borderId="4" xfId="0" applyFont="1" applyBorder="1" applyAlignment="1">
      <alignment horizontal="center"/>
    </xf>
    <xf numFmtId="0" fontId="95" fillId="0" borderId="2" xfId="0" applyFont="1" applyBorder="1" applyAlignment="1">
      <alignment vertical="center" wrapText="1"/>
    </xf>
    <xf numFmtId="0" fontId="95" fillId="0" borderId="3" xfId="0" applyFont="1" applyBorder="1" applyAlignment="1">
      <alignment vertical="center" wrapText="1"/>
    </xf>
    <xf numFmtId="0" fontId="95" fillId="0" borderId="4" xfId="0" applyFont="1" applyBorder="1" applyAlignment="1">
      <alignment vertical="center" wrapText="1"/>
    </xf>
    <xf numFmtId="0" fontId="55" fillId="3" borderId="5" xfId="0" applyFont="1" applyFill="1" applyBorder="1" applyAlignment="1">
      <alignment vertical="center" wrapText="1"/>
    </xf>
    <xf numFmtId="0" fontId="55" fillId="3" borderId="9" xfId="0" applyFont="1" applyFill="1" applyBorder="1" applyAlignment="1">
      <alignment vertical="center" wrapText="1"/>
    </xf>
    <xf numFmtId="0" fontId="55" fillId="3" borderId="7" xfId="0" applyFont="1" applyFill="1" applyBorder="1" applyAlignment="1">
      <alignment vertical="center" wrapText="1"/>
    </xf>
    <xf numFmtId="0" fontId="91" fillId="3" borderId="10" xfId="0" applyFont="1" applyFill="1" applyBorder="1" applyAlignment="1">
      <alignment horizontal="left" vertical="center" wrapText="1"/>
    </xf>
    <xf numFmtId="0" fontId="91" fillId="3" borderId="11" xfId="0" applyFont="1" applyFill="1" applyBorder="1" applyAlignment="1">
      <alignment horizontal="left" vertical="center" wrapText="1"/>
    </xf>
    <xf numFmtId="0" fontId="91" fillId="3" borderId="12" xfId="0" applyFont="1" applyFill="1" applyBorder="1" applyAlignment="1">
      <alignment horizontal="left" vertical="center" wrapText="1"/>
    </xf>
    <xf numFmtId="0" fontId="91" fillId="3" borderId="13" xfId="0" applyFont="1" applyFill="1" applyBorder="1" applyAlignment="1">
      <alignment horizontal="left" vertical="center" wrapText="1"/>
    </xf>
    <xf numFmtId="0" fontId="91" fillId="3" borderId="0" xfId="0" applyFont="1" applyFill="1" applyBorder="1" applyAlignment="1">
      <alignment horizontal="left" vertical="center" wrapText="1"/>
    </xf>
    <xf numFmtId="0" fontId="91" fillId="3" borderId="6" xfId="0" applyFont="1" applyFill="1" applyBorder="1" applyAlignment="1">
      <alignment horizontal="left" vertical="center" wrapText="1"/>
    </xf>
    <xf numFmtId="0" fontId="91" fillId="3" borderId="14" xfId="0" applyFont="1" applyFill="1" applyBorder="1" applyAlignment="1">
      <alignment horizontal="left" vertical="center" wrapText="1"/>
    </xf>
    <xf numFmtId="0" fontId="91" fillId="3" borderId="15" xfId="0" applyFont="1" applyFill="1" applyBorder="1" applyAlignment="1">
      <alignment horizontal="left" vertical="center" wrapText="1"/>
    </xf>
    <xf numFmtId="0" fontId="91" fillId="3" borderId="8" xfId="0" applyFont="1" applyFill="1" applyBorder="1" applyAlignment="1">
      <alignment horizontal="left" vertical="center" wrapText="1"/>
    </xf>
    <xf numFmtId="0" fontId="59" fillId="4" borderId="2" xfId="0" applyFont="1" applyFill="1" applyBorder="1" applyAlignment="1">
      <alignment horizontal="center" vertical="center"/>
    </xf>
    <xf numFmtId="0" fontId="59" fillId="4" borderId="3" xfId="0" applyFont="1" applyFill="1" applyBorder="1" applyAlignment="1">
      <alignment horizontal="center" vertical="center"/>
    </xf>
    <xf numFmtId="0" fontId="59" fillId="4" borderId="4" xfId="0" applyFont="1" applyFill="1" applyBorder="1" applyAlignment="1">
      <alignment horizontal="center" vertical="center"/>
    </xf>
    <xf numFmtId="0" fontId="96" fillId="4" borderId="2" xfId="0" applyFont="1" applyFill="1" applyBorder="1" applyAlignment="1">
      <alignment horizontal="center" vertical="center"/>
    </xf>
    <xf numFmtId="0" fontId="96" fillId="4" borderId="3" xfId="0" applyFont="1" applyFill="1" applyBorder="1" applyAlignment="1">
      <alignment horizontal="center" vertical="center"/>
    </xf>
    <xf numFmtId="0" fontId="96" fillId="4" borderId="4" xfId="0" applyFont="1" applyFill="1" applyBorder="1" applyAlignment="1">
      <alignment horizontal="center" vertical="center"/>
    </xf>
    <xf numFmtId="0" fontId="95" fillId="4" borderId="2" xfId="0" applyFont="1" applyFill="1" applyBorder="1" applyAlignment="1">
      <alignment horizontal="center" vertical="center"/>
    </xf>
    <xf numFmtId="0" fontId="95" fillId="4" borderId="3" xfId="0" applyFont="1" applyFill="1" applyBorder="1" applyAlignment="1">
      <alignment horizontal="center" vertical="center"/>
    </xf>
    <xf numFmtId="0" fontId="95" fillId="4" borderId="4" xfId="0" applyFont="1" applyFill="1" applyBorder="1" applyAlignment="1">
      <alignment horizontal="center" vertical="center"/>
    </xf>
    <xf numFmtId="0" fontId="95" fillId="3" borderId="2" xfId="0" applyFont="1" applyFill="1" applyBorder="1" applyAlignment="1">
      <alignment horizontal="center" vertical="center"/>
    </xf>
    <xf numFmtId="0" fontId="95" fillId="3" borderId="3" xfId="0" applyFont="1" applyFill="1" applyBorder="1" applyAlignment="1">
      <alignment horizontal="center" vertical="center"/>
    </xf>
    <xf numFmtId="0" fontId="95" fillId="3" borderId="4" xfId="0" applyFont="1" applyFill="1" applyBorder="1" applyAlignment="1">
      <alignment horizontal="center" vertical="center"/>
    </xf>
    <xf numFmtId="0" fontId="6" fillId="3" borderId="10" xfId="0" applyFont="1" applyFill="1" applyBorder="1" applyAlignment="1">
      <alignment vertical="center" wrapText="1"/>
    </xf>
    <xf numFmtId="0" fontId="6" fillId="3" borderId="11" xfId="0" applyFont="1" applyFill="1" applyBorder="1" applyAlignment="1">
      <alignment vertical="center" wrapText="1"/>
    </xf>
    <xf numFmtId="0" fontId="6" fillId="3" borderId="12" xfId="0" applyFont="1" applyFill="1" applyBorder="1" applyAlignment="1">
      <alignment vertical="center" wrapText="1"/>
    </xf>
    <xf numFmtId="0" fontId="6" fillId="3" borderId="13" xfId="0" applyFont="1" applyFill="1" applyBorder="1" applyAlignment="1">
      <alignment vertical="center" wrapText="1"/>
    </xf>
    <xf numFmtId="0" fontId="6" fillId="3" borderId="0" xfId="0" applyFont="1" applyFill="1" applyBorder="1" applyAlignment="1">
      <alignment vertical="center" wrapText="1"/>
    </xf>
    <xf numFmtId="0" fontId="6" fillId="3" borderId="6" xfId="0" applyFont="1" applyFill="1" applyBorder="1" applyAlignment="1">
      <alignment vertical="center" wrapText="1"/>
    </xf>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8" xfId="0" applyFont="1" applyFill="1" applyBorder="1" applyAlignment="1">
      <alignment vertical="center" wrapText="1"/>
    </xf>
    <xf numFmtId="0" fontId="95" fillId="3" borderId="2" xfId="0" applyFont="1" applyFill="1" applyBorder="1" applyAlignment="1">
      <alignment vertical="center" wrapText="1"/>
    </xf>
    <xf numFmtId="0" fontId="95" fillId="3" borderId="3" xfId="0" applyFont="1" applyFill="1" applyBorder="1" applyAlignment="1">
      <alignment vertical="center" wrapText="1"/>
    </xf>
    <xf numFmtId="0" fontId="95" fillId="3" borderId="4" xfId="0" applyFont="1" applyFill="1" applyBorder="1" applyAlignment="1">
      <alignment vertical="center" wrapText="1"/>
    </xf>
    <xf numFmtId="0" fontId="95" fillId="3" borderId="2" xfId="0" applyFont="1" applyFill="1" applyBorder="1" applyAlignment="1">
      <alignment horizontal="left" vertical="center" wrapText="1"/>
    </xf>
    <xf numFmtId="0" fontId="95" fillId="3" borderId="3" xfId="0" applyFont="1" applyFill="1" applyBorder="1" applyAlignment="1">
      <alignment horizontal="left" vertical="center" wrapText="1"/>
    </xf>
    <xf numFmtId="0" fontId="95" fillId="3" borderId="4" xfId="0" applyFont="1" applyFill="1" applyBorder="1" applyAlignment="1">
      <alignment horizontal="left" vertical="center" wrapText="1"/>
    </xf>
    <xf numFmtId="9" fontId="95" fillId="3" borderId="2" xfId="0" applyNumberFormat="1" applyFont="1" applyFill="1" applyBorder="1" applyAlignment="1">
      <alignment horizontal="center" vertical="center"/>
    </xf>
    <xf numFmtId="9" fontId="95" fillId="3" borderId="3" xfId="0" applyNumberFormat="1" applyFont="1" applyFill="1" applyBorder="1" applyAlignment="1">
      <alignment horizontal="center" vertical="center"/>
    </xf>
    <xf numFmtId="9" fontId="95" fillId="3" borderId="4" xfId="0" applyNumberFormat="1" applyFont="1" applyFill="1" applyBorder="1" applyAlignment="1">
      <alignment horizontal="center" vertical="center"/>
    </xf>
    <xf numFmtId="0" fontId="55" fillId="3" borderId="10" xfId="0" applyFont="1" applyFill="1" applyBorder="1" applyAlignment="1">
      <alignment horizontal="center" vertical="center"/>
    </xf>
    <xf numFmtId="0" fontId="55" fillId="3" borderId="11" xfId="0" applyFont="1" applyFill="1" applyBorder="1" applyAlignment="1">
      <alignment horizontal="center" vertical="center"/>
    </xf>
    <xf numFmtId="0" fontId="55" fillId="3" borderId="12" xfId="0" applyFont="1" applyFill="1" applyBorder="1" applyAlignment="1">
      <alignment horizontal="center" vertical="center"/>
    </xf>
    <xf numFmtId="0" fontId="55" fillId="3" borderId="13" xfId="0" applyFont="1" applyFill="1" applyBorder="1" applyAlignment="1">
      <alignment horizontal="center" vertical="center"/>
    </xf>
    <xf numFmtId="0" fontId="55" fillId="3" borderId="0" xfId="0" applyFont="1" applyFill="1" applyBorder="1" applyAlignment="1">
      <alignment horizontal="center" vertical="center"/>
    </xf>
    <xf numFmtId="0" fontId="55" fillId="3" borderId="6" xfId="0" applyFont="1" applyFill="1" applyBorder="1" applyAlignment="1">
      <alignment horizontal="center" vertical="center"/>
    </xf>
    <xf numFmtId="0" fontId="55" fillId="3" borderId="14" xfId="0" applyFont="1" applyFill="1" applyBorder="1" applyAlignment="1">
      <alignment horizontal="center" vertical="center"/>
    </xf>
    <xf numFmtId="0" fontId="55" fillId="3" borderId="15" xfId="0" applyFont="1" applyFill="1" applyBorder="1" applyAlignment="1">
      <alignment horizontal="center" vertical="center"/>
    </xf>
    <xf numFmtId="0" fontId="55" fillId="3" borderId="8" xfId="0" applyFont="1" applyFill="1" applyBorder="1" applyAlignment="1">
      <alignment horizontal="center" vertical="center"/>
    </xf>
    <xf numFmtId="9" fontId="95" fillId="4" borderId="2" xfId="0" applyNumberFormat="1" applyFont="1" applyFill="1" applyBorder="1" applyAlignment="1">
      <alignment horizontal="center" vertical="center"/>
    </xf>
    <xf numFmtId="9" fontId="95" fillId="4" borderId="3" xfId="0" applyNumberFormat="1" applyFont="1" applyFill="1" applyBorder="1" applyAlignment="1">
      <alignment horizontal="center" vertical="center"/>
    </xf>
    <xf numFmtId="9" fontId="95" fillId="4" borderId="4" xfId="0" applyNumberFormat="1" applyFont="1" applyFill="1" applyBorder="1" applyAlignment="1">
      <alignment horizontal="center" vertical="center"/>
    </xf>
    <xf numFmtId="0" fontId="55" fillId="0" borderId="5" xfId="0" applyFont="1" applyBorder="1" applyAlignment="1">
      <alignment vertical="center" wrapText="1"/>
    </xf>
    <xf numFmtId="0" fontId="55" fillId="0" borderId="9" xfId="0" applyFont="1" applyBorder="1" applyAlignment="1">
      <alignment vertical="center" wrapText="1"/>
    </xf>
    <xf numFmtId="0" fontId="55" fillId="0" borderId="7" xfId="0" applyFont="1" applyBorder="1" applyAlignment="1">
      <alignment vertical="center" wrapText="1"/>
    </xf>
    <xf numFmtId="0" fontId="55" fillId="0" borderId="11" xfId="0" applyFont="1" applyBorder="1" applyAlignment="1">
      <alignment horizontal="center" vertical="center"/>
    </xf>
    <xf numFmtId="0" fontId="55" fillId="0" borderId="12" xfId="0" applyFont="1" applyBorder="1" applyAlignment="1">
      <alignment horizontal="center" vertical="center"/>
    </xf>
    <xf numFmtId="0" fontId="55" fillId="0" borderId="0" xfId="0" applyFont="1" applyBorder="1" applyAlignment="1">
      <alignment horizontal="center" vertical="center"/>
    </xf>
    <xf numFmtId="0" fontId="55" fillId="0" borderId="6" xfId="0" applyFont="1" applyBorder="1" applyAlignment="1">
      <alignment horizontal="center" vertical="center"/>
    </xf>
    <xf numFmtId="0" fontId="55" fillId="0" borderId="15" xfId="0" applyFont="1" applyBorder="1" applyAlignment="1">
      <alignment horizontal="center" vertical="center"/>
    </xf>
    <xf numFmtId="0" fontId="55" fillId="0" borderId="8" xfId="0" applyFont="1" applyBorder="1" applyAlignment="1">
      <alignment horizontal="center" vertical="center"/>
    </xf>
    <xf numFmtId="0" fontId="5" fillId="4" borderId="2"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63" fillId="0" borderId="113" xfId="0" applyFont="1" applyBorder="1" applyAlignment="1">
      <alignment vertical="center" wrapText="1"/>
    </xf>
    <xf numFmtId="0" fontId="63" fillId="0" borderId="17" xfId="0" applyFont="1" applyBorder="1" applyAlignment="1">
      <alignment horizontal="center" vertical="center"/>
    </xf>
    <xf numFmtId="0" fontId="63" fillId="0" borderId="18" xfId="0" applyFont="1" applyBorder="1" applyAlignment="1">
      <alignment horizontal="center" vertical="center"/>
    </xf>
    <xf numFmtId="0" fontId="63" fillId="4" borderId="113" xfId="0" applyFont="1" applyFill="1" applyBorder="1" applyAlignment="1">
      <alignment horizontal="center" vertical="center" wrapText="1"/>
    </xf>
    <xf numFmtId="0" fontId="63" fillId="4" borderId="17" xfId="0" applyFont="1" applyFill="1" applyBorder="1" applyAlignment="1">
      <alignment horizontal="center" vertical="center" wrapText="1"/>
    </xf>
    <xf numFmtId="0" fontId="63" fillId="4" borderId="18" xfId="0" applyFont="1" applyFill="1" applyBorder="1" applyAlignment="1">
      <alignment horizontal="center" vertical="center" wrapText="1"/>
    </xf>
    <xf numFmtId="0" fontId="63" fillId="3" borderId="113" xfId="0" applyFont="1" applyFill="1" applyBorder="1" applyAlignment="1">
      <alignment horizontal="center" vertical="center" wrapText="1"/>
    </xf>
    <xf numFmtId="0" fontId="63" fillId="0" borderId="34" xfId="0" applyFont="1" applyFill="1" applyBorder="1" applyAlignment="1">
      <alignment horizontal="center" vertical="center"/>
    </xf>
    <xf numFmtId="0" fontId="63" fillId="0" borderId="39" xfId="0" applyFont="1" applyFill="1" applyBorder="1" applyAlignment="1">
      <alignment horizontal="center" vertical="center"/>
    </xf>
    <xf numFmtId="0" fontId="63" fillId="0" borderId="40" xfId="0" applyFont="1" applyFill="1" applyBorder="1" applyAlignment="1">
      <alignment horizontal="center" vertical="center"/>
    </xf>
    <xf numFmtId="49" fontId="63" fillId="3" borderId="34" xfId="0" quotePrefix="1" applyNumberFormat="1" applyFont="1" applyFill="1" applyBorder="1" applyAlignment="1">
      <alignment horizontal="center" vertical="center"/>
    </xf>
    <xf numFmtId="49" fontId="63" fillId="3" borderId="39" xfId="0" applyNumberFormat="1" applyFont="1" applyFill="1" applyBorder="1" applyAlignment="1">
      <alignment horizontal="center" vertical="center"/>
    </xf>
    <xf numFmtId="49" fontId="63" fillId="3" borderId="40" xfId="0" applyNumberFormat="1" applyFont="1" applyFill="1" applyBorder="1" applyAlignment="1">
      <alignment horizontal="center" vertical="center"/>
    </xf>
    <xf numFmtId="0" fontId="63" fillId="3" borderId="34" xfId="0" applyFont="1" applyFill="1" applyBorder="1" applyAlignment="1">
      <alignment horizontal="center" vertical="center" wrapText="1"/>
    </xf>
    <xf numFmtId="0" fontId="63" fillId="3" borderId="39" xfId="0" applyFont="1" applyFill="1" applyBorder="1" applyAlignment="1">
      <alignment horizontal="center" vertical="center" wrapText="1"/>
    </xf>
    <xf numFmtId="0" fontId="63" fillId="3" borderId="40" xfId="0" applyFont="1" applyFill="1" applyBorder="1" applyAlignment="1">
      <alignment horizontal="center" vertical="center" wrapText="1"/>
    </xf>
    <xf numFmtId="0" fontId="63" fillId="0" borderId="34" xfId="0" applyFont="1" applyFill="1" applyBorder="1" applyAlignment="1">
      <alignment horizontal="center" vertical="center" wrapText="1"/>
    </xf>
    <xf numFmtId="0" fontId="63" fillId="0" borderId="39" xfId="0" applyFont="1" applyFill="1" applyBorder="1" applyAlignment="1">
      <alignment horizontal="center" vertical="center" wrapText="1"/>
    </xf>
    <xf numFmtId="0" fontId="63" fillId="0" borderId="40" xfId="0" applyFont="1" applyFill="1" applyBorder="1" applyAlignment="1">
      <alignment horizontal="center" vertical="center" wrapText="1"/>
    </xf>
    <xf numFmtId="0" fontId="63" fillId="3" borderId="116" xfId="0" applyFont="1" applyFill="1" applyBorder="1" applyAlignment="1">
      <alignment horizontal="center" vertical="center" wrapText="1"/>
    </xf>
    <xf numFmtId="0" fontId="63" fillId="3" borderId="115" xfId="0" applyFont="1" applyFill="1" applyBorder="1" applyAlignment="1">
      <alignment horizontal="center" vertical="center" wrapText="1"/>
    </xf>
    <xf numFmtId="0" fontId="63" fillId="3" borderId="114" xfId="0" applyFont="1" applyFill="1" applyBorder="1" applyAlignment="1">
      <alignment horizontal="center" vertical="center" wrapText="1"/>
    </xf>
    <xf numFmtId="0" fontId="63" fillId="3" borderId="113" xfId="0" applyFont="1" applyFill="1" applyBorder="1" applyAlignment="1">
      <alignment vertical="center" wrapText="1"/>
    </xf>
    <xf numFmtId="0" fontId="63" fillId="3" borderId="17" xfId="0" applyFont="1" applyFill="1" applyBorder="1" applyAlignment="1">
      <alignment horizontal="center" vertical="center"/>
    </xf>
    <xf numFmtId="0" fontId="63" fillId="3" borderId="18" xfId="0" applyFont="1" applyFill="1" applyBorder="1" applyAlignment="1">
      <alignment horizontal="center" vertical="center"/>
    </xf>
    <xf numFmtId="0" fontId="100" fillId="4" borderId="113" xfId="0" applyFont="1" applyFill="1" applyBorder="1" applyAlignment="1">
      <alignment horizontal="center" vertical="center" wrapText="1"/>
    </xf>
    <xf numFmtId="0" fontId="100" fillId="4" borderId="17" xfId="0" applyFont="1" applyFill="1" applyBorder="1" applyAlignment="1">
      <alignment horizontal="center" vertical="center" wrapText="1"/>
    </xf>
    <xf numFmtId="0" fontId="100" fillId="4" borderId="18" xfId="0" applyFont="1" applyFill="1" applyBorder="1" applyAlignment="1">
      <alignment horizontal="center" vertical="center" wrapText="1"/>
    </xf>
    <xf numFmtId="0" fontId="97" fillId="2" borderId="24" xfId="0" applyFont="1" applyFill="1" applyBorder="1" applyAlignment="1">
      <alignment horizontal="left" wrapText="1"/>
    </xf>
    <xf numFmtId="0" fontId="97" fillId="2" borderId="0" xfId="0" applyFont="1" applyFill="1" applyBorder="1" applyAlignment="1">
      <alignment horizontal="left" wrapText="1"/>
    </xf>
    <xf numFmtId="0" fontId="97" fillId="2" borderId="25" xfId="0" applyFont="1" applyFill="1" applyBorder="1" applyAlignment="1">
      <alignment horizontal="left" wrapText="1"/>
    </xf>
    <xf numFmtId="0" fontId="98" fillId="2" borderId="24" xfId="0" applyFont="1" applyFill="1" applyBorder="1" applyAlignment="1">
      <alignment horizontal="left" vertical="top" wrapText="1"/>
    </xf>
    <xf numFmtId="0" fontId="97" fillId="2" borderId="0" xfId="0" applyFont="1" applyFill="1" applyBorder="1" applyAlignment="1">
      <alignment horizontal="left" vertical="top" wrapText="1"/>
    </xf>
    <xf numFmtId="0" fontId="97" fillId="2" borderId="25" xfId="0" applyFont="1" applyFill="1" applyBorder="1" applyAlignment="1">
      <alignment horizontal="left" vertical="top" wrapText="1"/>
    </xf>
    <xf numFmtId="0" fontId="98" fillId="2" borderId="26" xfId="0" applyFont="1" applyFill="1" applyBorder="1" applyAlignment="1">
      <alignment horizontal="left" vertical="top" wrapText="1"/>
    </xf>
    <xf numFmtId="0" fontId="97" fillId="2" borderId="27" xfId="0" applyFont="1" applyFill="1" applyBorder="1" applyAlignment="1">
      <alignment horizontal="left" vertical="top" wrapText="1"/>
    </xf>
    <xf numFmtId="0" fontId="97" fillId="2" borderId="28" xfId="0" applyFont="1" applyFill="1" applyBorder="1" applyAlignment="1">
      <alignment horizontal="left" vertical="top" wrapText="1"/>
    </xf>
    <xf numFmtId="0" fontId="97" fillId="2" borderId="21" xfId="0" applyFont="1" applyFill="1" applyBorder="1" applyAlignment="1">
      <alignment horizontal="left" vertical="top" wrapText="1"/>
    </xf>
    <xf numFmtId="0" fontId="97" fillId="2" borderId="22" xfId="0" applyFont="1" applyFill="1" applyBorder="1" applyAlignment="1">
      <alignment horizontal="left" vertical="top" wrapText="1"/>
    </xf>
    <xf numFmtId="0" fontId="97" fillId="2" borderId="23" xfId="0" applyFont="1" applyFill="1" applyBorder="1" applyAlignment="1">
      <alignment horizontal="left" vertical="top" wrapText="1"/>
    </xf>
    <xf numFmtId="0" fontId="98" fillId="2" borderId="0" xfId="0" applyFont="1" applyFill="1" applyBorder="1" applyAlignment="1">
      <alignment horizontal="left" vertical="top" wrapText="1"/>
    </xf>
    <xf numFmtId="0" fontId="98" fillId="2" borderId="25" xfId="0" applyFont="1" applyFill="1" applyBorder="1" applyAlignment="1">
      <alignment horizontal="left" vertical="top" wrapText="1"/>
    </xf>
    <xf numFmtId="0" fontId="99" fillId="2" borderId="24" xfId="0" applyFont="1" applyFill="1" applyBorder="1" applyAlignment="1">
      <alignment horizontal="left" vertical="top" wrapText="1"/>
    </xf>
    <xf numFmtId="0" fontId="99" fillId="2" borderId="0" xfId="0" applyFont="1" applyFill="1" applyBorder="1" applyAlignment="1">
      <alignment horizontal="left" vertical="top" wrapText="1"/>
    </xf>
    <xf numFmtId="0" fontId="99" fillId="2" borderId="25" xfId="0" applyFont="1" applyFill="1" applyBorder="1" applyAlignment="1">
      <alignment horizontal="left" vertical="top" wrapText="1"/>
    </xf>
    <xf numFmtId="9" fontId="63" fillId="4" borderId="17" xfId="0" applyNumberFormat="1" applyFont="1" applyFill="1" applyBorder="1" applyAlignment="1">
      <alignment horizontal="center" vertical="center"/>
    </xf>
    <xf numFmtId="9" fontId="63" fillId="4" borderId="18" xfId="0" applyNumberFormat="1" applyFont="1" applyFill="1" applyBorder="1" applyAlignment="1">
      <alignment horizontal="center" vertical="center"/>
    </xf>
    <xf numFmtId="0" fontId="63" fillId="4" borderId="17" xfId="0" applyFont="1" applyFill="1" applyBorder="1" applyAlignment="1">
      <alignment horizontal="center" vertical="center"/>
    </xf>
    <xf numFmtId="0" fontId="63" fillId="4" borderId="18" xfId="0" applyFont="1" applyFill="1" applyBorder="1" applyAlignment="1">
      <alignment horizontal="center" vertical="center"/>
    </xf>
    <xf numFmtId="0" fontId="63" fillId="3" borderId="17" xfId="0" applyFont="1" applyFill="1" applyBorder="1" applyAlignment="1">
      <alignment horizontal="center" vertical="center" wrapText="1"/>
    </xf>
    <xf numFmtId="0" fontId="63" fillId="3" borderId="18" xfId="0" applyFont="1" applyFill="1" applyBorder="1" applyAlignment="1">
      <alignment horizontal="center" vertical="center" wrapText="1"/>
    </xf>
    <xf numFmtId="0" fontId="63" fillId="4" borderId="113" xfId="0" applyFont="1" applyFill="1" applyBorder="1" applyAlignment="1">
      <alignment horizontal="center" vertical="center"/>
    </xf>
    <xf numFmtId="0" fontId="101" fillId="4" borderId="17" xfId="0" applyFont="1" applyFill="1" applyBorder="1" applyAlignment="1">
      <alignment horizontal="center" vertical="center"/>
    </xf>
    <xf numFmtId="0" fontId="101" fillId="4" borderId="18" xfId="0" applyFont="1" applyFill="1" applyBorder="1" applyAlignment="1">
      <alignment horizontal="center" vertical="center"/>
    </xf>
    <xf numFmtId="0" fontId="100" fillId="3" borderId="17" xfId="0" applyFont="1" applyFill="1" applyBorder="1" applyAlignment="1">
      <alignment horizontal="center" vertical="center"/>
    </xf>
    <xf numFmtId="0" fontId="100" fillId="3" borderId="18" xfId="0" applyFont="1" applyFill="1" applyBorder="1" applyAlignment="1">
      <alignment horizontal="center" vertical="center"/>
    </xf>
    <xf numFmtId="0" fontId="100" fillId="2" borderId="113" xfId="0" applyFont="1" applyFill="1" applyBorder="1" applyAlignment="1">
      <alignment horizontal="center"/>
    </xf>
    <xf numFmtId="0" fontId="100" fillId="2" borderId="17" xfId="0" applyFont="1" applyFill="1" applyBorder="1" applyAlignment="1">
      <alignment horizontal="center"/>
    </xf>
    <xf numFmtId="0" fontId="100" fillId="2" borderId="18" xfId="0" applyFont="1" applyFill="1" applyBorder="1" applyAlignment="1">
      <alignment horizontal="center"/>
    </xf>
    <xf numFmtId="49" fontId="63" fillId="3" borderId="17" xfId="0" quotePrefix="1" applyNumberFormat="1" applyFont="1" applyFill="1" applyBorder="1" applyAlignment="1">
      <alignment horizontal="center" vertical="center"/>
    </xf>
    <xf numFmtId="49" fontId="63" fillId="3" borderId="17" xfId="0" applyNumberFormat="1" applyFont="1" applyFill="1" applyBorder="1" applyAlignment="1">
      <alignment horizontal="center" vertical="center"/>
    </xf>
    <xf numFmtId="49" fontId="63" fillId="3" borderId="18" xfId="0" applyNumberFormat="1" applyFont="1" applyFill="1" applyBorder="1" applyAlignment="1">
      <alignment horizontal="center" vertical="center"/>
    </xf>
    <xf numFmtId="0" fontId="63" fillId="0" borderId="113" xfId="0" applyFont="1" applyBorder="1" applyAlignment="1">
      <alignment horizontal="center"/>
    </xf>
    <xf numFmtId="0" fontId="63" fillId="0" borderId="17" xfId="0" applyFont="1" applyBorder="1" applyAlignment="1">
      <alignment horizontal="center"/>
    </xf>
    <xf numFmtId="0" fontId="63" fillId="0" borderId="18" xfId="0" applyFont="1" applyBorder="1" applyAlignment="1">
      <alignment horizontal="center"/>
    </xf>
    <xf numFmtId="0" fontId="63" fillId="0" borderId="113" xfId="0" applyFont="1" applyBorder="1" applyAlignment="1">
      <alignment horizontal="center" vertical="center" wrapText="1"/>
    </xf>
    <xf numFmtId="0" fontId="63" fillId="0" borderId="17" xfId="0" applyFont="1" applyBorder="1" applyAlignment="1">
      <alignment horizontal="center" vertical="center" wrapText="1"/>
    </xf>
    <xf numFmtId="0" fontId="63" fillId="0" borderId="18" xfId="0" applyFont="1" applyBorder="1" applyAlignment="1">
      <alignment horizontal="center" vertical="center" wrapText="1"/>
    </xf>
    <xf numFmtId="0" fontId="101" fillId="4" borderId="113" xfId="0" applyFont="1" applyFill="1" applyBorder="1" applyAlignment="1">
      <alignment horizontal="center" vertical="center"/>
    </xf>
    <xf numFmtId="0" fontId="7" fillId="3" borderId="69" xfId="0" applyFont="1" applyFill="1" applyBorder="1" applyAlignment="1">
      <alignment horizontal="center" vertical="center" wrapText="1"/>
    </xf>
    <xf numFmtId="0" fontId="7" fillId="3" borderId="59" xfId="0" applyFont="1" applyFill="1" applyBorder="1" applyAlignment="1">
      <alignment horizontal="center" vertical="center" wrapText="1"/>
    </xf>
    <xf numFmtId="9" fontId="7" fillId="10" borderId="45" xfId="0" applyNumberFormat="1" applyFont="1" applyFill="1" applyBorder="1" applyAlignment="1">
      <alignment horizontal="center" vertical="center"/>
    </xf>
    <xf numFmtId="9" fontId="7" fillId="10" borderId="46" xfId="0" applyNumberFormat="1" applyFont="1" applyFill="1" applyBorder="1" applyAlignment="1">
      <alignment horizontal="center" vertical="center"/>
    </xf>
    <xf numFmtId="9" fontId="7" fillId="10" borderId="47" xfId="0" applyNumberFormat="1" applyFont="1" applyFill="1" applyBorder="1" applyAlignment="1">
      <alignment horizontal="center" vertical="center"/>
    </xf>
    <xf numFmtId="0" fontId="59" fillId="10" borderId="58" xfId="0" applyFont="1" applyFill="1" applyBorder="1" applyAlignment="1">
      <alignment horizontal="left" vertical="top" wrapText="1"/>
    </xf>
    <xf numFmtId="0" fontId="59" fillId="10" borderId="46" xfId="0" applyFont="1" applyFill="1" applyBorder="1" applyAlignment="1">
      <alignment horizontal="left" vertical="top" wrapText="1"/>
    </xf>
    <xf numFmtId="0" fontId="59" fillId="10" borderId="47" xfId="0" applyFont="1" applyFill="1" applyBorder="1" applyAlignment="1">
      <alignment horizontal="left" vertical="top" wrapText="1"/>
    </xf>
    <xf numFmtId="0" fontId="9" fillId="3" borderId="21" xfId="0" applyFont="1" applyFill="1" applyBorder="1" applyAlignment="1">
      <alignment horizontal="center" vertical="center" wrapText="1"/>
    </xf>
    <xf numFmtId="0" fontId="9" fillId="3" borderId="22"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10" borderId="72" xfId="0" applyFont="1" applyFill="1" applyBorder="1" applyAlignment="1">
      <alignment horizontal="center" vertical="center"/>
    </xf>
    <xf numFmtId="0" fontId="9" fillId="10" borderId="15" xfId="0" applyFont="1" applyFill="1" applyBorder="1" applyAlignment="1">
      <alignment horizontal="center" vertical="center"/>
    </xf>
    <xf numFmtId="0" fontId="9" fillId="10" borderId="60" xfId="0" applyFont="1" applyFill="1" applyBorder="1" applyAlignment="1">
      <alignment horizontal="center" vertical="center"/>
    </xf>
    <xf numFmtId="0" fontId="94" fillId="10" borderId="58" xfId="0" applyFont="1" applyFill="1" applyBorder="1" applyAlignment="1" applyProtection="1">
      <alignment horizontal="left" vertical="top" wrapText="1"/>
      <protection locked="0"/>
    </xf>
    <xf numFmtId="0" fontId="94" fillId="10" borderId="46" xfId="0" applyFont="1" applyFill="1" applyBorder="1" applyAlignment="1" applyProtection="1">
      <alignment horizontal="left" vertical="top" wrapText="1"/>
      <protection locked="0"/>
    </xf>
    <xf numFmtId="0" fontId="94" fillId="10" borderId="47" xfId="0" applyFont="1" applyFill="1" applyBorder="1" applyAlignment="1" applyProtection="1">
      <alignment horizontal="left" vertical="top" wrapText="1"/>
      <protection locked="0"/>
    </xf>
    <xf numFmtId="0" fontId="7" fillId="3" borderId="80" xfId="0" applyFont="1" applyFill="1" applyBorder="1" applyAlignment="1">
      <alignment horizontal="center" vertical="center"/>
    </xf>
    <xf numFmtId="0" fontId="7" fillId="3" borderId="67" xfId="0" applyFont="1" applyFill="1" applyBorder="1" applyAlignment="1">
      <alignment horizontal="center" vertical="center"/>
    </xf>
    <xf numFmtId="0" fontId="7" fillId="3" borderId="68" xfId="0" applyFont="1" applyFill="1" applyBorder="1" applyAlignment="1">
      <alignment horizontal="center" vertical="center"/>
    </xf>
    <xf numFmtId="0" fontId="45" fillId="2" borderId="58" xfId="0" applyFont="1" applyFill="1" applyBorder="1" applyAlignment="1">
      <alignment horizontal="left" vertical="center"/>
    </xf>
    <xf numFmtId="0" fontId="45" fillId="2" borderId="46" xfId="0" applyFont="1" applyFill="1" applyBorder="1" applyAlignment="1">
      <alignment horizontal="left" vertical="center"/>
    </xf>
    <xf numFmtId="0" fontId="45" fillId="2" borderId="131" xfId="0" applyFont="1" applyFill="1" applyBorder="1" applyAlignment="1">
      <alignment horizontal="left" vertical="center"/>
    </xf>
    <xf numFmtId="49" fontId="24" fillId="3" borderId="2" xfId="0" applyNumberFormat="1" applyFont="1" applyFill="1" applyBorder="1" applyAlignment="1">
      <alignment horizontal="center" vertical="center"/>
    </xf>
    <xf numFmtId="49" fontId="24" fillId="3" borderId="3" xfId="0" applyNumberFormat="1" applyFont="1" applyFill="1" applyBorder="1" applyAlignment="1">
      <alignment horizontal="center" vertical="center"/>
    </xf>
    <xf numFmtId="49" fontId="24" fillId="3" borderId="132" xfId="0" applyNumberFormat="1" applyFont="1" applyFill="1" applyBorder="1" applyAlignment="1">
      <alignment horizontal="center" vertical="center"/>
    </xf>
    <xf numFmtId="0" fontId="28" fillId="0" borderId="2" xfId="0" applyFont="1" applyBorder="1" applyAlignment="1">
      <alignment horizontal="justify" vertical="center" wrapText="1"/>
    </xf>
    <xf numFmtId="0" fontId="26" fillId="0" borderId="3" xfId="0" applyFont="1" applyBorder="1" applyAlignment="1">
      <alignment vertical="center" wrapText="1"/>
    </xf>
    <xf numFmtId="0" fontId="26" fillId="0" borderId="132" xfId="0" applyFont="1" applyBorder="1" applyAlignment="1">
      <alignment vertical="center" wrapText="1"/>
    </xf>
    <xf numFmtId="0" fontId="24" fillId="2" borderId="132" xfId="0" applyFont="1" applyFill="1" applyBorder="1" applyAlignment="1">
      <alignment horizontal="center" vertical="center" wrapText="1"/>
    </xf>
    <xf numFmtId="0" fontId="28" fillId="3" borderId="2" xfId="0" applyFont="1" applyFill="1" applyBorder="1" applyAlignment="1">
      <alignment horizontal="center" vertical="center" wrapText="1"/>
    </xf>
    <xf numFmtId="0" fontId="28" fillId="3" borderId="3" xfId="0" applyFont="1" applyFill="1" applyBorder="1" applyAlignment="1">
      <alignment horizontal="center" vertical="center" wrapText="1"/>
    </xf>
    <xf numFmtId="0" fontId="28" fillId="3" borderId="132" xfId="0" applyFont="1" applyFill="1" applyBorder="1" applyAlignment="1">
      <alignment horizontal="center" vertical="center" wrapText="1"/>
    </xf>
    <xf numFmtId="0" fontId="45" fillId="0" borderId="45" xfId="0" applyFont="1" applyBorder="1" applyAlignment="1">
      <alignment horizontal="center" vertical="center" wrapText="1"/>
    </xf>
    <xf numFmtId="0" fontId="24" fillId="0" borderId="46" xfId="0" applyFont="1" applyBorder="1" applyAlignment="1">
      <alignment horizontal="center" vertical="center" wrapText="1"/>
    </xf>
    <xf numFmtId="0" fontId="24" fillId="0" borderId="131" xfId="0" applyFont="1" applyBorder="1" applyAlignment="1">
      <alignment horizontal="center" vertical="center" wrapText="1"/>
    </xf>
    <xf numFmtId="0" fontId="9" fillId="10" borderId="26" xfId="0" applyFont="1" applyFill="1" applyBorder="1" applyAlignment="1">
      <alignment horizontal="center" vertical="center"/>
    </xf>
    <xf numFmtId="0" fontId="9" fillId="10" borderId="27" xfId="0" applyFont="1" applyFill="1" applyBorder="1" applyAlignment="1">
      <alignment horizontal="center" vertical="center"/>
    </xf>
    <xf numFmtId="0" fontId="9" fillId="10" borderId="28" xfId="0" applyFont="1" applyFill="1" applyBorder="1" applyAlignment="1">
      <alignment horizontal="center" vertical="center"/>
    </xf>
    <xf numFmtId="0" fontId="18" fillId="10" borderId="58" xfId="0" applyFont="1" applyFill="1" applyBorder="1" applyAlignment="1" applyProtection="1">
      <alignment horizontal="left" vertical="top" wrapText="1"/>
      <protection locked="0"/>
    </xf>
    <xf numFmtId="0" fontId="18" fillId="10" borderId="46" xfId="0" applyFont="1" applyFill="1" applyBorder="1" applyAlignment="1" applyProtection="1">
      <alignment horizontal="left" vertical="top" wrapText="1"/>
      <protection locked="0"/>
    </xf>
    <xf numFmtId="0" fontId="18" fillId="10" borderId="47" xfId="0" applyFont="1" applyFill="1" applyBorder="1" applyAlignment="1" applyProtection="1">
      <alignment horizontal="left" vertical="top" wrapText="1"/>
      <protection locked="0"/>
    </xf>
    <xf numFmtId="0" fontId="7" fillId="3" borderId="60" xfId="0" applyFont="1" applyFill="1" applyBorder="1" applyAlignment="1">
      <alignment horizontal="center" vertical="center"/>
    </xf>
    <xf numFmtId="0" fontId="59" fillId="10" borderId="63" xfId="0" applyFont="1" applyFill="1" applyBorder="1" applyAlignment="1">
      <alignment horizontal="center" vertical="center" wrapText="1"/>
    </xf>
    <xf numFmtId="0" fontId="59" fillId="10" borderId="3" xfId="0" applyFont="1" applyFill="1" applyBorder="1" applyAlignment="1">
      <alignment horizontal="center" vertical="center" wrapText="1"/>
    </xf>
    <xf numFmtId="0" fontId="59" fillId="10" borderId="62" xfId="0" applyFont="1" applyFill="1" applyBorder="1" applyAlignment="1">
      <alignment horizontal="center" vertical="center" wrapText="1"/>
    </xf>
    <xf numFmtId="0" fontId="18" fillId="10" borderId="73" xfId="0" applyFont="1" applyFill="1" applyBorder="1" applyAlignment="1" applyProtection="1">
      <alignment horizontal="center" vertical="center" wrapText="1"/>
      <protection locked="0"/>
    </xf>
    <xf numFmtId="0" fontId="18" fillId="10" borderId="46" xfId="0" applyFont="1" applyFill="1" applyBorder="1" applyAlignment="1" applyProtection="1">
      <alignment horizontal="center" vertical="center" wrapText="1"/>
      <protection locked="0"/>
    </xf>
    <xf numFmtId="0" fontId="18" fillId="10" borderId="47" xfId="0" applyFont="1" applyFill="1" applyBorder="1" applyAlignment="1" applyProtection="1">
      <alignment horizontal="center" vertical="center" wrapText="1"/>
      <protection locked="0"/>
    </xf>
    <xf numFmtId="0" fontId="59" fillId="8" borderId="63" xfId="0" applyFont="1" applyFill="1" applyBorder="1" applyAlignment="1">
      <alignment horizontal="center" vertical="center" wrapText="1"/>
    </xf>
    <xf numFmtId="0" fontId="59" fillId="8" borderId="3" xfId="0" applyFont="1" applyFill="1" applyBorder="1" applyAlignment="1">
      <alignment horizontal="center" vertical="center" wrapText="1"/>
    </xf>
    <xf numFmtId="0" fontId="59" fillId="8" borderId="62" xfId="0" applyFont="1" applyFill="1" applyBorder="1" applyAlignment="1">
      <alignment horizontal="center" vertical="center" wrapText="1"/>
    </xf>
    <xf numFmtId="0" fontId="18" fillId="10" borderId="58" xfId="0" applyFont="1" applyFill="1" applyBorder="1" applyAlignment="1" applyProtection="1">
      <alignment horizontal="left" wrapText="1"/>
      <protection locked="0"/>
    </xf>
    <xf numFmtId="0" fontId="18" fillId="10" borderId="46" xfId="0" applyFont="1" applyFill="1" applyBorder="1" applyAlignment="1" applyProtection="1">
      <alignment horizontal="left" wrapText="1"/>
      <protection locked="0"/>
    </xf>
    <xf numFmtId="0" fontId="18" fillId="10" borderId="47" xfId="0" applyFont="1" applyFill="1" applyBorder="1" applyAlignment="1" applyProtection="1">
      <alignment horizontal="left" wrapText="1"/>
      <protection locked="0"/>
    </xf>
    <xf numFmtId="9" fontId="7" fillId="10" borderId="13" xfId="0" applyNumberFormat="1" applyFont="1" applyFill="1" applyBorder="1" applyAlignment="1">
      <alignment horizontal="center" vertical="center"/>
    </xf>
    <xf numFmtId="9" fontId="7" fillId="10" borderId="0" xfId="0" applyNumberFormat="1" applyFont="1" applyFill="1" applyBorder="1" applyAlignment="1">
      <alignment horizontal="center" vertical="center"/>
    </xf>
    <xf numFmtId="9" fontId="7" fillId="10" borderId="25" xfId="0" applyNumberFormat="1" applyFont="1" applyFill="1" applyBorder="1" applyAlignment="1">
      <alignment horizontal="center" vertical="center"/>
    </xf>
    <xf numFmtId="0" fontId="94" fillId="10" borderId="21" xfId="0" applyFont="1" applyFill="1" applyBorder="1" applyAlignment="1">
      <alignment horizontal="left" vertical="top" wrapText="1"/>
    </xf>
    <xf numFmtId="0" fontId="94" fillId="10" borderId="22" xfId="0" applyFont="1" applyFill="1" applyBorder="1" applyAlignment="1">
      <alignment horizontal="left" vertical="top" wrapText="1"/>
    </xf>
    <xf numFmtId="0" fontId="94" fillId="10" borderId="23" xfId="0" applyFont="1" applyFill="1" applyBorder="1" applyAlignment="1">
      <alignment horizontal="left" vertical="top" wrapText="1"/>
    </xf>
    <xf numFmtId="0" fontId="9" fillId="3" borderId="74" xfId="0" applyFont="1" applyFill="1" applyBorder="1" applyAlignment="1">
      <alignment horizontal="center" vertical="center" wrapText="1"/>
    </xf>
    <xf numFmtId="0" fontId="9" fillId="3" borderId="75" xfId="0" applyFont="1" applyFill="1" applyBorder="1" applyAlignment="1">
      <alignment horizontal="center" vertical="center" wrapText="1"/>
    </xf>
    <xf numFmtId="0" fontId="9" fillId="3" borderId="76" xfId="0" applyFont="1" applyFill="1" applyBorder="1" applyAlignment="1">
      <alignment horizontal="center" vertical="center" wrapText="1"/>
    </xf>
    <xf numFmtId="0" fontId="16" fillId="3" borderId="2" xfId="0" applyFont="1" applyFill="1" applyBorder="1" applyAlignment="1">
      <alignment horizontal="center" vertical="center"/>
    </xf>
    <xf numFmtId="0" fontId="16" fillId="3" borderId="3" xfId="0" applyFont="1" applyFill="1" applyBorder="1" applyAlignment="1">
      <alignment horizontal="center" vertical="center"/>
    </xf>
    <xf numFmtId="0" fontId="16" fillId="3" borderId="62" xfId="0" applyFont="1" applyFill="1" applyBorder="1" applyAlignment="1">
      <alignment horizontal="center" vertical="center"/>
    </xf>
    <xf numFmtId="0" fontId="17" fillId="10" borderId="2" xfId="0" applyFont="1" applyFill="1" applyBorder="1" applyAlignment="1">
      <alignment horizontal="center" vertical="center" wrapText="1"/>
    </xf>
    <xf numFmtId="0" fontId="17" fillId="10" borderId="3" xfId="0" applyFont="1" applyFill="1" applyBorder="1" applyAlignment="1">
      <alignment horizontal="center" vertical="center" wrapText="1"/>
    </xf>
    <xf numFmtId="0" fontId="17" fillId="10" borderId="62" xfId="0" applyFont="1" applyFill="1" applyBorder="1" applyAlignment="1">
      <alignment horizontal="center" vertical="center" wrapText="1"/>
    </xf>
    <xf numFmtId="0" fontId="7" fillId="3" borderId="62" xfId="0" applyFont="1" applyFill="1" applyBorder="1" applyAlignment="1">
      <alignment horizontal="center" vertical="center"/>
    </xf>
    <xf numFmtId="0" fontId="59" fillId="3" borderId="63" xfId="0" applyFont="1" applyFill="1" applyBorder="1" applyAlignment="1">
      <alignment horizontal="center" vertical="center" wrapText="1"/>
    </xf>
    <xf numFmtId="0" fontId="59" fillId="3" borderId="62" xfId="0" applyFont="1" applyFill="1" applyBorder="1" applyAlignment="1">
      <alignment horizontal="center" vertical="center" wrapText="1"/>
    </xf>
    <xf numFmtId="9" fontId="7" fillId="10" borderId="2" xfId="0" applyNumberFormat="1" applyFont="1" applyFill="1" applyBorder="1" applyAlignment="1">
      <alignment horizontal="center" vertical="center"/>
    </xf>
    <xf numFmtId="9" fontId="7" fillId="10" borderId="3" xfId="0" applyNumberFormat="1" applyFont="1" applyFill="1" applyBorder="1" applyAlignment="1">
      <alignment horizontal="center" vertical="center"/>
    </xf>
    <xf numFmtId="9" fontId="7" fillId="10" borderId="62" xfId="0" applyNumberFormat="1" applyFont="1" applyFill="1" applyBorder="1" applyAlignment="1">
      <alignment horizontal="center" vertical="center"/>
    </xf>
    <xf numFmtId="0" fontId="94" fillId="10" borderId="58" xfId="0" applyFont="1" applyFill="1" applyBorder="1" applyAlignment="1">
      <alignment horizontal="left" vertical="top" wrapText="1"/>
    </xf>
    <xf numFmtId="0" fontId="94" fillId="10" borderId="46" xfId="0" applyFont="1" applyFill="1" applyBorder="1" applyAlignment="1">
      <alignment horizontal="left" vertical="top" wrapText="1"/>
    </xf>
    <xf numFmtId="0" fontId="94" fillId="10" borderId="47" xfId="0" applyFont="1" applyFill="1" applyBorder="1" applyAlignment="1">
      <alignment horizontal="left" vertical="top" wrapText="1"/>
    </xf>
    <xf numFmtId="0" fontId="17" fillId="3" borderId="14" xfId="0" applyFont="1" applyFill="1" applyBorder="1" applyAlignment="1">
      <alignment horizontal="center" vertical="center"/>
    </xf>
    <xf numFmtId="0" fontId="17" fillId="3" borderId="15" xfId="0" applyFont="1" applyFill="1" applyBorder="1" applyAlignment="1">
      <alignment horizontal="center" vertical="center"/>
    </xf>
    <xf numFmtId="0" fontId="17" fillId="3" borderId="60" xfId="0" applyFont="1" applyFill="1" applyBorder="1" applyAlignment="1">
      <alignment horizontal="center" vertical="center"/>
    </xf>
    <xf numFmtId="0" fontId="59" fillId="10" borderId="58" xfId="0" applyFont="1" applyFill="1" applyBorder="1" applyAlignment="1">
      <alignment horizontal="center" vertical="center" wrapText="1"/>
    </xf>
    <xf numFmtId="0" fontId="59" fillId="10" borderId="46" xfId="0" applyFont="1" applyFill="1" applyBorder="1" applyAlignment="1">
      <alignment horizontal="center" vertical="center" wrapText="1"/>
    </xf>
    <xf numFmtId="0" fontId="59" fillId="10" borderId="47" xfId="0" applyFont="1" applyFill="1" applyBorder="1" applyAlignment="1">
      <alignment horizontal="center" vertical="center" wrapText="1"/>
    </xf>
    <xf numFmtId="0" fontId="7" fillId="10" borderId="53" xfId="0" applyFont="1" applyFill="1" applyBorder="1" applyAlignment="1">
      <alignment horizontal="center" vertical="center" wrapText="1"/>
    </xf>
    <xf numFmtId="0" fontId="7" fillId="10" borderId="54" xfId="0" applyFont="1" applyFill="1" applyBorder="1" applyAlignment="1">
      <alignment horizontal="center" vertical="center" wrapText="1"/>
    </xf>
    <xf numFmtId="0" fontId="17" fillId="3" borderId="2" xfId="0" applyFont="1" applyFill="1" applyBorder="1" applyAlignment="1">
      <alignment horizontal="center" vertical="center"/>
    </xf>
    <xf numFmtId="0" fontId="17" fillId="3" borderId="3" xfId="0" applyFont="1" applyFill="1" applyBorder="1" applyAlignment="1">
      <alignment horizontal="center" vertical="center"/>
    </xf>
    <xf numFmtId="0" fontId="17" fillId="3" borderId="62" xfId="0" applyFont="1" applyFill="1" applyBorder="1" applyAlignment="1">
      <alignment horizontal="center" vertical="center"/>
    </xf>
    <xf numFmtId="0" fontId="4" fillId="3" borderId="72"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60" xfId="0" applyFont="1" applyFill="1" applyBorder="1" applyAlignment="1">
      <alignment horizontal="center" vertical="center"/>
    </xf>
    <xf numFmtId="0" fontId="4" fillId="4" borderId="63" xfId="0" applyFont="1" applyFill="1" applyBorder="1" applyAlignment="1">
      <alignment horizontal="center" vertical="center"/>
    </xf>
    <xf numFmtId="0" fontId="4" fillId="4" borderId="62" xfId="0" applyFont="1" applyFill="1" applyBorder="1" applyAlignment="1">
      <alignment horizontal="center" vertical="center"/>
    </xf>
    <xf numFmtId="0" fontId="17" fillId="10" borderId="2" xfId="0" applyFont="1" applyFill="1" applyBorder="1" applyAlignment="1">
      <alignment horizontal="center" vertical="center"/>
    </xf>
    <xf numFmtId="0" fontId="17" fillId="10" borderId="3" xfId="0" applyFont="1" applyFill="1" applyBorder="1" applyAlignment="1">
      <alignment horizontal="center" vertical="center"/>
    </xf>
    <xf numFmtId="0" fontId="17" fillId="10" borderId="62" xfId="0" applyFont="1" applyFill="1" applyBorder="1" applyAlignment="1">
      <alignment horizontal="center" vertical="center"/>
    </xf>
    <xf numFmtId="0" fontId="94" fillId="10" borderId="21" xfId="0" applyFont="1" applyFill="1" applyBorder="1" applyAlignment="1" applyProtection="1">
      <alignment horizontal="left" vertical="top" wrapText="1"/>
      <protection locked="0"/>
    </xf>
    <xf numFmtId="0" fontId="94" fillId="10" borderId="22" xfId="0" applyFont="1" applyFill="1" applyBorder="1" applyAlignment="1" applyProtection="1">
      <alignment horizontal="left" vertical="top" wrapText="1"/>
      <protection locked="0"/>
    </xf>
    <xf numFmtId="0" fontId="94" fillId="10" borderId="23" xfId="0" applyFont="1" applyFill="1" applyBorder="1" applyAlignment="1" applyProtection="1">
      <alignment horizontal="left" vertical="top" wrapText="1"/>
      <protection locked="0"/>
    </xf>
    <xf numFmtId="0" fontId="94" fillId="10" borderId="58" xfId="0" applyFont="1" applyFill="1" applyBorder="1" applyAlignment="1">
      <alignment horizontal="left" vertical="center" wrapText="1"/>
    </xf>
    <xf numFmtId="0" fontId="94" fillId="10" borderId="46" xfId="0" applyFont="1" applyFill="1" applyBorder="1" applyAlignment="1">
      <alignment horizontal="left" vertical="center" wrapText="1"/>
    </xf>
    <xf numFmtId="0" fontId="94" fillId="10" borderId="47" xfId="0" applyFont="1" applyFill="1" applyBorder="1" applyAlignment="1">
      <alignment horizontal="left" vertical="center" wrapText="1"/>
    </xf>
    <xf numFmtId="0" fontId="94" fillId="10" borderId="58" xfId="0" applyFont="1" applyFill="1" applyBorder="1" applyAlignment="1" applyProtection="1">
      <alignment horizontal="left" vertical="center" wrapText="1"/>
      <protection locked="0"/>
    </xf>
    <xf numFmtId="0" fontId="12" fillId="10" borderId="46" xfId="0" applyFont="1" applyFill="1" applyBorder="1" applyAlignment="1">
      <alignment horizontal="left" vertical="center" wrapText="1"/>
    </xf>
    <xf numFmtId="0" fontId="12" fillId="10" borderId="46" xfId="0" applyFont="1" applyFill="1" applyBorder="1" applyAlignment="1">
      <alignment horizontal="left" vertical="center"/>
    </xf>
    <xf numFmtId="0" fontId="12" fillId="10" borderId="47" xfId="0" applyFont="1" applyFill="1" applyBorder="1" applyAlignment="1">
      <alignment horizontal="left" vertical="center"/>
    </xf>
    <xf numFmtId="0" fontId="59" fillId="4" borderId="63" xfId="0" applyFont="1" applyFill="1" applyBorder="1" applyAlignment="1">
      <alignment horizontal="center" vertical="center" wrapText="1"/>
    </xf>
    <xf numFmtId="0" fontId="59" fillId="4" borderId="62" xfId="0" applyFont="1" applyFill="1" applyBorder="1" applyAlignment="1">
      <alignment horizontal="center" vertical="center" wrapText="1"/>
    </xf>
    <xf numFmtId="0" fontId="94" fillId="10" borderId="26" xfId="0" applyFont="1" applyFill="1" applyBorder="1" applyAlignment="1">
      <alignment horizontal="left" vertical="top" wrapText="1"/>
    </xf>
    <xf numFmtId="0" fontId="94" fillId="10" borderId="27" xfId="0" applyFont="1" applyFill="1" applyBorder="1" applyAlignment="1">
      <alignment horizontal="left" vertical="top" wrapText="1"/>
    </xf>
    <xf numFmtId="0" fontId="94" fillId="10" borderId="28" xfId="0" applyFont="1" applyFill="1" applyBorder="1" applyAlignment="1">
      <alignment horizontal="left" vertical="top" wrapText="1"/>
    </xf>
    <xf numFmtId="0" fontId="16" fillId="4" borderId="26" xfId="0" applyFont="1" applyFill="1" applyBorder="1" applyAlignment="1">
      <alignment horizontal="center" vertical="center" wrapText="1"/>
    </xf>
    <xf numFmtId="0" fontId="105" fillId="0" borderId="27" xfId="0" applyFont="1" applyBorder="1" applyAlignment="1">
      <alignment horizontal="center" vertical="center" wrapText="1"/>
    </xf>
    <xf numFmtId="0" fontId="105" fillId="0" borderId="28" xfId="0" applyFont="1" applyBorder="1" applyAlignment="1">
      <alignment horizontal="center" vertical="center" wrapText="1"/>
    </xf>
    <xf numFmtId="0" fontId="94" fillId="0" borderId="58" xfId="0" applyFont="1" applyFill="1" applyBorder="1" applyAlignment="1" applyProtection="1">
      <alignment horizontal="left" vertical="center" wrapText="1"/>
      <protection locked="0"/>
    </xf>
    <xf numFmtId="0" fontId="94" fillId="0" borderId="46" xfId="0" applyFont="1" applyFill="1" applyBorder="1" applyAlignment="1" applyProtection="1">
      <alignment horizontal="left" vertical="center" wrapText="1"/>
      <protection locked="0"/>
    </xf>
    <xf numFmtId="0" fontId="94" fillId="0" borderId="47" xfId="0" applyFont="1" applyFill="1" applyBorder="1" applyAlignment="1" applyProtection="1">
      <alignment horizontal="left" vertical="center" wrapText="1"/>
      <protection locked="0"/>
    </xf>
    <xf numFmtId="0" fontId="9" fillId="3" borderId="58" xfId="0" applyFont="1" applyFill="1" applyBorder="1" applyAlignment="1">
      <alignment horizontal="center" vertical="center" wrapText="1"/>
    </xf>
    <xf numFmtId="0" fontId="9" fillId="3" borderId="46" xfId="0" applyFont="1" applyFill="1" applyBorder="1" applyAlignment="1">
      <alignment horizontal="center" vertical="center" wrapText="1"/>
    </xf>
    <xf numFmtId="0" fontId="9" fillId="3" borderId="47" xfId="0" applyFont="1" applyFill="1" applyBorder="1" applyAlignment="1">
      <alignment horizontal="center" vertical="center" wrapText="1"/>
    </xf>
    <xf numFmtId="0" fontId="9" fillId="10" borderId="58" xfId="0" applyFont="1" applyFill="1" applyBorder="1" applyAlignment="1">
      <alignment horizontal="center" vertical="center"/>
    </xf>
    <xf numFmtId="0" fontId="9" fillId="10" borderId="46" xfId="0" applyFont="1" applyFill="1" applyBorder="1" applyAlignment="1">
      <alignment horizontal="center" vertical="center"/>
    </xf>
    <xf numFmtId="0" fontId="9" fillId="10" borderId="47" xfId="0" applyFont="1" applyFill="1" applyBorder="1" applyAlignment="1">
      <alignment horizontal="center" vertical="center"/>
    </xf>
    <xf numFmtId="0" fontId="16" fillId="10" borderId="13" xfId="0" applyFont="1" applyFill="1" applyBorder="1" applyAlignment="1">
      <alignment horizontal="center" vertical="center"/>
    </xf>
    <xf numFmtId="0" fontId="16" fillId="10" borderId="0" xfId="0" applyFont="1" applyFill="1" applyBorder="1" applyAlignment="1">
      <alignment horizontal="center" vertical="center"/>
    </xf>
    <xf numFmtId="0" fontId="16" fillId="10" borderId="25" xfId="0" applyFont="1" applyFill="1" applyBorder="1" applyAlignment="1">
      <alignment horizontal="center" vertical="center"/>
    </xf>
    <xf numFmtId="49" fontId="94" fillId="10" borderId="58" xfId="0" applyNumberFormat="1" applyFont="1" applyFill="1" applyBorder="1" applyAlignment="1" applyProtection="1">
      <alignment horizontal="center" vertical="center" wrapText="1"/>
      <protection locked="0"/>
    </xf>
    <xf numFmtId="0" fontId="47" fillId="10" borderId="46" xfId="0" applyFont="1" applyFill="1" applyBorder="1" applyAlignment="1">
      <alignment horizontal="center" vertical="center" wrapText="1"/>
    </xf>
    <xf numFmtId="0" fontId="47" fillId="10" borderId="47" xfId="0" applyFont="1" applyFill="1" applyBorder="1" applyAlignment="1">
      <alignment horizontal="center" vertical="center" wrapText="1"/>
    </xf>
    <xf numFmtId="0" fontId="7" fillId="3" borderId="53" xfId="0" applyFont="1" applyFill="1" applyBorder="1" applyAlignment="1">
      <alignment horizontal="center" vertical="center" wrapText="1"/>
    </xf>
    <xf numFmtId="0" fontId="7" fillId="3" borderId="54" xfId="0" applyFont="1" applyFill="1" applyBorder="1" applyAlignment="1">
      <alignment horizontal="center" vertical="center" wrapText="1"/>
    </xf>
    <xf numFmtId="0" fontId="18" fillId="10" borderId="26" xfId="0" applyFont="1" applyFill="1" applyBorder="1" applyAlignment="1">
      <alignment vertical="center" wrapText="1"/>
    </xf>
    <xf numFmtId="0" fontId="8" fillId="10" borderId="27" xfId="0" applyFont="1" applyFill="1" applyBorder="1" applyAlignment="1">
      <alignment vertical="center" wrapText="1"/>
    </xf>
    <xf numFmtId="0" fontId="8" fillId="10" borderId="28" xfId="0" applyFont="1" applyFill="1" applyBorder="1" applyAlignment="1">
      <alignment vertical="center" wrapText="1"/>
    </xf>
    <xf numFmtId="0" fontId="16" fillId="10" borderId="11" xfId="0" applyFont="1" applyFill="1" applyBorder="1" applyAlignment="1">
      <alignment horizontal="justify" vertical="center" wrapText="1"/>
    </xf>
    <xf numFmtId="0" fontId="11" fillId="10" borderId="11" xfId="0" applyFont="1" applyFill="1" applyBorder="1" applyAlignment="1">
      <alignment vertical="center" wrapText="1"/>
    </xf>
    <xf numFmtId="0" fontId="11" fillId="10" borderId="65" xfId="0" applyFont="1" applyFill="1" applyBorder="1" applyAlignment="1">
      <alignment vertical="center" wrapText="1"/>
    </xf>
    <xf numFmtId="0" fontId="4" fillId="10" borderId="72" xfId="0" applyFont="1" applyFill="1" applyBorder="1" applyAlignment="1">
      <alignment horizontal="center" vertical="center"/>
    </xf>
    <xf numFmtId="0" fontId="4" fillId="10" borderId="15" xfId="0" applyFont="1" applyFill="1" applyBorder="1" applyAlignment="1">
      <alignment horizontal="center" vertical="center"/>
    </xf>
    <xf numFmtId="0" fontId="4" fillId="10" borderId="60" xfId="0" applyFont="1" applyFill="1" applyBorder="1" applyAlignment="1">
      <alignment horizontal="center" vertical="center"/>
    </xf>
    <xf numFmtId="49" fontId="94" fillId="0" borderId="46" xfId="0" applyNumberFormat="1" applyFont="1" applyFill="1" applyBorder="1" applyAlignment="1" applyProtection="1">
      <alignment vertical="top" wrapText="1"/>
      <protection locked="0"/>
    </xf>
    <xf numFmtId="49" fontId="94" fillId="0" borderId="47" xfId="0" applyNumberFormat="1" applyFont="1" applyFill="1" applyBorder="1" applyAlignment="1" applyProtection="1">
      <alignment vertical="top" wrapText="1"/>
      <protection locked="0"/>
    </xf>
    <xf numFmtId="0" fontId="18" fillId="3" borderId="129" xfId="0" applyFont="1" applyFill="1" applyBorder="1" applyAlignment="1" applyProtection="1">
      <alignment horizontal="left" vertical="top" wrapText="1"/>
      <protection locked="0"/>
    </xf>
    <xf numFmtId="0" fontId="8" fillId="3" borderId="22" xfId="0" applyFont="1" applyFill="1" applyBorder="1" applyAlignment="1">
      <alignment horizontal="left" vertical="top" wrapText="1"/>
    </xf>
    <xf numFmtId="0" fontId="8" fillId="3" borderId="23" xfId="0" applyFont="1" applyFill="1" applyBorder="1" applyAlignment="1">
      <alignment horizontal="left" vertical="top"/>
    </xf>
    <xf numFmtId="0" fontId="4" fillId="0" borderId="0" xfId="0" applyFont="1" applyAlignment="1">
      <alignment horizontal="center"/>
    </xf>
    <xf numFmtId="0" fontId="96" fillId="2" borderId="58" xfId="0" applyFont="1" applyFill="1" applyBorder="1" applyAlignment="1">
      <alignment horizontal="center"/>
    </xf>
    <xf numFmtId="0" fontId="96" fillId="2" borderId="46" xfId="0" applyFont="1" applyFill="1" applyBorder="1" applyAlignment="1">
      <alignment horizontal="center"/>
    </xf>
    <xf numFmtId="0" fontId="96" fillId="2" borderId="47" xfId="0" applyFont="1" applyFill="1" applyBorder="1" applyAlignment="1">
      <alignment horizontal="center"/>
    </xf>
    <xf numFmtId="0" fontId="96"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60" xfId="0" applyFont="1" applyBorder="1" applyAlignment="1">
      <alignment horizontal="center" vertical="center" wrapText="1"/>
    </xf>
    <xf numFmtId="49" fontId="4" fillId="3" borderId="2" xfId="0" applyNumberFormat="1" applyFont="1" applyFill="1" applyBorder="1" applyAlignment="1">
      <alignment horizontal="center" vertical="center"/>
    </xf>
    <xf numFmtId="49" fontId="4" fillId="3" borderId="3" xfId="0" applyNumberFormat="1" applyFont="1" applyFill="1" applyBorder="1" applyAlignment="1">
      <alignment horizontal="center" vertical="center"/>
    </xf>
    <xf numFmtId="49" fontId="4" fillId="3" borderId="62" xfId="0" applyNumberFormat="1" applyFont="1" applyFill="1" applyBorder="1" applyAlignment="1">
      <alignment horizontal="center" vertical="center"/>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62" xfId="0" applyFont="1" applyFill="1" applyBorder="1" applyAlignment="1">
      <alignment horizontal="center" vertical="center" wrapText="1"/>
    </xf>
    <xf numFmtId="0" fontId="4" fillId="8" borderId="63" xfId="0" applyFont="1" applyFill="1" applyBorder="1" applyAlignment="1">
      <alignment horizontal="center"/>
    </xf>
    <xf numFmtId="0" fontId="4" fillId="8" borderId="3" xfId="0" applyFont="1" applyFill="1" applyBorder="1" applyAlignment="1">
      <alignment horizontal="center"/>
    </xf>
    <xf numFmtId="0" fontId="4" fillId="8" borderId="62" xfId="0" applyFont="1" applyFill="1" applyBorder="1" applyAlignment="1">
      <alignment horizontal="center"/>
    </xf>
    <xf numFmtId="0" fontId="8" fillId="10" borderId="58" xfId="0" applyFont="1" applyFill="1" applyBorder="1" applyAlignment="1">
      <alignment vertical="center" wrapText="1"/>
    </xf>
    <xf numFmtId="0" fontId="8" fillId="10" borderId="46" xfId="0" applyFont="1" applyFill="1" applyBorder="1" applyAlignment="1">
      <alignment vertical="center" wrapText="1"/>
    </xf>
    <xf numFmtId="0" fontId="8" fillId="10" borderId="47" xfId="0" applyFont="1" applyFill="1" applyBorder="1" applyAlignment="1">
      <alignment vertical="center" wrapText="1"/>
    </xf>
    <xf numFmtId="0" fontId="6" fillId="0" borderId="66" xfId="0" applyFont="1" applyBorder="1" applyAlignment="1">
      <alignment horizontal="center" vertical="center" wrapText="1"/>
    </xf>
    <xf numFmtId="0" fontId="31" fillId="0" borderId="67" xfId="0" applyFont="1" applyBorder="1" applyAlignment="1">
      <alignment horizontal="center" vertical="center" wrapText="1"/>
    </xf>
    <xf numFmtId="0" fontId="31" fillId="0" borderId="68" xfId="0" applyFont="1" applyBorder="1" applyAlignment="1">
      <alignment horizontal="center" vertical="center" wrapText="1"/>
    </xf>
    <xf numFmtId="0" fontId="8" fillId="3" borderId="10" xfId="0" applyFont="1" applyFill="1" applyBorder="1" applyAlignment="1">
      <alignment horizontal="center" vertical="top" wrapText="1"/>
    </xf>
    <xf numFmtId="0" fontId="8" fillId="3" borderId="11" xfId="0" applyFont="1" applyFill="1" applyBorder="1" applyAlignment="1">
      <alignment horizontal="center" vertical="top" wrapText="1"/>
    </xf>
    <xf numFmtId="0" fontId="8" fillId="3" borderId="65" xfId="0" applyFont="1" applyFill="1" applyBorder="1" applyAlignment="1">
      <alignment horizontal="center" vertical="top" wrapText="1"/>
    </xf>
    <xf numFmtId="0" fontId="26" fillId="3" borderId="10" xfId="0" applyFont="1" applyFill="1" applyBorder="1" applyAlignment="1">
      <alignment horizontal="left" vertical="center" wrapText="1"/>
    </xf>
    <xf numFmtId="0" fontId="26" fillId="0" borderId="3" xfId="0" applyFont="1" applyFill="1" applyBorder="1" applyAlignment="1">
      <alignment horizontal="left" vertical="center" wrapText="1"/>
    </xf>
    <xf numFmtId="0" fontId="26" fillId="0" borderId="4" xfId="0" applyFont="1" applyFill="1" applyBorder="1" applyAlignment="1">
      <alignment horizontal="left" vertical="center" wrapText="1"/>
    </xf>
    <xf numFmtId="0" fontId="26" fillId="4" borderId="4" xfId="0" applyFont="1" applyFill="1" applyBorder="1" applyAlignment="1">
      <alignment horizontal="center" vertical="center"/>
    </xf>
    <xf numFmtId="9" fontId="26" fillId="4" borderId="2" xfId="0" applyNumberFormat="1" applyFont="1" applyFill="1" applyBorder="1" applyAlignment="1">
      <alignment horizontal="center" vertical="center"/>
    </xf>
    <xf numFmtId="9" fontId="26" fillId="4" borderId="3" xfId="0" applyNumberFormat="1" applyFont="1" applyFill="1" applyBorder="1" applyAlignment="1">
      <alignment horizontal="center" vertical="center"/>
    </xf>
    <xf numFmtId="9" fontId="26" fillId="4" borderId="4" xfId="0" applyNumberFormat="1" applyFont="1" applyFill="1" applyBorder="1" applyAlignment="1">
      <alignment horizontal="center" vertical="center"/>
    </xf>
    <xf numFmtId="0" fontId="24" fillId="4" borderId="4" xfId="0" applyFont="1" applyFill="1" applyBorder="1" applyAlignment="1">
      <alignment horizontal="center" vertical="center"/>
    </xf>
    <xf numFmtId="0" fontId="24" fillId="3" borderId="2"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4" xfId="0" applyFont="1" applyFill="1" applyBorder="1" applyAlignment="1">
      <alignment horizontal="center" vertical="center" wrapText="1"/>
    </xf>
    <xf numFmtId="0" fontId="45" fillId="4" borderId="2" xfId="0" applyFont="1" applyFill="1" applyBorder="1" applyAlignment="1">
      <alignment horizontal="center" vertical="center" wrapText="1"/>
    </xf>
    <xf numFmtId="0" fontId="45" fillId="4" borderId="3" xfId="0" applyFont="1" applyFill="1" applyBorder="1" applyAlignment="1">
      <alignment horizontal="center" vertical="center" wrapText="1"/>
    </xf>
    <xf numFmtId="0" fontId="45" fillId="4" borderId="4" xfId="0" applyFont="1" applyFill="1" applyBorder="1" applyAlignment="1">
      <alignment horizontal="center" vertical="center" wrapText="1"/>
    </xf>
    <xf numFmtId="0" fontId="26" fillId="3" borderId="1" xfId="0" applyFont="1" applyFill="1" applyBorder="1" applyAlignment="1">
      <alignment horizontal="center" vertical="center"/>
    </xf>
    <xf numFmtId="0" fontId="24" fillId="0" borderId="2" xfId="0" applyFont="1" applyBorder="1" applyAlignment="1">
      <alignment horizontal="center"/>
    </xf>
    <xf numFmtId="0" fontId="24" fillId="0" borderId="4" xfId="0" applyFont="1" applyBorder="1" applyAlignment="1">
      <alignment horizontal="center"/>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6" fillId="3" borderId="5" xfId="0" applyFont="1" applyFill="1" applyBorder="1" applyAlignment="1">
      <alignment vertical="center" wrapText="1"/>
    </xf>
    <xf numFmtId="0" fontId="26" fillId="3" borderId="9" xfId="0" applyFont="1" applyFill="1" applyBorder="1" applyAlignment="1">
      <alignment vertical="center" wrapText="1"/>
    </xf>
    <xf numFmtId="0" fontId="26" fillId="3" borderId="7" xfId="0" applyFont="1" applyFill="1" applyBorder="1" applyAlignment="1">
      <alignment vertical="center" wrapText="1"/>
    </xf>
    <xf numFmtId="0" fontId="4" fillId="19" borderId="2" xfId="0" applyFont="1" applyFill="1" applyBorder="1" applyAlignment="1">
      <alignment horizontal="center" vertical="center" wrapText="1"/>
    </xf>
    <xf numFmtId="0" fontId="4" fillId="19" borderId="3" xfId="0" applyFont="1" applyFill="1" applyBorder="1" applyAlignment="1">
      <alignment horizontal="center" vertical="center" wrapText="1"/>
    </xf>
    <xf numFmtId="0" fontId="4" fillId="19" borderId="4" xfId="0" applyFont="1" applyFill="1" applyBorder="1" applyAlignment="1">
      <alignment horizontal="center" vertical="center" wrapText="1"/>
    </xf>
    <xf numFmtId="9" fontId="7" fillId="19" borderId="2" xfId="0" applyNumberFormat="1" applyFont="1" applyFill="1" applyBorder="1" applyAlignment="1">
      <alignment horizontal="center" vertical="center" wrapText="1"/>
    </xf>
    <xf numFmtId="9" fontId="7" fillId="19" borderId="3" xfId="0" applyNumberFormat="1" applyFont="1" applyFill="1" applyBorder="1" applyAlignment="1">
      <alignment horizontal="center" vertical="center" wrapText="1"/>
    </xf>
    <xf numFmtId="9" fontId="7" fillId="19" borderId="4" xfId="0" applyNumberFormat="1" applyFont="1" applyFill="1" applyBorder="1" applyAlignment="1">
      <alignment horizontal="center" vertical="center" wrapText="1"/>
    </xf>
    <xf numFmtId="0" fontId="7" fillId="19" borderId="2" xfId="0" applyFont="1" applyFill="1" applyBorder="1" applyAlignment="1">
      <alignment horizontal="center" vertical="center" wrapText="1"/>
    </xf>
    <xf numFmtId="0" fontId="7" fillId="19" borderId="3" xfId="0" applyFont="1" applyFill="1" applyBorder="1" applyAlignment="1">
      <alignment horizontal="center" vertical="center" wrapText="1"/>
    </xf>
    <xf numFmtId="0" fontId="7" fillId="19" borderId="4" xfId="0" applyFont="1" applyFill="1" applyBorder="1" applyAlignment="1">
      <alignment horizontal="center" vertical="center" wrapText="1"/>
    </xf>
    <xf numFmtId="0" fontId="7" fillId="19" borderId="5" xfId="0" applyFont="1" applyFill="1" applyBorder="1" applyAlignment="1">
      <alignment horizontal="center" vertical="center" wrapText="1"/>
    </xf>
    <xf numFmtId="0" fontId="7" fillId="19" borderId="7" xfId="0" applyFont="1" applyFill="1" applyBorder="1" applyAlignment="1">
      <alignment horizontal="center" vertical="center" wrapText="1"/>
    </xf>
    <xf numFmtId="0" fontId="9" fillId="19" borderId="2" xfId="0" applyFont="1" applyFill="1" applyBorder="1" applyAlignment="1">
      <alignment horizontal="center" vertical="center" wrapText="1"/>
    </xf>
    <xf numFmtId="0" fontId="9" fillId="19" borderId="3" xfId="0" applyFont="1" applyFill="1" applyBorder="1" applyAlignment="1">
      <alignment horizontal="center" vertical="center" wrapText="1"/>
    </xf>
    <xf numFmtId="0" fontId="9" fillId="19" borderId="4" xfId="0" applyFont="1" applyFill="1" applyBorder="1" applyAlignment="1">
      <alignment horizontal="center" vertical="center" wrapText="1"/>
    </xf>
    <xf numFmtId="0" fontId="131" fillId="0" borderId="2" xfId="0" applyFont="1" applyBorder="1" applyAlignment="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4" fillId="3" borderId="4" xfId="0" applyFont="1" applyFill="1" applyBorder="1" applyAlignment="1">
      <alignment horizontal="center" vertical="center" wrapText="1"/>
    </xf>
    <xf numFmtId="0" fontId="105" fillId="2" borderId="24" xfId="0" applyFont="1" applyFill="1" applyBorder="1" applyAlignment="1">
      <alignment horizontal="left" wrapText="1"/>
    </xf>
    <xf numFmtId="0" fontId="105" fillId="2" borderId="0" xfId="0" applyFont="1" applyFill="1" applyBorder="1" applyAlignment="1">
      <alignment horizontal="left" wrapText="1"/>
    </xf>
    <xf numFmtId="0" fontId="105" fillId="2" borderId="25" xfId="0" applyFont="1" applyFill="1" applyBorder="1" applyAlignment="1">
      <alignment horizontal="left" wrapText="1"/>
    </xf>
    <xf numFmtId="0" fontId="127" fillId="2" borderId="26" xfId="0" applyFont="1" applyFill="1" applyBorder="1" applyAlignment="1">
      <alignment horizontal="left" vertical="top" wrapText="1"/>
    </xf>
    <xf numFmtId="0" fontId="105" fillId="2" borderId="27" xfId="0" applyFont="1" applyFill="1" applyBorder="1" applyAlignment="1">
      <alignment horizontal="left" vertical="top" wrapText="1"/>
    </xf>
    <xf numFmtId="0" fontId="105" fillId="2" borderId="28" xfId="0" applyFont="1" applyFill="1" applyBorder="1" applyAlignment="1">
      <alignment horizontal="left" vertical="top" wrapText="1"/>
    </xf>
    <xf numFmtId="0" fontId="128" fillId="2" borderId="24" xfId="0" applyFont="1" applyFill="1" applyBorder="1" applyAlignment="1">
      <alignment horizontal="left" vertical="top" wrapText="1"/>
    </xf>
    <xf numFmtId="0" fontId="127" fillId="2" borderId="0" xfId="0" applyFont="1" applyFill="1" applyBorder="1" applyAlignment="1">
      <alignment horizontal="left" vertical="top" wrapText="1"/>
    </xf>
    <xf numFmtId="0" fontId="127" fillId="2" borderId="25" xfId="0" applyFont="1" applyFill="1" applyBorder="1" applyAlignment="1">
      <alignment horizontal="left" vertical="top" wrapText="1"/>
    </xf>
    <xf numFmtId="0" fontId="105" fillId="2" borderId="21" xfId="0" applyFont="1" applyFill="1" applyBorder="1" applyAlignment="1">
      <alignment horizontal="left" vertical="top" wrapText="1"/>
    </xf>
    <xf numFmtId="0" fontId="105" fillId="2" borderId="22" xfId="0" applyFont="1" applyFill="1" applyBorder="1" applyAlignment="1">
      <alignment horizontal="left" vertical="top" wrapText="1"/>
    </xf>
    <xf numFmtId="0" fontId="105" fillId="2" borderId="23" xfId="0" applyFont="1" applyFill="1" applyBorder="1" applyAlignment="1">
      <alignment horizontal="left" vertical="top" wrapText="1"/>
    </xf>
    <xf numFmtId="0" fontId="127" fillId="2" borderId="24" xfId="0" applyFont="1" applyFill="1" applyBorder="1" applyAlignment="1">
      <alignment horizontal="left" vertical="top" wrapText="1"/>
    </xf>
    <xf numFmtId="0" fontId="105" fillId="2" borderId="0" xfId="0" applyFont="1" applyFill="1" applyBorder="1" applyAlignment="1">
      <alignment horizontal="left" vertical="top" wrapText="1"/>
    </xf>
    <xf numFmtId="0" fontId="105" fillId="2" borderId="25" xfId="0" applyFont="1" applyFill="1" applyBorder="1" applyAlignment="1">
      <alignment horizontal="left" vertical="top" wrapText="1"/>
    </xf>
    <xf numFmtId="0" fontId="6" fillId="19" borderId="2" xfId="0" applyFont="1" applyFill="1" applyBorder="1" applyAlignment="1">
      <alignment horizontal="center" vertical="center" wrapText="1"/>
    </xf>
    <xf numFmtId="0" fontId="6" fillId="19" borderId="3" xfId="0" applyFont="1" applyFill="1" applyBorder="1" applyAlignment="1">
      <alignment horizontal="center" vertical="center" wrapText="1"/>
    </xf>
    <xf numFmtId="0" fontId="6" fillId="19" borderId="4" xfId="0" applyFont="1" applyFill="1" applyBorder="1" applyAlignment="1">
      <alignment horizontal="center" vertical="center" wrapText="1"/>
    </xf>
    <xf numFmtId="0" fontId="15" fillId="19" borderId="2" xfId="0" applyFont="1" applyFill="1" applyBorder="1" applyAlignment="1">
      <alignment horizontal="center" vertical="center" wrapText="1"/>
    </xf>
    <xf numFmtId="0" fontId="15" fillId="19" borderId="3" xfId="0" applyFont="1" applyFill="1" applyBorder="1" applyAlignment="1">
      <alignment horizontal="center" vertical="center" wrapText="1"/>
    </xf>
    <xf numFmtId="0" fontId="15" fillId="19" borderId="4"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9" fontId="7" fillId="4" borderId="2" xfId="0" applyNumberFormat="1" applyFont="1" applyFill="1" applyBorder="1" applyAlignment="1">
      <alignment horizontal="center" vertical="center" wrapText="1"/>
    </xf>
    <xf numFmtId="9" fontId="7" fillId="4" borderId="3" xfId="0" applyNumberFormat="1" applyFont="1" applyFill="1" applyBorder="1" applyAlignment="1">
      <alignment horizontal="center" vertical="center" wrapText="1"/>
    </xf>
    <xf numFmtId="9" fontId="7" fillId="4" borderId="4" xfId="0" applyNumberFormat="1" applyFont="1" applyFill="1" applyBorder="1" applyAlignment="1">
      <alignment horizontal="center" vertical="center" wrapText="1"/>
    </xf>
    <xf numFmtId="0" fontId="7" fillId="11" borderId="2" xfId="0" applyFont="1" applyFill="1" applyBorder="1" applyAlignment="1">
      <alignment horizontal="center" vertical="center" wrapText="1"/>
    </xf>
    <xf numFmtId="0" fontId="7" fillId="11" borderId="3" xfId="0" applyFont="1" applyFill="1" applyBorder="1" applyAlignment="1">
      <alignment horizontal="center" vertical="center" wrapText="1"/>
    </xf>
    <xf numFmtId="0" fontId="7" fillId="11" borderId="4" xfId="0" applyFont="1" applyFill="1" applyBorder="1" applyAlignment="1">
      <alignment horizontal="center" vertical="center" wrapText="1"/>
    </xf>
    <xf numFmtId="0" fontId="91" fillId="0" borderId="2" xfId="0" applyFont="1" applyFill="1" applyBorder="1" applyAlignment="1">
      <alignment horizontal="center" vertical="center"/>
    </xf>
    <xf numFmtId="0" fontId="91" fillId="0" borderId="3" xfId="0" applyFont="1" applyFill="1" applyBorder="1" applyAlignment="1">
      <alignment horizontal="center" vertical="center"/>
    </xf>
    <xf numFmtId="0" fontId="91" fillId="0" borderId="4" xfId="0" applyFont="1" applyFill="1" applyBorder="1" applyAlignment="1">
      <alignment horizontal="center" vertical="center"/>
    </xf>
    <xf numFmtId="0" fontId="91" fillId="0" borderId="2" xfId="0" applyFont="1" applyFill="1" applyBorder="1" applyAlignment="1">
      <alignment horizontal="left" vertical="center" wrapText="1"/>
    </xf>
    <xf numFmtId="0" fontId="55" fillId="0" borderId="3" xfId="0" applyFont="1" applyFill="1" applyBorder="1" applyAlignment="1">
      <alignment horizontal="left" vertical="center" wrapText="1"/>
    </xf>
    <xf numFmtId="0" fontId="55" fillId="0" borderId="4" xfId="0" applyFont="1" applyFill="1" applyBorder="1" applyAlignment="1">
      <alignment horizontal="left" vertical="center" wrapText="1"/>
    </xf>
    <xf numFmtId="0" fontId="91" fillId="0" borderId="2" xfId="0" applyFont="1" applyFill="1" applyBorder="1" applyAlignment="1">
      <alignment horizontal="center" vertical="center" wrapText="1"/>
    </xf>
    <xf numFmtId="0" fontId="91" fillId="0" borderId="3" xfId="0" applyFont="1" applyFill="1" applyBorder="1" applyAlignment="1">
      <alignment horizontal="left" vertical="center" wrapText="1"/>
    </xf>
    <xf numFmtId="0" fontId="91" fillId="0" borderId="4" xfId="0" applyFont="1" applyFill="1" applyBorder="1" applyAlignment="1">
      <alignment horizontal="left" vertical="center" wrapText="1"/>
    </xf>
    <xf numFmtId="0" fontId="95" fillId="0" borderId="1" xfId="0" applyFont="1" applyFill="1" applyBorder="1" applyAlignment="1">
      <alignment horizontal="center" vertical="center" wrapText="1"/>
    </xf>
    <xf numFmtId="49" fontId="95" fillId="0" borderId="2" xfId="0" applyNumberFormat="1" applyFont="1" applyFill="1" applyBorder="1" applyAlignment="1">
      <alignment horizontal="center" vertical="center" wrapText="1"/>
    </xf>
    <xf numFmtId="49" fontId="95" fillId="0" borderId="3" xfId="0" applyNumberFormat="1" applyFont="1" applyFill="1" applyBorder="1" applyAlignment="1">
      <alignment horizontal="center" vertical="center" wrapText="1"/>
    </xf>
    <xf numFmtId="49" fontId="95" fillId="0" borderId="4" xfId="0" applyNumberFormat="1" applyFont="1" applyFill="1" applyBorder="1" applyAlignment="1">
      <alignment horizontal="center" vertic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18" fillId="0" borderId="2"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8" xfId="0" applyFont="1" applyBorder="1" applyAlignment="1">
      <alignment horizontal="center" vertical="center" wrapText="1"/>
    </xf>
    <xf numFmtId="0" fontId="4" fillId="2" borderId="2" xfId="0" applyFont="1" applyFill="1" applyBorder="1" applyAlignment="1">
      <alignment horizontal="center" vertical="center" wrapText="1"/>
    </xf>
    <xf numFmtId="49" fontId="4" fillId="3" borderId="4" xfId="0" applyNumberFormat="1" applyFont="1" applyFill="1" applyBorder="1" applyAlignment="1">
      <alignment horizontal="center" vertical="center"/>
    </xf>
    <xf numFmtId="9" fontId="9" fillId="4" borderId="2" xfId="0" applyNumberFormat="1" applyFont="1" applyFill="1" applyBorder="1" applyAlignment="1">
      <alignment horizontal="center" vertical="center"/>
    </xf>
    <xf numFmtId="0" fontId="4"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4" fillId="4" borderId="8" xfId="0" applyFont="1" applyFill="1" applyBorder="1" applyAlignment="1">
      <alignment horizontal="center" vertical="center"/>
    </xf>
    <xf numFmtId="0" fontId="2" fillId="0" borderId="3" xfId="0" applyFont="1" applyBorder="1" applyAlignment="1">
      <alignment wrapText="1"/>
    </xf>
    <xf numFmtId="0" fontId="2" fillId="0" borderId="4" xfId="0" applyFont="1" applyBorder="1" applyAlignment="1">
      <alignment wrapText="1"/>
    </xf>
    <xf numFmtId="0" fontId="59" fillId="3" borderId="2" xfId="0" applyFont="1" applyFill="1" applyBorder="1" applyAlignment="1">
      <alignment horizontal="center" vertical="center"/>
    </xf>
    <xf numFmtId="0" fontId="59" fillId="3" borderId="3" xfId="0" applyFont="1" applyFill="1" applyBorder="1" applyAlignment="1">
      <alignment horizontal="center" vertical="center"/>
    </xf>
    <xf numFmtId="0" fontId="59" fillId="3" borderId="4" xfId="0" applyFont="1" applyFill="1" applyBorder="1" applyAlignment="1">
      <alignment horizontal="center" vertical="center"/>
    </xf>
    <xf numFmtId="0" fontId="8" fillId="4" borderId="2" xfId="0" applyFont="1" applyFill="1" applyBorder="1" applyAlignment="1">
      <alignment horizontal="left" vertical="center" wrapText="1"/>
    </xf>
    <xf numFmtId="0" fontId="8" fillId="4" borderId="3" xfId="0" applyFont="1" applyFill="1" applyBorder="1" applyAlignment="1">
      <alignment horizontal="left" vertical="center" wrapText="1"/>
    </xf>
    <xf numFmtId="0" fontId="8" fillId="4" borderId="4" xfId="0" applyFont="1" applyFill="1" applyBorder="1" applyAlignment="1">
      <alignment horizontal="left" vertical="center" wrapText="1"/>
    </xf>
    <xf numFmtId="0" fontId="6" fillId="4" borderId="10" xfId="0" applyFont="1" applyFill="1" applyBorder="1" applyAlignment="1">
      <alignment horizontal="left" vertical="center" wrapText="1"/>
    </xf>
    <xf numFmtId="0" fontId="6" fillId="4" borderId="11" xfId="0" applyFont="1" applyFill="1" applyBorder="1" applyAlignment="1">
      <alignment horizontal="left" vertical="center" wrapText="1"/>
    </xf>
    <xf numFmtId="0" fontId="6" fillId="4" borderId="12" xfId="0" applyFont="1" applyFill="1" applyBorder="1" applyAlignment="1">
      <alignment horizontal="left" vertical="center" wrapText="1"/>
    </xf>
    <xf numFmtId="0" fontId="7" fillId="3" borderId="58" xfId="0" applyFont="1" applyFill="1" applyBorder="1" applyAlignment="1">
      <alignment horizontal="center" vertical="center" wrapText="1"/>
    </xf>
    <xf numFmtId="0" fontId="7" fillId="3" borderId="46" xfId="0" applyFont="1" applyFill="1" applyBorder="1" applyAlignment="1">
      <alignment horizontal="center" vertical="center" wrapText="1"/>
    </xf>
    <xf numFmtId="0" fontId="7" fillId="3" borderId="47" xfId="0" applyFont="1" applyFill="1" applyBorder="1" applyAlignment="1">
      <alignment horizontal="center" vertical="center" wrapText="1"/>
    </xf>
    <xf numFmtId="0" fontId="4" fillId="3" borderId="1" xfId="0" applyFont="1" applyFill="1" applyBorder="1" applyAlignment="1">
      <alignment horizontal="center"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9" fillId="3" borderId="5"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132" fillId="2" borderId="2" xfId="0" applyFont="1" applyFill="1" applyBorder="1" applyAlignment="1">
      <alignment horizontal="center" vertical="center"/>
    </xf>
    <xf numFmtId="49" fontId="132" fillId="3" borderId="2" xfId="0" applyNumberFormat="1" applyFont="1" applyFill="1" applyBorder="1" applyAlignment="1">
      <alignment horizontal="center" vertical="center"/>
    </xf>
    <xf numFmtId="49" fontId="132" fillId="3" borderId="3" xfId="0" applyNumberFormat="1" applyFont="1" applyFill="1" applyBorder="1" applyAlignment="1">
      <alignment horizontal="center" vertical="center"/>
    </xf>
    <xf numFmtId="49" fontId="132" fillId="3" borderId="4" xfId="0" applyNumberFormat="1" applyFont="1" applyFill="1" applyBorder="1" applyAlignment="1">
      <alignment horizontal="center" vertical="center"/>
    </xf>
    <xf numFmtId="0" fontId="31" fillId="3" borderId="2" xfId="0" applyFont="1" applyFill="1" applyBorder="1" applyAlignment="1">
      <alignment horizontal="left" vertical="center" wrapText="1"/>
    </xf>
    <xf numFmtId="0" fontId="31" fillId="3" borderId="3" xfId="0" applyFont="1" applyFill="1" applyBorder="1" applyAlignment="1">
      <alignment horizontal="left" vertical="center" wrapText="1"/>
    </xf>
    <xf numFmtId="0" fontId="31" fillId="3" borderId="4" xfId="0" applyFont="1" applyFill="1" applyBorder="1" applyAlignment="1">
      <alignment horizontal="left" vertical="center" wrapText="1"/>
    </xf>
    <xf numFmtId="0" fontId="132" fillId="3" borderId="2" xfId="0" applyFont="1" applyFill="1" applyBorder="1" applyAlignment="1">
      <alignment horizontal="left" vertical="center" wrapText="1"/>
    </xf>
    <xf numFmtId="0" fontId="7" fillId="3" borderId="66" xfId="0" applyFont="1" applyFill="1" applyBorder="1" applyAlignment="1">
      <alignment horizontal="left" vertical="center" wrapText="1"/>
    </xf>
    <xf numFmtId="0" fontId="7" fillId="3" borderId="67" xfId="0" applyFont="1" applyFill="1" applyBorder="1" applyAlignment="1">
      <alignment horizontal="left" vertical="center" wrapText="1"/>
    </xf>
    <xf numFmtId="0" fontId="7" fillId="3" borderId="68"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51" fillId="4" borderId="2" xfId="0" applyFont="1" applyFill="1" applyBorder="1" applyAlignment="1">
      <alignment horizontal="center" vertical="center"/>
    </xf>
    <xf numFmtId="0" fontId="51" fillId="4" borderId="3" xfId="0" applyFont="1" applyFill="1" applyBorder="1" applyAlignment="1">
      <alignment horizontal="center" vertical="center"/>
    </xf>
    <xf numFmtId="0" fontId="51" fillId="4" borderId="4"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54" fillId="4" borderId="2" xfId="0" applyFont="1" applyFill="1" applyBorder="1" applyAlignment="1">
      <alignment horizontal="center" vertical="center"/>
    </xf>
    <xf numFmtId="0" fontId="54" fillId="4" borderId="3" xfId="0" applyFont="1" applyFill="1" applyBorder="1" applyAlignment="1">
      <alignment horizontal="center" vertical="center"/>
    </xf>
    <xf numFmtId="0" fontId="54" fillId="4" borderId="4" xfId="0" applyFont="1" applyFill="1" applyBorder="1" applyAlignment="1">
      <alignment horizontal="center" vertical="center"/>
    </xf>
    <xf numFmtId="0" fontId="55" fillId="4" borderId="2" xfId="0" applyFont="1" applyFill="1" applyBorder="1" applyAlignment="1">
      <alignment horizontal="center" vertical="center"/>
    </xf>
    <xf numFmtId="0" fontId="55" fillId="4" borderId="3" xfId="0" applyFont="1" applyFill="1" applyBorder="1" applyAlignment="1">
      <alignment horizontal="center" vertical="center"/>
    </xf>
    <xf numFmtId="0" fontId="55" fillId="4" borderId="4" xfId="0" applyFont="1" applyFill="1" applyBorder="1" applyAlignment="1">
      <alignment horizontal="center" vertical="center"/>
    </xf>
    <xf numFmtId="9" fontId="55" fillId="4" borderId="2" xfId="0" applyNumberFormat="1" applyFont="1" applyFill="1" applyBorder="1" applyAlignment="1">
      <alignment horizontal="center" vertical="center"/>
    </xf>
    <xf numFmtId="9" fontId="55" fillId="4" borderId="3" xfId="0" applyNumberFormat="1" applyFont="1" applyFill="1" applyBorder="1" applyAlignment="1">
      <alignment horizontal="center" vertical="center"/>
    </xf>
    <xf numFmtId="9" fontId="55" fillId="4" borderId="4" xfId="0" applyNumberFormat="1" applyFont="1" applyFill="1" applyBorder="1" applyAlignment="1">
      <alignment horizontal="center" vertical="center"/>
    </xf>
    <xf numFmtId="0" fontId="114" fillId="2" borderId="2" xfId="0" applyFont="1" applyFill="1" applyBorder="1" applyAlignment="1">
      <alignment horizontal="center" vertical="center" wrapText="1"/>
    </xf>
    <xf numFmtId="0" fontId="114" fillId="2" borderId="3" xfId="0" applyFont="1" applyFill="1" applyBorder="1" applyAlignment="1">
      <alignment horizontal="center" vertical="center" wrapText="1"/>
    </xf>
    <xf numFmtId="0" fontId="114" fillId="2" borderId="4" xfId="0" applyFont="1" applyFill="1" applyBorder="1" applyAlignment="1">
      <alignment horizontal="center" vertical="center" wrapText="1"/>
    </xf>
    <xf numFmtId="49" fontId="114" fillId="3" borderId="2" xfId="0" applyNumberFormat="1" applyFont="1" applyFill="1" applyBorder="1" applyAlignment="1">
      <alignment horizontal="center" vertical="center"/>
    </xf>
    <xf numFmtId="49" fontId="114" fillId="3" borderId="3" xfId="0" applyNumberFormat="1" applyFont="1" applyFill="1" applyBorder="1" applyAlignment="1">
      <alignment horizontal="center" vertical="center"/>
    </xf>
    <xf numFmtId="49" fontId="114" fillId="3" borderId="4" xfId="0" applyNumberFormat="1" applyFont="1" applyFill="1" applyBorder="1" applyAlignment="1">
      <alignment horizontal="center" vertical="center"/>
    </xf>
    <xf numFmtId="0" fontId="114" fillId="3" borderId="2" xfId="0" applyFont="1" applyFill="1" applyBorder="1" applyAlignment="1">
      <alignment horizontal="center" vertical="center" wrapText="1"/>
    </xf>
    <xf numFmtId="0" fontId="114" fillId="3" borderId="3" xfId="0" applyFont="1" applyFill="1" applyBorder="1" applyAlignment="1">
      <alignment horizontal="center" vertical="center" wrapText="1"/>
    </xf>
    <xf numFmtId="0" fontId="114" fillId="3" borderId="4" xfId="0" applyFont="1" applyFill="1" applyBorder="1" applyAlignment="1">
      <alignment horizontal="center" vertical="center" wrapText="1"/>
    </xf>
    <xf numFmtId="0" fontId="115" fillId="2" borderId="3" xfId="0" applyFont="1" applyFill="1" applyBorder="1" applyAlignment="1">
      <alignment horizontal="center" vertical="center" wrapText="1"/>
    </xf>
    <xf numFmtId="0" fontId="115" fillId="2" borderId="4" xfId="0" applyFont="1" applyFill="1" applyBorder="1" applyAlignment="1">
      <alignment horizontal="center" vertical="center" wrapText="1"/>
    </xf>
    <xf numFmtId="9" fontId="7" fillId="4" borderId="2" xfId="0" applyNumberFormat="1" applyFont="1" applyFill="1" applyBorder="1" applyAlignment="1">
      <alignment horizontal="left" vertical="center" wrapText="1"/>
    </xf>
    <xf numFmtId="9" fontId="7" fillId="4" borderId="3" xfId="0" applyNumberFormat="1" applyFont="1" applyFill="1" applyBorder="1" applyAlignment="1">
      <alignment horizontal="left" vertical="center" wrapText="1"/>
    </xf>
    <xf numFmtId="9" fontId="7" fillId="4" borderId="4" xfId="0" applyNumberFormat="1" applyFont="1" applyFill="1" applyBorder="1" applyAlignment="1">
      <alignment horizontal="left" vertical="center" wrapText="1"/>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55" fillId="4" borderId="2" xfId="0" applyFont="1" applyFill="1" applyBorder="1" applyAlignment="1">
      <alignment horizontal="left" vertical="center" wrapText="1"/>
    </xf>
    <xf numFmtId="0" fontId="55" fillId="4" borderId="3" xfId="0" applyFont="1" applyFill="1" applyBorder="1" applyAlignment="1">
      <alignment horizontal="left" vertical="center" wrapText="1"/>
    </xf>
    <xf numFmtId="0" fontId="55" fillId="4" borderId="4" xfId="0" applyFont="1" applyFill="1" applyBorder="1" applyAlignment="1">
      <alignment horizontal="left" vertical="center" wrapText="1"/>
    </xf>
    <xf numFmtId="0" fontId="55" fillId="0" borderId="2" xfId="0" applyFont="1" applyFill="1" applyBorder="1" applyAlignment="1">
      <alignment horizontal="left" vertical="center" wrapText="1"/>
    </xf>
    <xf numFmtId="0" fontId="55" fillId="4" borderId="2" xfId="0" applyFont="1" applyFill="1" applyBorder="1" applyAlignment="1">
      <alignment horizontal="center" vertical="center" wrapText="1"/>
    </xf>
    <xf numFmtId="0" fontId="55" fillId="4" borderId="3" xfId="0" applyFont="1" applyFill="1" applyBorder="1" applyAlignment="1">
      <alignment horizontal="center" vertical="center" wrapText="1"/>
    </xf>
    <xf numFmtId="0" fontId="55" fillId="4" borderId="4" xfId="0" applyFont="1" applyFill="1" applyBorder="1" applyAlignment="1">
      <alignment horizontal="center" vertical="center" wrapText="1"/>
    </xf>
    <xf numFmtId="0" fontId="55" fillId="0" borderId="3" xfId="0" applyFont="1" applyFill="1" applyBorder="1" applyAlignment="1">
      <alignment horizontal="center" vertical="center" wrapText="1"/>
    </xf>
    <xf numFmtId="0" fontId="55" fillId="0" borderId="4"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xf>
    <xf numFmtId="0" fontId="7" fillId="0" borderId="4" xfId="0" applyFont="1" applyFill="1" applyBorder="1" applyAlignment="1">
      <alignment horizontal="left" vertical="center"/>
    </xf>
    <xf numFmtId="0" fontId="55" fillId="0" borderId="2" xfId="0" applyFont="1" applyFill="1" applyBorder="1" applyAlignment="1">
      <alignment horizontal="left" vertical="top" wrapText="1"/>
    </xf>
    <xf numFmtId="0" fontId="55" fillId="0" borderId="3" xfId="0" applyFont="1" applyFill="1" applyBorder="1" applyAlignment="1">
      <alignment horizontal="left" vertical="top" wrapText="1"/>
    </xf>
    <xf numFmtId="0" fontId="55" fillId="0" borderId="4" xfId="0" applyFont="1" applyFill="1" applyBorder="1" applyAlignment="1">
      <alignment horizontal="left" vertical="top" wrapText="1"/>
    </xf>
    <xf numFmtId="0" fontId="2" fillId="0" borderId="0" xfId="0" applyFont="1" applyFill="1" applyAlignment="1">
      <alignment horizontal="center"/>
    </xf>
    <xf numFmtId="0" fontId="3" fillId="0" borderId="0" xfId="0" applyFont="1" applyFill="1" applyAlignment="1">
      <alignment horizontal="center"/>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5" fillId="4" borderId="3" xfId="0" applyFont="1" applyFill="1" applyBorder="1" applyAlignment="1">
      <alignment horizontal="left" vertical="center"/>
    </xf>
    <xf numFmtId="0" fontId="5" fillId="4" borderId="4" xfId="0" applyFont="1" applyFill="1" applyBorder="1" applyAlignment="1">
      <alignment horizontal="left" vertical="center"/>
    </xf>
    <xf numFmtId="0" fontId="7" fillId="4" borderId="11" xfId="0" applyFont="1" applyFill="1" applyBorder="1" applyAlignment="1">
      <alignment horizontal="center" vertical="center" wrapText="1"/>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21" borderId="2" xfId="0" applyFont="1" applyFill="1" applyBorder="1" applyAlignment="1">
      <alignment horizontal="center" vertical="center"/>
    </xf>
    <xf numFmtId="0" fontId="7" fillId="21" borderId="3" xfId="0" applyFont="1" applyFill="1" applyBorder="1" applyAlignment="1">
      <alignment horizontal="center" vertical="center"/>
    </xf>
    <xf numFmtId="0" fontId="7" fillId="21" borderId="4" xfId="0" applyFont="1" applyFill="1" applyBorder="1" applyAlignment="1">
      <alignment horizontal="center" vertical="center"/>
    </xf>
    <xf numFmtId="0" fontId="7" fillId="21" borderId="2" xfId="0" applyFont="1" applyFill="1" applyBorder="1" applyAlignment="1">
      <alignment horizontal="center" vertical="center" wrapText="1"/>
    </xf>
    <xf numFmtId="0" fontId="7" fillId="21" borderId="3" xfId="0" applyFont="1" applyFill="1" applyBorder="1" applyAlignment="1">
      <alignment horizontal="center" vertical="center" wrapText="1"/>
    </xf>
    <xf numFmtId="0" fontId="7" fillId="21" borderId="4" xfId="0" applyFont="1" applyFill="1" applyBorder="1" applyAlignment="1">
      <alignment horizontal="center" vertical="center" wrapText="1"/>
    </xf>
    <xf numFmtId="0" fontId="7" fillId="21" borderId="5" xfId="0" applyFont="1" applyFill="1" applyBorder="1" applyAlignment="1">
      <alignment horizontal="center" vertical="center" wrapText="1"/>
    </xf>
    <xf numFmtId="0" fontId="7" fillId="21" borderId="7" xfId="0" applyFont="1" applyFill="1" applyBorder="1" applyAlignment="1">
      <alignment horizontal="center" vertical="center" wrapText="1"/>
    </xf>
    <xf numFmtId="0" fontId="9" fillId="21" borderId="2" xfId="0" applyFont="1" applyFill="1" applyBorder="1" applyAlignment="1">
      <alignment horizontal="center" vertical="center" wrapText="1"/>
    </xf>
    <xf numFmtId="0" fontId="9" fillId="21" borderId="3" xfId="0" applyFont="1" applyFill="1" applyBorder="1" applyAlignment="1">
      <alignment horizontal="center" vertical="center" wrapText="1"/>
    </xf>
    <xf numFmtId="0" fontId="9" fillId="21" borderId="4" xfId="0" applyFont="1" applyFill="1" applyBorder="1" applyAlignment="1">
      <alignment horizontal="center" vertical="center" wrapText="1"/>
    </xf>
    <xf numFmtId="0" fontId="4" fillId="21" borderId="2" xfId="0" applyFont="1" applyFill="1" applyBorder="1" applyAlignment="1">
      <alignment horizontal="center" vertical="center"/>
    </xf>
    <xf numFmtId="0" fontId="4" fillId="21" borderId="3" xfId="0" applyFont="1" applyFill="1" applyBorder="1" applyAlignment="1">
      <alignment horizontal="center" vertical="center"/>
    </xf>
    <xf numFmtId="0" fontId="4" fillId="21" borderId="4" xfId="0" applyFont="1" applyFill="1" applyBorder="1" applyAlignment="1">
      <alignment horizontal="center" vertical="center"/>
    </xf>
    <xf numFmtId="9" fontId="7" fillId="21" borderId="2" xfId="0" applyNumberFormat="1" applyFont="1" applyFill="1" applyBorder="1" applyAlignment="1">
      <alignment horizontal="center" vertical="center"/>
    </xf>
    <xf numFmtId="9" fontId="7" fillId="21" borderId="3" xfId="0" applyNumberFormat="1" applyFont="1" applyFill="1" applyBorder="1" applyAlignment="1">
      <alignment horizontal="center" vertical="center"/>
    </xf>
    <xf numFmtId="9" fontId="7" fillId="21" borderId="4" xfId="0" applyNumberFormat="1" applyFont="1" applyFill="1" applyBorder="1" applyAlignment="1">
      <alignment horizontal="center" vertical="center"/>
    </xf>
    <xf numFmtId="9" fontId="7" fillId="21" borderId="2" xfId="0" applyNumberFormat="1" applyFont="1" applyFill="1" applyBorder="1" applyAlignment="1">
      <alignment horizontal="center" vertical="center" wrapText="1"/>
    </xf>
    <xf numFmtId="9" fontId="7" fillId="21" borderId="3" xfId="0" applyNumberFormat="1" applyFont="1" applyFill="1" applyBorder="1" applyAlignment="1">
      <alignment horizontal="center" vertical="center" wrapText="1"/>
    </xf>
    <xf numFmtId="9" fontId="7" fillId="21" borderId="4" xfId="0" applyNumberFormat="1" applyFont="1" applyFill="1" applyBorder="1" applyAlignment="1">
      <alignment horizontal="center" vertical="center" wrapText="1"/>
    </xf>
    <xf numFmtId="0" fontId="6" fillId="21" borderId="2" xfId="0" applyFont="1" applyFill="1" applyBorder="1" applyAlignment="1">
      <alignment horizontal="center" vertical="center" wrapText="1"/>
    </xf>
    <xf numFmtId="0" fontId="6" fillId="21" borderId="3" xfId="0" applyFont="1" applyFill="1" applyBorder="1" applyAlignment="1">
      <alignment horizontal="center" vertical="center" wrapText="1"/>
    </xf>
    <xf numFmtId="0" fontId="6" fillId="21" borderId="4" xfId="0" applyFont="1" applyFill="1" applyBorder="1" applyAlignment="1">
      <alignment horizontal="center" vertical="center" wrapText="1"/>
    </xf>
    <xf numFmtId="0" fontId="15" fillId="21" borderId="2" xfId="0" applyFont="1" applyFill="1" applyBorder="1" applyAlignment="1">
      <alignment horizontal="center" vertical="center" wrapText="1"/>
    </xf>
    <xf numFmtId="0" fontId="15" fillId="21" borderId="3" xfId="0" applyFont="1" applyFill="1" applyBorder="1" applyAlignment="1">
      <alignment horizontal="center" vertical="center" wrapText="1"/>
    </xf>
    <xf numFmtId="0" fontId="15" fillId="21" borderId="4"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49" fontId="7" fillId="3" borderId="2" xfId="0" applyNumberFormat="1" applyFont="1" applyFill="1" applyBorder="1" applyAlignment="1">
      <alignment horizontal="center" vertical="center"/>
    </xf>
    <xf numFmtId="49" fontId="7" fillId="3" borderId="3" xfId="0" applyNumberFormat="1" applyFont="1" applyFill="1" applyBorder="1" applyAlignment="1">
      <alignment horizontal="center" vertical="center"/>
    </xf>
    <xf numFmtId="49" fontId="7" fillId="3" borderId="4" xfId="0" applyNumberFormat="1" applyFont="1" applyFill="1" applyBorder="1" applyAlignment="1">
      <alignment horizontal="center" vertical="center"/>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116" fillId="4" borderId="2" xfId="0" applyFont="1" applyFill="1" applyBorder="1" applyAlignment="1">
      <alignment horizontal="center" vertical="center"/>
    </xf>
    <xf numFmtId="0" fontId="116" fillId="4" borderId="3" xfId="0" applyFont="1" applyFill="1" applyBorder="1" applyAlignment="1">
      <alignment horizontal="center" vertical="center"/>
    </xf>
    <xf numFmtId="0" fontId="116" fillId="4" borderId="4" xfId="0" applyFont="1" applyFill="1" applyBorder="1" applyAlignment="1">
      <alignment horizontal="center" vertical="center"/>
    </xf>
    <xf numFmtId="0" fontId="35" fillId="4" borderId="2" xfId="0" applyFont="1" applyFill="1" applyBorder="1" applyAlignment="1">
      <alignment horizontal="center" vertical="center"/>
    </xf>
    <xf numFmtId="0" fontId="35" fillId="4" borderId="3" xfId="0" applyFont="1" applyFill="1" applyBorder="1" applyAlignment="1">
      <alignment horizontal="center" vertical="center"/>
    </xf>
    <xf numFmtId="0" fontId="35" fillId="4" borderId="4" xfId="0" applyFont="1" applyFill="1" applyBorder="1" applyAlignment="1">
      <alignment horizontal="center" vertical="center"/>
    </xf>
    <xf numFmtId="0" fontId="35" fillId="3" borderId="2"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35" fillId="0" borderId="2"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4" xfId="0" applyFont="1" applyBorder="1" applyAlignment="1">
      <alignment horizontal="center" vertical="center" wrapText="1"/>
    </xf>
    <xf numFmtId="0" fontId="35" fillId="4" borderId="2" xfId="0" applyFont="1" applyFill="1" applyBorder="1" applyAlignment="1">
      <alignment horizontal="center" vertical="center" wrapText="1"/>
    </xf>
    <xf numFmtId="0" fontId="35" fillId="4" borderId="3" xfId="0" applyFont="1" applyFill="1" applyBorder="1" applyAlignment="1">
      <alignment horizontal="center" vertical="center" wrapText="1"/>
    </xf>
    <xf numFmtId="0" fontId="35" fillId="4" borderId="4" xfId="0" applyFont="1" applyFill="1" applyBorder="1" applyAlignment="1">
      <alignment horizontal="center" vertical="center" wrapText="1"/>
    </xf>
    <xf numFmtId="0" fontId="35" fillId="3" borderId="5" xfId="0" applyFont="1" applyFill="1" applyBorder="1" applyAlignment="1">
      <alignment horizontal="center" vertical="center" wrapText="1"/>
    </xf>
    <xf numFmtId="0" fontId="35" fillId="3" borderId="7" xfId="0" applyFont="1" applyFill="1" applyBorder="1" applyAlignment="1">
      <alignment horizontal="center" vertical="center" wrapText="1"/>
    </xf>
    <xf numFmtId="0" fontId="113" fillId="3" borderId="1" xfId="0" applyFont="1" applyFill="1" applyBorder="1" applyAlignment="1">
      <alignment horizontal="center" vertical="center"/>
    </xf>
    <xf numFmtId="168" fontId="113" fillId="3" borderId="2" xfId="0" applyNumberFormat="1" applyFont="1" applyFill="1" applyBorder="1" applyAlignment="1">
      <alignment horizontal="center" vertical="center"/>
    </xf>
    <xf numFmtId="168" fontId="113" fillId="3" borderId="3" xfId="0" applyNumberFormat="1" applyFont="1" applyFill="1" applyBorder="1" applyAlignment="1">
      <alignment horizontal="center" vertical="center"/>
    </xf>
    <xf numFmtId="168" fontId="113" fillId="3" borderId="4" xfId="0" applyNumberFormat="1" applyFont="1" applyFill="1" applyBorder="1" applyAlignment="1">
      <alignment horizontal="center" vertical="center"/>
    </xf>
    <xf numFmtId="0" fontId="113" fillId="3" borderId="2" xfId="0" applyFont="1" applyFill="1" applyBorder="1" applyAlignment="1">
      <alignment horizontal="center" vertical="center" wrapText="1"/>
    </xf>
    <xf numFmtId="0" fontId="113" fillId="3" borderId="3" xfId="0" applyFont="1" applyFill="1" applyBorder="1" applyAlignment="1">
      <alignment horizontal="center" vertical="center" wrapText="1"/>
    </xf>
    <xf numFmtId="0" fontId="113" fillId="3" borderId="4" xfId="0" applyFont="1" applyFill="1" applyBorder="1" applyAlignment="1">
      <alignment horizontal="center" vertical="center" wrapText="1"/>
    </xf>
    <xf numFmtId="0" fontId="124" fillId="0" borderId="2" xfId="0" applyFont="1" applyBorder="1" applyAlignment="1">
      <alignment horizontal="center"/>
    </xf>
    <xf numFmtId="0" fontId="124" fillId="0" borderId="3" xfId="0" applyFont="1" applyBorder="1" applyAlignment="1">
      <alignment horizontal="center"/>
    </xf>
    <xf numFmtId="0" fontId="124" fillId="0" borderId="4" xfId="0" applyFont="1" applyBorder="1" applyAlignment="1">
      <alignment horizontal="center"/>
    </xf>
    <xf numFmtId="0" fontId="35" fillId="3" borderId="2" xfId="0" applyFont="1" applyFill="1" applyBorder="1" applyAlignment="1">
      <alignment horizontal="center" vertical="center"/>
    </xf>
    <xf numFmtId="0" fontId="35" fillId="3" borderId="3" xfId="0" applyFont="1" applyFill="1" applyBorder="1" applyAlignment="1">
      <alignment horizontal="center" vertical="center"/>
    </xf>
    <xf numFmtId="0" fontId="35" fillId="3" borderId="4" xfId="0" applyFont="1" applyFill="1" applyBorder="1" applyAlignment="1">
      <alignment horizontal="center" vertical="center"/>
    </xf>
    <xf numFmtId="0" fontId="116" fillId="4" borderId="2" xfId="0" applyFont="1" applyFill="1" applyBorder="1" applyAlignment="1">
      <alignment horizontal="center" vertical="center" wrapText="1"/>
    </xf>
    <xf numFmtId="0" fontId="116" fillId="4" borderId="3" xfId="0" applyFont="1" applyFill="1" applyBorder="1" applyAlignment="1">
      <alignment horizontal="center" vertical="center" wrapText="1"/>
    </xf>
    <xf numFmtId="0" fontId="116" fillId="4" borderId="4" xfId="0" applyFont="1" applyFill="1" applyBorder="1" applyAlignment="1">
      <alignment horizontal="center" vertical="center" wrapText="1"/>
    </xf>
    <xf numFmtId="9" fontId="35" fillId="4" borderId="2" xfId="0" applyNumberFormat="1" applyFont="1" applyFill="1" applyBorder="1" applyAlignment="1">
      <alignment horizontal="center" vertical="center"/>
    </xf>
    <xf numFmtId="9" fontId="35" fillId="4" borderId="3" xfId="0" applyNumberFormat="1" applyFont="1" applyFill="1" applyBorder="1" applyAlignment="1">
      <alignment horizontal="center" vertical="center"/>
    </xf>
    <xf numFmtId="9" fontId="35" fillId="4" borderId="4" xfId="0" applyNumberFormat="1" applyFont="1" applyFill="1" applyBorder="1" applyAlignment="1">
      <alignment horizontal="center" vertical="center"/>
    </xf>
    <xf numFmtId="0" fontId="116" fillId="3" borderId="2" xfId="0" applyFont="1" applyFill="1" applyBorder="1" applyAlignment="1">
      <alignment horizontal="center" vertical="center" wrapText="1"/>
    </xf>
    <xf numFmtId="0" fontId="116" fillId="3" borderId="3" xfId="0" applyFont="1" applyFill="1" applyBorder="1" applyAlignment="1">
      <alignment horizontal="center" vertical="center" wrapText="1"/>
    </xf>
    <xf numFmtId="0" fontId="116" fillId="3" borderId="4" xfId="0" applyFont="1" applyFill="1" applyBorder="1" applyAlignment="1">
      <alignment horizontal="center" vertical="center" wrapText="1"/>
    </xf>
    <xf numFmtId="0" fontId="35" fillId="3" borderId="5" xfId="0" applyFont="1" applyFill="1" applyBorder="1" applyAlignment="1">
      <alignment vertical="center" wrapText="1"/>
    </xf>
    <xf numFmtId="0" fontId="35" fillId="3" borderId="9" xfId="0" applyFont="1" applyFill="1" applyBorder="1" applyAlignment="1">
      <alignment vertical="center" wrapText="1"/>
    </xf>
    <xf numFmtId="0" fontId="35" fillId="3" borderId="7" xfId="0" applyFont="1" applyFill="1" applyBorder="1" applyAlignment="1">
      <alignment vertical="center" wrapText="1"/>
    </xf>
    <xf numFmtId="0" fontId="35" fillId="3" borderId="10" xfId="0" applyFont="1" applyFill="1" applyBorder="1" applyAlignment="1">
      <alignment horizontal="center" vertical="center"/>
    </xf>
    <xf numFmtId="0" fontId="35" fillId="3" borderId="11" xfId="0" applyFont="1" applyFill="1" applyBorder="1" applyAlignment="1">
      <alignment horizontal="center" vertical="center"/>
    </xf>
    <xf numFmtId="0" fontId="35" fillId="3" borderId="12" xfId="0" applyFont="1" applyFill="1" applyBorder="1" applyAlignment="1">
      <alignment horizontal="center" vertical="center"/>
    </xf>
    <xf numFmtId="0" fontId="35" fillId="3" borderId="13" xfId="0" applyFont="1" applyFill="1" applyBorder="1" applyAlignment="1">
      <alignment horizontal="center" vertical="center"/>
    </xf>
    <xf numFmtId="0" fontId="35" fillId="3" borderId="0" xfId="0" applyFont="1" applyFill="1" applyBorder="1" applyAlignment="1">
      <alignment horizontal="center" vertical="center"/>
    </xf>
    <xf numFmtId="0" fontId="35" fillId="3" borderId="6" xfId="0" applyFont="1" applyFill="1" applyBorder="1" applyAlignment="1">
      <alignment horizontal="center" vertical="center"/>
    </xf>
    <xf numFmtId="0" fontId="35" fillId="3" borderId="14" xfId="0" applyFont="1" applyFill="1" applyBorder="1" applyAlignment="1">
      <alignment horizontal="center" vertical="center"/>
    </xf>
    <xf numFmtId="0" fontId="35" fillId="3" borderId="15" xfId="0" applyFont="1" applyFill="1" applyBorder="1" applyAlignment="1">
      <alignment horizontal="center" vertical="center"/>
    </xf>
    <xf numFmtId="0" fontId="35" fillId="3" borderId="8" xfId="0" applyFont="1" applyFill="1" applyBorder="1" applyAlignment="1">
      <alignment horizontal="center" vertical="center"/>
    </xf>
    <xf numFmtId="0" fontId="35" fillId="0" borderId="5" xfId="0" applyFont="1" applyBorder="1" applyAlignment="1">
      <alignment vertical="center" wrapText="1"/>
    </xf>
    <xf numFmtId="0" fontId="35" fillId="0" borderId="9" xfId="0" applyFont="1" applyBorder="1" applyAlignment="1">
      <alignment vertical="center" wrapText="1"/>
    </xf>
    <xf numFmtId="0" fontId="35" fillId="0" borderId="7" xfId="0" applyFont="1" applyBorder="1" applyAlignment="1">
      <alignment vertical="center" wrapText="1"/>
    </xf>
    <xf numFmtId="0" fontId="35" fillId="0" borderId="11" xfId="0" applyFont="1" applyBorder="1" applyAlignment="1">
      <alignment horizontal="center" vertical="center"/>
    </xf>
    <xf numFmtId="0" fontId="35" fillId="0" borderId="12" xfId="0" applyFont="1" applyBorder="1" applyAlignment="1">
      <alignment horizontal="center" vertical="center"/>
    </xf>
    <xf numFmtId="0" fontId="35" fillId="0" borderId="0" xfId="0" applyFont="1" applyBorder="1" applyAlignment="1">
      <alignment horizontal="center" vertical="center"/>
    </xf>
    <xf numFmtId="0" fontId="35" fillId="0" borderId="6" xfId="0" applyFont="1" applyBorder="1" applyAlignment="1">
      <alignment horizontal="center" vertical="center"/>
    </xf>
    <xf numFmtId="0" fontId="35" fillId="0" borderId="15" xfId="0" applyFont="1" applyBorder="1" applyAlignment="1">
      <alignment horizontal="center" vertical="center"/>
    </xf>
    <xf numFmtId="0" fontId="35" fillId="0" borderId="8" xfId="0" applyFont="1" applyBorder="1" applyAlignment="1">
      <alignment horizontal="center" vertical="center"/>
    </xf>
    <xf numFmtId="0" fontId="114" fillId="2" borderId="2" xfId="0" applyFont="1" applyFill="1" applyBorder="1" applyAlignment="1">
      <alignment horizontal="center" vertical="center"/>
    </xf>
    <xf numFmtId="0" fontId="114" fillId="2" borderId="3" xfId="0" applyFont="1" applyFill="1" applyBorder="1" applyAlignment="1">
      <alignment horizontal="center" vertical="center"/>
    </xf>
    <xf numFmtId="0" fontId="114" fillId="2" borderId="4" xfId="0" applyFont="1" applyFill="1" applyBorder="1" applyAlignment="1">
      <alignment horizontal="center" vertical="center"/>
    </xf>
    <xf numFmtId="0" fontId="115" fillId="2" borderId="2" xfId="0" applyFont="1" applyFill="1" applyBorder="1" applyAlignment="1">
      <alignment horizontal="center" vertical="center" wrapText="1"/>
    </xf>
    <xf numFmtId="9" fontId="35" fillId="3" borderId="2" xfId="0" applyNumberFormat="1" applyFont="1" applyFill="1" applyBorder="1" applyAlignment="1">
      <alignment horizontal="center" vertical="center"/>
    </xf>
    <xf numFmtId="9" fontId="35" fillId="3" borderId="3" xfId="0" applyNumberFormat="1" applyFont="1" applyFill="1" applyBorder="1" applyAlignment="1">
      <alignment horizontal="center" vertical="center"/>
    </xf>
    <xf numFmtId="9" fontId="35" fillId="3" borderId="4" xfId="0" applyNumberFormat="1" applyFont="1" applyFill="1" applyBorder="1" applyAlignment="1">
      <alignment horizontal="center" vertical="center"/>
    </xf>
    <xf numFmtId="0" fontId="6" fillId="4" borderId="2" xfId="0" applyFont="1" applyFill="1" applyBorder="1" applyAlignment="1">
      <alignment horizontal="justify" vertical="justify"/>
    </xf>
    <xf numFmtId="0" fontId="6" fillId="4" borderId="3" xfId="0" applyFont="1" applyFill="1" applyBorder="1" applyAlignment="1">
      <alignment horizontal="justify" vertical="justify"/>
    </xf>
    <xf numFmtId="0" fontId="6" fillId="4" borderId="4" xfId="0" applyFont="1" applyFill="1" applyBorder="1" applyAlignment="1">
      <alignment horizontal="justify" vertical="justify"/>
    </xf>
    <xf numFmtId="0" fontId="7" fillId="3" borderId="5" xfId="8" applyFont="1" applyFill="1" applyBorder="1" applyAlignment="1">
      <alignment vertical="center" wrapText="1"/>
    </xf>
    <xf numFmtId="0" fontId="7" fillId="3" borderId="9" xfId="8" applyFont="1" applyFill="1" applyBorder="1" applyAlignment="1">
      <alignment vertical="center" wrapText="1"/>
    </xf>
    <xf numFmtId="0" fontId="7" fillId="3" borderId="7" xfId="8" applyFont="1" applyFill="1" applyBorder="1" applyAlignment="1">
      <alignment vertical="center" wrapText="1"/>
    </xf>
    <xf numFmtId="0" fontId="7" fillId="3" borderId="10" xfId="8" applyFont="1" applyFill="1" applyBorder="1" applyAlignment="1">
      <alignment horizontal="justify" vertical="justify"/>
    </xf>
    <xf numFmtId="0" fontId="7" fillId="3" borderId="11" xfId="8" applyFont="1" applyFill="1" applyBorder="1" applyAlignment="1">
      <alignment horizontal="justify" vertical="justify"/>
    </xf>
    <xf numFmtId="0" fontId="7" fillId="3" borderId="12" xfId="8" applyFont="1" applyFill="1" applyBorder="1" applyAlignment="1">
      <alignment horizontal="justify" vertical="justify"/>
    </xf>
    <xf numFmtId="0" fontId="7" fillId="3" borderId="13" xfId="8" applyFont="1" applyFill="1" applyBorder="1" applyAlignment="1">
      <alignment horizontal="justify" vertical="justify"/>
    </xf>
    <xf numFmtId="0" fontId="7" fillId="3" borderId="0" xfId="8" applyFont="1" applyFill="1" applyBorder="1" applyAlignment="1">
      <alignment horizontal="justify" vertical="justify"/>
    </xf>
    <xf numFmtId="0" fontId="7" fillId="3" borderId="6" xfId="8" applyFont="1" applyFill="1" applyBorder="1" applyAlignment="1">
      <alignment horizontal="justify" vertical="justify"/>
    </xf>
    <xf numFmtId="0" fontId="7" fillId="3" borderId="14" xfId="8" applyFont="1" applyFill="1" applyBorder="1" applyAlignment="1">
      <alignment horizontal="justify" vertical="justify"/>
    </xf>
    <xf numFmtId="0" fontId="7" fillId="3" borderId="15" xfId="8" applyFont="1" applyFill="1" applyBorder="1" applyAlignment="1">
      <alignment horizontal="justify" vertical="justify"/>
    </xf>
    <xf numFmtId="0" fontId="7" fillId="3" borderId="8" xfId="8" applyFont="1" applyFill="1" applyBorder="1" applyAlignment="1">
      <alignment horizontal="justify" vertical="justify"/>
    </xf>
    <xf numFmtId="0" fontId="7" fillId="0" borderId="5" xfId="8" applyFont="1" applyBorder="1" applyAlignment="1">
      <alignment vertical="center" wrapText="1"/>
    </xf>
    <xf numFmtId="0" fontId="7" fillId="0" borderId="9" xfId="8" applyFont="1" applyBorder="1" applyAlignment="1">
      <alignment vertical="center" wrapText="1"/>
    </xf>
    <xf numFmtId="0" fontId="7" fillId="0" borderId="7" xfId="8" applyFont="1" applyBorder="1" applyAlignment="1">
      <alignment vertical="center" wrapText="1"/>
    </xf>
    <xf numFmtId="0" fontId="7" fillId="0" borderId="11" xfId="8" applyFont="1" applyBorder="1" applyAlignment="1">
      <alignment horizontal="center" vertical="center"/>
    </xf>
    <xf numFmtId="0" fontId="7" fillId="0" borderId="12" xfId="8" applyFont="1" applyBorder="1" applyAlignment="1">
      <alignment horizontal="center" vertical="center"/>
    </xf>
    <xf numFmtId="0" fontId="7" fillId="0" borderId="0" xfId="8" applyFont="1" applyBorder="1" applyAlignment="1">
      <alignment horizontal="center" vertical="center"/>
    </xf>
    <xf numFmtId="0" fontId="7" fillId="0" borderId="6" xfId="8" applyFont="1" applyBorder="1" applyAlignment="1">
      <alignment horizontal="center" vertical="center"/>
    </xf>
    <xf numFmtId="0" fontId="7" fillId="0" borderId="15" xfId="8" applyFont="1" applyBorder="1" applyAlignment="1">
      <alignment horizontal="center" vertical="center"/>
    </xf>
    <xf numFmtId="0" fontId="7" fillId="0" borderId="8" xfId="8" applyFont="1" applyBorder="1" applyAlignment="1">
      <alignment horizontal="center" vertical="center"/>
    </xf>
    <xf numFmtId="0" fontId="7" fillId="4" borderId="2" xfId="8" applyFont="1" applyFill="1" applyBorder="1" applyAlignment="1">
      <alignment horizontal="center" vertical="center"/>
    </xf>
    <xf numFmtId="0" fontId="7" fillId="4" borderId="3" xfId="8" applyFont="1" applyFill="1" applyBorder="1" applyAlignment="1">
      <alignment horizontal="center" vertical="center"/>
    </xf>
    <xf numFmtId="0" fontId="7" fillId="4" borderId="4" xfId="8" applyFont="1" applyFill="1" applyBorder="1" applyAlignment="1">
      <alignment horizontal="center" vertical="center"/>
    </xf>
    <xf numFmtId="0" fontId="7" fillId="3" borderId="2" xfId="8" applyFont="1" applyFill="1" applyBorder="1" applyAlignment="1">
      <alignment horizontal="center" vertical="center" wrapText="1"/>
    </xf>
    <xf numFmtId="0" fontId="7" fillId="3" borderId="3" xfId="8" applyFont="1" applyFill="1" applyBorder="1" applyAlignment="1">
      <alignment horizontal="center" vertical="center" wrapText="1"/>
    </xf>
    <xf numFmtId="0" fontId="7" fillId="3" borderId="4" xfId="8" applyFont="1" applyFill="1" applyBorder="1" applyAlignment="1">
      <alignment horizontal="center" vertical="center" wrapText="1"/>
    </xf>
    <xf numFmtId="0" fontId="7" fillId="3" borderId="2" xfId="8" applyFont="1" applyFill="1" applyBorder="1" applyAlignment="1">
      <alignment horizontal="center" vertical="center"/>
    </xf>
    <xf numFmtId="0" fontId="7" fillId="3" borderId="3" xfId="8" applyFont="1" applyFill="1" applyBorder="1" applyAlignment="1">
      <alignment horizontal="center" vertical="center"/>
    </xf>
    <xf numFmtId="0" fontId="7" fillId="3" borderId="4" xfId="8" applyFont="1" applyFill="1" applyBorder="1" applyAlignment="1">
      <alignment horizontal="center" vertical="center"/>
    </xf>
    <xf numFmtId="0" fontId="7" fillId="3" borderId="5" xfId="8" applyFont="1" applyFill="1" applyBorder="1" applyAlignment="1">
      <alignment horizontal="center" vertical="center" wrapText="1"/>
    </xf>
    <xf numFmtId="0" fontId="7" fillId="3" borderId="7" xfId="8" applyFont="1" applyFill="1" applyBorder="1" applyAlignment="1">
      <alignment horizontal="center" vertical="center" wrapText="1"/>
    </xf>
    <xf numFmtId="0" fontId="9" fillId="4" borderId="2" xfId="8" applyFont="1" applyFill="1" applyBorder="1" applyAlignment="1">
      <alignment horizontal="center" vertical="center" wrapText="1"/>
    </xf>
    <xf numFmtId="0" fontId="9" fillId="4" borderId="3" xfId="8" applyFont="1" applyFill="1" applyBorder="1" applyAlignment="1">
      <alignment horizontal="center" vertical="center" wrapText="1"/>
    </xf>
    <xf numFmtId="0" fontId="9" fillId="4" borderId="4" xfId="8" applyFont="1" applyFill="1" applyBorder="1" applyAlignment="1">
      <alignment horizontal="center" vertical="center" wrapText="1"/>
    </xf>
    <xf numFmtId="0" fontId="7" fillId="3" borderId="10" xfId="8" applyFont="1" applyFill="1" applyBorder="1" applyAlignment="1">
      <alignment horizontal="center" vertical="center"/>
    </xf>
    <xf numFmtId="0" fontId="7" fillId="3" borderId="11" xfId="8" applyFont="1" applyFill="1" applyBorder="1" applyAlignment="1">
      <alignment horizontal="center" vertical="center"/>
    </xf>
    <xf numFmtId="0" fontId="7" fillId="3" borderId="12" xfId="8" applyFont="1" applyFill="1" applyBorder="1" applyAlignment="1">
      <alignment horizontal="center" vertical="center"/>
    </xf>
    <xf numFmtId="0" fontId="7" fillId="3" borderId="13" xfId="8" applyFont="1" applyFill="1" applyBorder="1" applyAlignment="1">
      <alignment horizontal="center" vertical="center"/>
    </xf>
    <xf numFmtId="0" fontId="7" fillId="3" borderId="0" xfId="8" applyFont="1" applyFill="1" applyBorder="1" applyAlignment="1">
      <alignment horizontal="center" vertical="center"/>
    </xf>
    <xf numFmtId="0" fontId="7" fillId="3" borderId="6" xfId="8" applyFont="1" applyFill="1" applyBorder="1" applyAlignment="1">
      <alignment horizontal="center" vertical="center"/>
    </xf>
    <xf numFmtId="0" fontId="7" fillId="3" borderId="14" xfId="8" applyFont="1" applyFill="1" applyBorder="1" applyAlignment="1">
      <alignment horizontal="center" vertical="center"/>
    </xf>
    <xf numFmtId="0" fontId="7" fillId="3" borderId="15" xfId="8" applyFont="1" applyFill="1" applyBorder="1" applyAlignment="1">
      <alignment horizontal="center" vertical="center"/>
    </xf>
    <xf numFmtId="0" fontId="7" fillId="3" borderId="8" xfId="8" applyFont="1" applyFill="1" applyBorder="1" applyAlignment="1">
      <alignment horizontal="center" vertical="center"/>
    </xf>
    <xf numFmtId="9" fontId="7" fillId="4" borderId="2" xfId="8" applyNumberFormat="1" applyFont="1" applyFill="1" applyBorder="1" applyAlignment="1">
      <alignment horizontal="center" vertical="center"/>
    </xf>
    <xf numFmtId="9" fontId="7" fillId="4" borderId="3" xfId="8" applyNumberFormat="1" applyFont="1" applyFill="1" applyBorder="1" applyAlignment="1">
      <alignment horizontal="center" vertical="center"/>
    </xf>
    <xf numFmtId="9" fontId="7" fillId="4" borderId="4" xfId="8" applyNumberFormat="1" applyFont="1" applyFill="1" applyBorder="1" applyAlignment="1">
      <alignment horizontal="center" vertical="center"/>
    </xf>
    <xf numFmtId="0" fontId="91" fillId="4" borderId="2" xfId="8" applyFont="1" applyFill="1" applyBorder="1" applyAlignment="1">
      <alignment horizontal="center" vertical="center" wrapText="1"/>
    </xf>
    <xf numFmtId="0" fontId="91" fillId="4" borderId="3" xfId="8" applyFont="1" applyFill="1" applyBorder="1" applyAlignment="1">
      <alignment horizontal="center" vertical="center" wrapText="1"/>
    </xf>
    <xf numFmtId="0" fontId="91" fillId="4" borderId="4" xfId="8" applyFont="1" applyFill="1" applyBorder="1" applyAlignment="1">
      <alignment horizontal="center" vertical="center" wrapText="1"/>
    </xf>
    <xf numFmtId="0" fontId="5" fillId="3" borderId="10" xfId="8" applyFont="1" applyFill="1" applyBorder="1" applyAlignment="1">
      <alignment horizontal="justify" vertical="center"/>
    </xf>
    <xf numFmtId="0" fontId="30" fillId="0" borderId="11" xfId="8" applyFont="1" applyBorder="1"/>
    <xf numFmtId="0" fontId="30" fillId="0" borderId="12" xfId="8" applyFont="1" applyBorder="1"/>
    <xf numFmtId="0" fontId="30" fillId="0" borderId="13" xfId="8" applyFont="1" applyBorder="1"/>
    <xf numFmtId="0" fontId="30" fillId="0" borderId="0" xfId="8" applyFont="1"/>
    <xf numFmtId="0" fontId="30" fillId="0" borderId="6" xfId="8" applyFont="1" applyBorder="1"/>
    <xf numFmtId="0" fontId="30" fillId="0" borderId="14" xfId="8" applyFont="1" applyBorder="1"/>
    <xf numFmtId="0" fontId="30" fillId="0" borderId="15" xfId="8" applyFont="1" applyBorder="1"/>
    <xf numFmtId="0" fontId="30" fillId="0" borderId="8" xfId="8" applyFont="1" applyBorder="1"/>
    <xf numFmtId="0" fontId="4" fillId="4" borderId="2" xfId="8" applyFont="1" applyFill="1" applyBorder="1" applyAlignment="1">
      <alignment horizontal="center" vertical="center"/>
    </xf>
    <xf numFmtId="0" fontId="4" fillId="4" borderId="3" xfId="8" applyFont="1" applyFill="1" applyBorder="1" applyAlignment="1">
      <alignment horizontal="center" vertical="center"/>
    </xf>
    <xf numFmtId="0" fontId="4" fillId="4" borderId="4" xfId="8" applyFont="1" applyFill="1" applyBorder="1" applyAlignment="1">
      <alignment horizontal="center" vertical="center"/>
    </xf>
    <xf numFmtId="0" fontId="5" fillId="4" borderId="3" xfId="8" applyFont="1" applyFill="1" applyBorder="1" applyAlignment="1">
      <alignment horizontal="center" vertical="center" wrapText="1"/>
    </xf>
    <xf numFmtId="0" fontId="5" fillId="4" borderId="3" xfId="8" applyFont="1" applyFill="1" applyBorder="1" applyAlignment="1">
      <alignment horizontal="center" vertical="center"/>
    </xf>
    <xf numFmtId="0" fontId="5" fillId="4" borderId="4" xfId="8" applyFont="1" applyFill="1" applyBorder="1" applyAlignment="1">
      <alignment horizontal="center" vertical="center"/>
    </xf>
    <xf numFmtId="0" fontId="32" fillId="2" borderId="2" xfId="8" applyFont="1" applyFill="1" applyBorder="1" applyAlignment="1">
      <alignment horizontal="center" vertical="center" wrapText="1"/>
    </xf>
    <xf numFmtId="0" fontId="32" fillId="2" borderId="3" xfId="8" applyFont="1" applyFill="1" applyBorder="1" applyAlignment="1">
      <alignment horizontal="center" vertical="center" wrapText="1"/>
    </xf>
    <xf numFmtId="0" fontId="32" fillId="2" borderId="4" xfId="8" applyFont="1" applyFill="1" applyBorder="1" applyAlignment="1">
      <alignment horizontal="center" vertical="center" wrapText="1"/>
    </xf>
    <xf numFmtId="49" fontId="32" fillId="3" borderId="2" xfId="8" applyNumberFormat="1" applyFont="1" applyFill="1" applyBorder="1" applyAlignment="1">
      <alignment horizontal="center" vertical="center"/>
    </xf>
    <xf numFmtId="49" fontId="32" fillId="3" borderId="3" xfId="8" applyNumberFormat="1" applyFont="1" applyFill="1" applyBorder="1" applyAlignment="1">
      <alignment horizontal="center" vertical="center"/>
    </xf>
    <xf numFmtId="49" fontId="32" fillId="3" borderId="4" xfId="8" applyNumberFormat="1" applyFont="1" applyFill="1" applyBorder="1" applyAlignment="1">
      <alignment horizontal="center" vertical="center"/>
    </xf>
    <xf numFmtId="0" fontId="48" fillId="3" borderId="10" xfId="8" applyFont="1" applyFill="1" applyBorder="1" applyAlignment="1">
      <alignment horizontal="center" vertical="center" wrapText="1"/>
    </xf>
    <xf numFmtId="0" fontId="48" fillId="3" borderId="3" xfId="8" applyFont="1" applyFill="1" applyBorder="1" applyAlignment="1">
      <alignment horizontal="center" vertical="center" wrapText="1"/>
    </xf>
    <xf numFmtId="0" fontId="48" fillId="3" borderId="4" xfId="8" applyFont="1" applyFill="1" applyBorder="1" applyAlignment="1">
      <alignment horizontal="center" vertical="center" wrapText="1"/>
    </xf>
    <xf numFmtId="0" fontId="31" fillId="3" borderId="3" xfId="8" applyFont="1" applyFill="1" applyBorder="1" applyAlignment="1">
      <alignment horizontal="center" vertical="center" wrapText="1"/>
    </xf>
    <xf numFmtId="0" fontId="31" fillId="3" borderId="4" xfId="8" applyFont="1" applyFill="1" applyBorder="1" applyAlignment="1">
      <alignment horizontal="center" vertical="center" wrapText="1"/>
    </xf>
    <xf numFmtId="0" fontId="5" fillId="3" borderId="3" xfId="8" applyFont="1" applyFill="1" applyBorder="1" applyAlignment="1">
      <alignment horizontal="center" vertical="center" wrapText="1"/>
    </xf>
    <xf numFmtId="0" fontId="5" fillId="3" borderId="4" xfId="8" applyFont="1" applyFill="1" applyBorder="1" applyAlignment="1">
      <alignment horizontal="center" vertical="center" wrapText="1"/>
    </xf>
    <xf numFmtId="0" fontId="5" fillId="3" borderId="1" xfId="8" applyFont="1" applyFill="1" applyBorder="1" applyAlignment="1">
      <alignment horizontal="center" vertical="center"/>
    </xf>
    <xf numFmtId="49" fontId="5" fillId="3" borderId="2" xfId="8" applyNumberFormat="1" applyFont="1" applyFill="1" applyBorder="1" applyAlignment="1">
      <alignment horizontal="center" vertical="center"/>
    </xf>
    <xf numFmtId="49" fontId="5" fillId="3" borderId="3" xfId="8" applyNumberFormat="1" applyFont="1" applyFill="1" applyBorder="1" applyAlignment="1">
      <alignment horizontal="center" vertical="center"/>
    </xf>
    <xf numFmtId="49" fontId="5" fillId="3" borderId="4" xfId="8" applyNumberFormat="1" applyFont="1" applyFill="1" applyBorder="1" applyAlignment="1">
      <alignment horizontal="center" vertical="center"/>
    </xf>
    <xf numFmtId="0" fontId="5" fillId="3" borderId="2" xfId="8" applyFont="1" applyFill="1" applyBorder="1" applyAlignment="1">
      <alignment horizontal="center" vertical="center" wrapText="1"/>
    </xf>
    <xf numFmtId="0" fontId="4" fillId="0" borderId="2" xfId="8" applyFont="1" applyBorder="1" applyAlignment="1">
      <alignment horizontal="center"/>
    </xf>
    <xf numFmtId="0" fontId="4" fillId="0" borderId="3" xfId="8" applyFont="1" applyBorder="1" applyAlignment="1">
      <alignment horizontal="center"/>
    </xf>
    <xf numFmtId="0" fontId="4" fillId="0" borderId="4" xfId="8" applyFont="1" applyBorder="1" applyAlignment="1">
      <alignment horizontal="center"/>
    </xf>
    <xf numFmtId="0" fontId="5" fillId="3" borderId="10" xfId="8" applyFont="1" applyFill="1" applyBorder="1" applyAlignment="1">
      <alignment horizontal="center" vertical="center" wrapText="1"/>
    </xf>
    <xf numFmtId="0" fontId="5" fillId="3" borderId="11" xfId="8" applyFont="1" applyFill="1" applyBorder="1" applyAlignment="1">
      <alignment horizontal="center" vertical="center" wrapText="1"/>
    </xf>
    <xf numFmtId="0" fontId="5" fillId="3" borderId="12" xfId="8" applyFont="1" applyFill="1" applyBorder="1" applyAlignment="1">
      <alignment horizontal="center" vertical="center" wrapText="1"/>
    </xf>
    <xf numFmtId="0" fontId="5" fillId="3" borderId="13" xfId="8" applyFont="1" applyFill="1" applyBorder="1" applyAlignment="1">
      <alignment horizontal="center" vertical="center" wrapText="1"/>
    </xf>
    <xf numFmtId="0" fontId="5" fillId="3" borderId="0" xfId="8" applyFont="1" applyFill="1" applyBorder="1" applyAlignment="1">
      <alignment horizontal="center" vertical="center" wrapText="1"/>
    </xf>
    <xf numFmtId="0" fontId="5" fillId="3" borderId="6" xfId="8" applyFont="1" applyFill="1" applyBorder="1" applyAlignment="1">
      <alignment horizontal="center" vertical="center" wrapText="1"/>
    </xf>
    <xf numFmtId="0" fontId="5" fillId="3" borderId="14" xfId="8" applyFont="1" applyFill="1" applyBorder="1" applyAlignment="1">
      <alignment horizontal="center" vertical="center" wrapText="1"/>
    </xf>
    <xf numFmtId="0" fontId="5" fillId="3" borderId="15" xfId="8" applyFont="1" applyFill="1" applyBorder="1" applyAlignment="1">
      <alignment horizontal="center" vertical="center" wrapText="1"/>
    </xf>
    <xf numFmtId="0" fontId="5" fillId="3" borderId="8" xfId="8" applyFont="1" applyFill="1" applyBorder="1" applyAlignment="1">
      <alignment horizontal="center" vertical="center" wrapText="1"/>
    </xf>
    <xf numFmtId="0" fontId="2" fillId="0" borderId="0" xfId="8" applyFont="1" applyAlignment="1">
      <alignment horizontal="center"/>
    </xf>
    <xf numFmtId="9" fontId="7" fillId="4" borderId="32" xfId="0" applyNumberFormat="1" applyFont="1" applyFill="1" applyBorder="1" applyAlignment="1">
      <alignment horizontal="center" vertical="center"/>
    </xf>
    <xf numFmtId="0" fontId="7" fillId="4" borderId="32" xfId="0" applyFont="1" applyFill="1" applyBorder="1" applyAlignment="1">
      <alignment horizontal="center" vertical="center"/>
    </xf>
    <xf numFmtId="0" fontId="7" fillId="0" borderId="2" xfId="0" applyFont="1" applyBorder="1" applyAlignment="1">
      <alignment horizontal="center" wrapText="1"/>
    </xf>
    <xf numFmtId="0" fontId="7" fillId="0" borderId="3" xfId="0" applyFont="1" applyBorder="1" applyAlignment="1">
      <alignment horizontal="center" wrapText="1"/>
    </xf>
    <xf numFmtId="0" fontId="7" fillId="0" borderId="32" xfId="0" applyFont="1" applyBorder="1" applyAlignment="1">
      <alignment horizontal="center" wrapText="1"/>
    </xf>
    <xf numFmtId="0" fontId="7" fillId="3" borderId="32" xfId="0" applyFont="1" applyFill="1" applyBorder="1" applyAlignment="1">
      <alignment horizontal="center" vertical="center"/>
    </xf>
    <xf numFmtId="0" fontId="55" fillId="11" borderId="2" xfId="0" applyFont="1" applyFill="1" applyBorder="1" applyAlignment="1">
      <alignment horizontal="center" vertical="center" wrapText="1"/>
    </xf>
    <xf numFmtId="0" fontId="55" fillId="11" borderId="3" xfId="0" applyFont="1" applyFill="1" applyBorder="1" applyAlignment="1">
      <alignment horizontal="center" vertical="center" wrapText="1"/>
    </xf>
    <xf numFmtId="0" fontId="55" fillId="11" borderId="32" xfId="0" applyFont="1" applyFill="1" applyBorder="1" applyAlignment="1">
      <alignment horizontal="center" vertical="center" wrapText="1"/>
    </xf>
    <xf numFmtId="0" fontId="55" fillId="3" borderId="32" xfId="0" applyFont="1" applyFill="1" applyBorder="1" applyAlignment="1">
      <alignment horizontal="center" vertical="center" wrapText="1"/>
    </xf>
    <xf numFmtId="0" fontId="7" fillId="11" borderId="2" xfId="0" applyFont="1" applyFill="1" applyBorder="1" applyAlignment="1">
      <alignment horizontal="center" vertical="center"/>
    </xf>
    <xf numFmtId="0" fontId="7" fillId="11" borderId="3" xfId="0" applyFont="1" applyFill="1" applyBorder="1" applyAlignment="1">
      <alignment horizontal="center" vertical="center"/>
    </xf>
    <xf numFmtId="0" fontId="7" fillId="11" borderId="32" xfId="0" applyFont="1" applyFill="1" applyBorder="1" applyAlignment="1">
      <alignment horizontal="center" vertical="center"/>
    </xf>
    <xf numFmtId="0" fontId="6" fillId="0" borderId="2" xfId="0" applyFont="1" applyBorder="1" applyAlignment="1">
      <alignment horizontal="center" wrapText="1"/>
    </xf>
    <xf numFmtId="0" fontId="6" fillId="0" borderId="3" xfId="0" applyFont="1" applyBorder="1" applyAlignment="1">
      <alignment horizontal="center" wrapText="1"/>
    </xf>
    <xf numFmtId="0" fontId="6" fillId="0" borderId="32" xfId="0" applyFont="1" applyBorder="1" applyAlignment="1">
      <alignment horizontal="center" wrapText="1"/>
    </xf>
    <xf numFmtId="0" fontId="7" fillId="11" borderId="10" xfId="0" applyFont="1" applyFill="1" applyBorder="1" applyAlignment="1">
      <alignment horizontal="center" vertical="center"/>
    </xf>
    <xf numFmtId="0" fontId="7" fillId="11" borderId="11" xfId="0" applyFont="1" applyFill="1" applyBorder="1" applyAlignment="1">
      <alignment horizontal="center" vertical="center"/>
    </xf>
    <xf numFmtId="0" fontId="7" fillId="11" borderId="12" xfId="0" applyFont="1" applyFill="1" applyBorder="1" applyAlignment="1">
      <alignment horizontal="center" vertical="center"/>
    </xf>
    <xf numFmtId="0" fontId="7" fillId="0" borderId="10" xfId="0" applyFont="1" applyBorder="1" applyAlignment="1">
      <alignment horizontal="center" wrapText="1"/>
    </xf>
    <xf numFmtId="0" fontId="7" fillId="0" borderId="11" xfId="0" applyFont="1" applyBorder="1" applyAlignment="1">
      <alignment horizontal="center" wrapText="1"/>
    </xf>
    <xf numFmtId="0" fontId="7" fillId="0" borderId="12" xfId="0" applyFont="1" applyBorder="1" applyAlignment="1">
      <alignment horizontal="center" wrapText="1"/>
    </xf>
    <xf numFmtId="0" fontId="7" fillId="0" borderId="13" xfId="0" applyFont="1" applyBorder="1" applyAlignment="1">
      <alignment horizontal="center" wrapText="1"/>
    </xf>
    <xf numFmtId="0" fontId="7" fillId="0" borderId="0" xfId="0" applyFont="1" applyBorder="1" applyAlignment="1">
      <alignment horizontal="center" wrapText="1"/>
    </xf>
    <xf numFmtId="0" fontId="7" fillId="0" borderId="6" xfId="0" applyFont="1" applyBorder="1" applyAlignment="1">
      <alignment horizontal="center" wrapText="1"/>
    </xf>
    <xf numFmtId="0" fontId="7" fillId="0" borderId="14" xfId="0" applyFont="1" applyBorder="1" applyAlignment="1">
      <alignment horizontal="center" wrapText="1"/>
    </xf>
    <xf numFmtId="0" fontId="7" fillId="0" borderId="15" xfId="0" applyFont="1" applyBorder="1" applyAlignment="1">
      <alignment horizontal="center" wrapText="1"/>
    </xf>
    <xf numFmtId="0" fontId="7" fillId="0" borderId="8" xfId="0" applyFont="1" applyBorder="1" applyAlignment="1">
      <alignment horizontal="center" wrapText="1"/>
    </xf>
    <xf numFmtId="0" fontId="55" fillId="3" borderId="137" xfId="0" applyFont="1" applyFill="1" applyBorder="1" applyAlignment="1">
      <alignment horizontal="center" vertical="center" wrapText="1"/>
    </xf>
    <xf numFmtId="0" fontId="55" fillId="3" borderId="136" xfId="0" applyFont="1" applyFill="1" applyBorder="1" applyAlignment="1">
      <alignment horizontal="center" vertical="center" wrapText="1"/>
    </xf>
    <xf numFmtId="0" fontId="55" fillId="3" borderId="42"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left" wrapText="1"/>
    </xf>
    <xf numFmtId="0" fontId="5" fillId="0" borderId="3" xfId="0" applyFont="1" applyBorder="1" applyAlignment="1">
      <alignment horizontal="left" wrapText="1"/>
    </xf>
    <xf numFmtId="0" fontId="5" fillId="0" borderId="4" xfId="0" applyFont="1" applyBorder="1" applyAlignment="1">
      <alignment horizontal="left" wrapText="1"/>
    </xf>
    <xf numFmtId="0" fontId="7" fillId="0" borderId="4" xfId="0" applyFont="1" applyBorder="1" applyAlignment="1">
      <alignment horizontal="center" wrapText="1"/>
    </xf>
    <xf numFmtId="0" fontId="6" fillId="3" borderId="2" xfId="0" applyFont="1" applyFill="1" applyBorder="1" applyAlignment="1">
      <alignment horizontal="left" vertical="center" wrapText="1"/>
    </xf>
    <xf numFmtId="0" fontId="6" fillId="3" borderId="3" xfId="0" applyFont="1" applyFill="1" applyBorder="1" applyAlignment="1">
      <alignment horizontal="left" vertical="center" wrapText="1"/>
    </xf>
    <xf numFmtId="0" fontId="2" fillId="3" borderId="0" xfId="0" applyFont="1" applyFill="1" applyAlignment="1">
      <alignment horizontal="center" wrapText="1"/>
    </xf>
    <xf numFmtId="0" fontId="3" fillId="3" borderId="0" xfId="0" applyFont="1" applyFill="1" applyAlignment="1">
      <alignment horizontal="center"/>
    </xf>
    <xf numFmtId="0" fontId="5" fillId="3" borderId="3" xfId="0" applyNumberFormat="1" applyFont="1" applyFill="1" applyBorder="1" applyAlignment="1">
      <alignment horizontal="center" vertical="center"/>
    </xf>
    <xf numFmtId="0" fontId="5" fillId="3" borderId="4" xfId="0" applyNumberFormat="1" applyFont="1" applyFill="1" applyBorder="1" applyAlignment="1">
      <alignment horizontal="center" vertic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4" fillId="3" borderId="4" xfId="0" applyFont="1" applyFill="1" applyBorder="1" applyAlignment="1">
      <alignment horizontal="center"/>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6" fillId="3" borderId="12"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0" xfId="0" applyFont="1" applyFill="1" applyBorder="1" applyAlignment="1">
      <alignment horizontal="left" vertical="center" wrapText="1"/>
    </xf>
    <xf numFmtId="0" fontId="6" fillId="3" borderId="6"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6" fillId="3" borderId="8" xfId="0" applyFont="1" applyFill="1" applyBorder="1" applyAlignment="1">
      <alignment horizontal="left" vertical="center" wrapText="1"/>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10" fillId="3" borderId="7" xfId="0" applyFont="1" applyFill="1" applyBorder="1" applyAlignment="1">
      <alignment vertical="center" wrapText="1"/>
    </xf>
    <xf numFmtId="0" fontId="15" fillId="3" borderId="2"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4" xfId="0" applyFont="1" applyFill="1" applyBorder="1" applyAlignment="1">
      <alignment horizontal="center" vertical="center" wrapText="1"/>
    </xf>
    <xf numFmtId="170" fontId="0" fillId="0" borderId="0" xfId="7" applyNumberFormat="1" applyFont="1"/>
    <xf numFmtId="0" fontId="8" fillId="3" borderId="7" xfId="0" applyFont="1" applyFill="1" applyBorder="1" applyAlignment="1">
      <alignment horizontal="left" vertical="center" wrapText="1" indent="1"/>
    </xf>
    <xf numFmtId="0" fontId="32" fillId="2" borderId="2" xfId="0" applyFont="1" applyFill="1" applyBorder="1" applyAlignment="1">
      <alignment horizontal="left" vertical="center" wrapText="1"/>
    </xf>
    <xf numFmtId="0" fontId="26" fillId="2" borderId="140" xfId="0" applyFont="1" applyFill="1" applyBorder="1" applyAlignment="1">
      <alignment horizontal="center" vertical="center"/>
    </xf>
    <xf numFmtId="0" fontId="26" fillId="2" borderId="141" xfId="0" applyFont="1" applyFill="1" applyBorder="1" applyAlignment="1">
      <alignment horizontal="center" vertical="center"/>
    </xf>
    <xf numFmtId="0" fontId="26" fillId="2" borderId="142" xfId="0" applyFont="1" applyFill="1" applyBorder="1" applyAlignment="1">
      <alignment horizontal="center" vertical="center"/>
    </xf>
    <xf numFmtId="0" fontId="32" fillId="3" borderId="2" xfId="0" applyFont="1" applyFill="1" applyBorder="1" applyAlignment="1">
      <alignment horizontal="left" vertical="center" wrapText="1"/>
    </xf>
    <xf numFmtId="49" fontId="26" fillId="3" borderId="140" xfId="0" applyNumberFormat="1" applyFont="1" applyFill="1" applyBorder="1" applyAlignment="1">
      <alignment horizontal="center" vertical="center"/>
    </xf>
    <xf numFmtId="49" fontId="26" fillId="3" borderId="141" xfId="0" applyNumberFormat="1" applyFont="1" applyFill="1" applyBorder="1" applyAlignment="1">
      <alignment horizontal="center" vertical="center"/>
    </xf>
    <xf numFmtId="49" fontId="26" fillId="3" borderId="142" xfId="0" applyNumberFormat="1" applyFont="1" applyFill="1" applyBorder="1" applyAlignment="1">
      <alignment horizontal="center" vertical="center"/>
    </xf>
    <xf numFmtId="0" fontId="32" fillId="3" borderId="10" xfId="0" applyFont="1" applyFill="1" applyBorder="1" applyAlignment="1">
      <alignment horizontal="left" vertical="center" wrapText="1"/>
    </xf>
    <xf numFmtId="0" fontId="49" fillId="0" borderId="17" xfId="0" applyFont="1" applyBorder="1" applyAlignment="1">
      <alignment horizontal="left" vertical="center" wrapText="1"/>
    </xf>
    <xf numFmtId="0" fontId="0" fillId="0" borderId="17" xfId="0" applyFont="1" applyBorder="1" applyAlignment="1">
      <alignment wrapText="1"/>
    </xf>
    <xf numFmtId="0" fontId="32" fillId="3" borderId="14" xfId="0" applyFont="1" applyFill="1" applyBorder="1" applyAlignment="1">
      <alignment horizontal="left" vertical="center" wrapText="1"/>
    </xf>
    <xf numFmtId="0" fontId="32" fillId="14" borderId="117" xfId="0" applyFont="1" applyFill="1" applyBorder="1" applyAlignment="1">
      <alignment horizontal="left" vertical="center" wrapText="1"/>
    </xf>
    <xf numFmtId="0" fontId="63" fillId="14" borderId="17" xfId="0" applyFont="1" applyFill="1" applyBorder="1" applyAlignment="1">
      <alignment wrapText="1"/>
    </xf>
    <xf numFmtId="0" fontId="23" fillId="14" borderId="34" xfId="0" applyFont="1" applyFill="1" applyBorder="1" applyAlignment="1">
      <alignment wrapText="1"/>
    </xf>
    <xf numFmtId="0" fontId="63" fillId="14" borderId="40" xfId="0" applyFont="1" applyFill="1" applyBorder="1" applyAlignment="1">
      <alignment wrapText="1"/>
    </xf>
    <xf numFmtId="0" fontId="26" fillId="3" borderId="17" xfId="0" applyFont="1" applyFill="1" applyBorder="1" applyAlignment="1">
      <alignment horizontal="center" vertical="center" wrapText="1"/>
    </xf>
    <xf numFmtId="0" fontId="31" fillId="3" borderId="17" xfId="0" applyFont="1" applyFill="1" applyBorder="1" applyAlignment="1">
      <alignment horizontal="center" vertical="center" wrapText="1"/>
    </xf>
    <xf numFmtId="0" fontId="31" fillId="3" borderId="41" xfId="0" applyFont="1" applyFill="1" applyBorder="1" applyAlignment="1">
      <alignment horizontal="center" vertical="center" wrapText="1"/>
    </xf>
  </cellXfs>
  <cellStyles count="24">
    <cellStyle name="Comma" xfId="7" builtinId="3"/>
    <cellStyle name="Comma 2" xfId="4"/>
    <cellStyle name="Comma 2 2" xfId="9"/>
    <cellStyle name="Comma 3" xfId="5"/>
    <cellStyle name="Comma 3 2" xfId="10"/>
    <cellStyle name="Comma 3 2 2" xfId="11"/>
    <cellStyle name="Comma 4" xfId="12"/>
    <cellStyle name="Comma 5" xfId="3"/>
    <cellStyle name="Comma0" xfId="13"/>
    <cellStyle name="Currency0" xfId="14"/>
    <cellStyle name="Date" xfId="15"/>
    <cellStyle name="Fixed" xfId="16"/>
    <cellStyle name="Normal" xfId="0" builtinId="0"/>
    <cellStyle name="Normal 2" xfId="8"/>
    <cellStyle name="Normal 2 2" xfId="23"/>
    <cellStyle name="Normal 24" xfId="17"/>
    <cellStyle name="Normal 3" xfId="2"/>
    <cellStyle name="Normal 4" xfId="18"/>
    <cellStyle name="Normal 4 2" xfId="19"/>
    <cellStyle name="Normal_Formati_permbledhese_Investimet 2007" xfId="6"/>
    <cellStyle name="Percent" xfId="1" builtinId="5"/>
    <cellStyle name="Percent 2" xfId="20"/>
    <cellStyle name="Percent 3" xfId="22"/>
    <cellStyle name="Style 1" xfId="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valion.cenalia/Desktop/PBA/PBA%202019-2021/PBA%202019-2021%20faza%202/Draft%20PBA%20e%20Institucioneve/Akademia%20e%20Shkencave/Formatet-e-Raporteve-te-PBA-2019-2021-Faza-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valion.cenalia/Desktop/PBA/PBA%202019-2021/PBA%202019-2021%20faza%202/Draft%20PBA%20e%20Institucioneve/KMSHC/PBA%20faza%20e%20dyte%20fina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valion.cenalia/Desktop/PBA/PBA%202019-2021/PBA%202019-2021%20faza%202/Draft%20PBA%20e%20Institucioneve/Autoritetii%20Konkurences/PBA%202019-2021%20-%20final%2030.9.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valion.cenalia/Desktop/PBA/PBA%202019-2021/PBA%202019-2021%20faza%202/Draft%20PBA%20e%20Institucioneve/ASIG/11.%20FAZA%20II%20-%20Formatet_e_Raporteve_te_PBA_2019-2021%20date%2031.08.2018%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valion.cenalia/Desktop/PBA/PBA%202019-2021/PBA%202019-2021%20faza%202/PBA%20e%20Institucioneve/DAP/Formatet%20e%20Raporteve%20te%20PBA%202019-2021%20-%20DA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Sipas Tavaneve"/>
    </sheetNames>
    <sheetDataSet>
      <sheetData sheetId="0">
        <row r="5">
          <cell r="D5" t="str">
            <v>AKADEMIA E SHKENCAVE E R.SH.</v>
          </cell>
          <cell r="E5">
            <v>0</v>
          </cell>
          <cell r="F5">
            <v>0</v>
          </cell>
          <cell r="G5">
            <v>0</v>
          </cell>
          <cell r="H5">
            <v>0</v>
          </cell>
          <cell r="I5">
            <v>0</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Tavani (OK)"/>
      <sheetName val="Formati 3 Politika shtesë"/>
    </sheetNames>
    <sheetDataSet>
      <sheetData sheetId="0">
        <row r="9">
          <cell r="A9" t="str">
            <v>Planifikim-Menaxhim-Administrim</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1 Sipas Tavaneve"/>
      <sheetName val="F.4. Alokimi i tavaneve per PE"/>
      <sheetName val="F.5. Investimet ne vazhdim"/>
      <sheetName val="F.6.Investime te reja"/>
      <sheetName val="Formati 3 Politika te reja"/>
      <sheetName val="Formati 2 Politika Ekzistuese"/>
    </sheetNames>
    <sheetDataSet>
      <sheetData sheetId="0">
        <row r="9">
          <cell r="C9" t="str">
            <v>MBIKËQYRJA E TREGUT DHE ADVOKACIA E KONKURRENCËS</v>
          </cell>
        </row>
      </sheetData>
      <sheetData sheetId="1"/>
      <sheetData sheetId="2"/>
      <sheetData sheetId="3"/>
      <sheetData sheetId="4"/>
      <sheetData sheetId="5"/>
      <sheetData sheetId="6">
        <row r="12">
          <cell r="D12" t="str">
            <v>Qëllimi i programit është sigurimi i rregullave të barabarta të konkurrencës mes ndërmarrjeve në treg për të siguruar lirinë ekonomike të sipërmarrësve dhe sa më shumë zgjedhje për konsumatorët. Ndërhyrja ndaj sjelljeve antikonkurruese si marrëveshjet e ndaluara dhe abuzimi me pozitën dominuese për të siguruar funksionimin e konkurrencës së lirë dhe efektive në treg.</v>
          </cell>
          <cell r="E12">
            <v>0</v>
          </cell>
          <cell r="F12">
            <v>0</v>
          </cell>
          <cell r="G12">
            <v>0</v>
          </cell>
        </row>
        <row r="15">
          <cell r="C15" t="str">
            <v>Rritja e mundësisë së zgjedhjeve konsumatore(produkte dhe shërbime me cilësi të mirë dhe çmime të ulta</v>
          </cell>
          <cell r="D15">
            <v>0.5</v>
          </cell>
          <cell r="E15" t="str">
            <v>Trend rritës</v>
          </cell>
          <cell r="F15" t="str">
            <v>Trend rritës</v>
          </cell>
          <cell r="G15" t="str">
            <v>Trend rritës</v>
          </cell>
        </row>
        <row r="16">
          <cell r="C16" t="str">
            <v>Rritja e efiçencës së tregjeve nga performanca e ndërmarrjeve duke respektuar rregullat e konkurrencës</v>
          </cell>
          <cell r="D16">
            <v>0.4</v>
          </cell>
          <cell r="E16" t="str">
            <v>Trend rritës</v>
          </cell>
          <cell r="F16" t="str">
            <v>Trend rritës</v>
          </cell>
          <cell r="G16" t="str">
            <v>Trend rritës</v>
          </cell>
        </row>
        <row r="17">
          <cell r="C17" t="str">
            <v>Ndërgjegjësimi I ndërrmarrjeve dhe konsumatorëve për përfitimet që vinë nga konkurrenca</v>
          </cell>
          <cell r="D17">
            <v>0.45</v>
          </cell>
          <cell r="E17" t="str">
            <v>Trend rritës</v>
          </cell>
          <cell r="F17" t="str">
            <v>Trend rritës</v>
          </cell>
          <cell r="G17" t="str">
            <v>Trend rritës</v>
          </cell>
        </row>
        <row r="306">
          <cell r="E306">
            <v>0</v>
          </cell>
          <cell r="F306">
            <v>0</v>
          </cell>
          <cell r="G306">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Ekzistuese"/>
      <sheetName val="Formati 2.1 Sipas Tavaneve"/>
      <sheetName val="Formati 2.1 Sipas Tavaneve."/>
      <sheetName val="Formati 3 Politika te reja"/>
      <sheetName val="F.4. Alokimi i tavaneve per PE"/>
      <sheetName val="F.5. Investimet ne vazhdim"/>
      <sheetName val="F.6.Investime te reja"/>
    </sheetNames>
    <sheetDataSet>
      <sheetData sheetId="0"/>
      <sheetData sheetId="1">
        <row r="145">
          <cell r="D145">
            <v>11995.112000000001</v>
          </cell>
          <cell r="E145">
            <v>11995.112000000001</v>
          </cell>
          <cell r="F145">
            <v>11995.112000000001</v>
          </cell>
        </row>
        <row r="320">
          <cell r="D320">
            <v>5989.5680000000002</v>
          </cell>
          <cell r="E320">
            <v>6883.5680000000002</v>
          </cell>
          <cell r="F320">
            <v>8883.5679999999993</v>
          </cell>
        </row>
      </sheetData>
      <sheetData sheetId="2"/>
      <sheetData sheetId="3"/>
      <sheetData sheetId="4"/>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Ekzistuese"/>
      <sheetName val="87-DAP"/>
      <sheetName val="Formati 3 Politika te reja"/>
      <sheetName val="F.4. Alokimi i tavaneve per PE"/>
      <sheetName val="F.5. Investimet ne vazhdim"/>
      <sheetName val="F.6.Investime te reja"/>
    </sheetNames>
    <sheetDataSet>
      <sheetData sheetId="0">
        <row r="9">
          <cell r="C9" t="str">
            <v>Menaxhimi dhe Zhvillimi i Administratës Publike</v>
          </cell>
          <cell r="D9" t="str">
            <v>01330</v>
          </cell>
        </row>
      </sheetData>
      <sheetData sheetId="1">
        <row r="12">
          <cell r="D12" t="str">
            <v>• Përmirësimi, zhvillimi dhe monitorimi i strategjive, politikave dhe proceseve që zhvillon dhe menaxhon DAP;
• Krijimi i një administrate të qëndrueshme dhe të aftë për të përballuar sfidat në procesin e integrimit evropian;
• Rritja e trajnimeve të nëpunësve të administratës publike qendrore dhe vendore, sidomos në fushën e aftësive menaxheriale; 
• Përmirësimi i cilësisë së shërbimeve dhe produkteve të ofruara ndaj qytetarëve, si një përgjigje efektive ndaj nevojave për zhvillim të administratës publike
• Përmirësimi i aftësive të nëpunësve të DAP, për arritjen e qëllimeve dhe objektivave të institucionit konform me programin e qeverisë shqiptare.</v>
          </cell>
        </row>
        <row r="13">
          <cell r="D13" t="str">
            <v xml:space="preserve">Sigurimi i menaxhimit efiçent dhe efektiv të burimeve njerëzore për Departamentin e Administratës Publike si dhe monitorimi i këtij menaxhimi në institucionet e administratës qendrore </v>
          </cell>
        </row>
        <row r="15">
          <cell r="C15" t="str">
            <v xml:space="preserve">Numri i procedurave të konkurimit të zhvilluara në institucionet e administratës publike
</v>
          </cell>
        </row>
        <row r="16">
          <cell r="C16" t="str">
            <v>Raporte për menaxhimin e burimeve njerëzore në sistemin e shërbimit civil</v>
          </cell>
        </row>
        <row r="17">
          <cell r="C17" t="str">
            <v>Evente informuese mbi procedurat e aplikimit në shërbimin civil</v>
          </cell>
        </row>
        <row r="20">
          <cell r="D20" t="str">
            <v xml:space="preserve">Procedura konkurimi të zhvilluara në institucionet e administratës publike
</v>
          </cell>
        </row>
        <row r="21">
          <cell r="D21" t="str">
            <v>Zhvillimi i procedurave të pranimit në shërbimin civil, të lëvizjes paralele dhe ngritjes në detyrë në të gjitha fazat përbërëse të tyre.</v>
          </cell>
        </row>
        <row r="22">
          <cell r="D22" t="str">
            <v>Nr procedurash</v>
          </cell>
        </row>
      </sheetData>
      <sheetData sheetId="2"/>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214"/>
  <sheetViews>
    <sheetView view="pageBreakPreview" zoomScale="70" zoomScaleNormal="85" zoomScaleSheetLayoutView="70" workbookViewId="0">
      <selection activeCell="B19" sqref="B19:E19"/>
    </sheetView>
  </sheetViews>
  <sheetFormatPr defaultRowHeight="15" x14ac:dyDescent="0.25"/>
  <cols>
    <col min="1" max="1" width="21.7109375" style="1046" customWidth="1"/>
    <col min="2" max="2" width="13.140625" style="1046" customWidth="1"/>
    <col min="3" max="3" width="14.7109375" style="1046" customWidth="1"/>
    <col min="4" max="4" width="17.7109375" style="1046" customWidth="1"/>
    <col min="5" max="5" width="26.140625" style="1046" customWidth="1"/>
    <col min="6" max="6" width="11" style="1046" customWidth="1"/>
    <col min="7" max="7" width="11" style="1046" bestFit="1" customWidth="1"/>
    <col min="8" max="16384" width="9.140625" style="1046"/>
  </cols>
  <sheetData>
    <row r="1" spans="1:5" x14ac:dyDescent="0.25">
      <c r="A1" s="189" t="s">
        <v>898</v>
      </c>
      <c r="B1" s="188"/>
      <c r="C1" s="188"/>
      <c r="D1" s="188"/>
      <c r="E1"/>
    </row>
    <row r="2" spans="1:5" x14ac:dyDescent="0.25">
      <c r="A2"/>
      <c r="B2"/>
      <c r="C2"/>
      <c r="D2"/>
      <c r="E2"/>
    </row>
    <row r="3" spans="1:5" ht="15.75" thickBot="1" x14ac:dyDescent="0.3">
      <c r="A3"/>
      <c r="B3"/>
      <c r="C3"/>
      <c r="D3"/>
      <c r="E3"/>
    </row>
    <row r="4" spans="1:5" ht="48" thickBot="1" x14ac:dyDescent="0.3">
      <c r="A4" s="168" t="s">
        <v>897</v>
      </c>
      <c r="B4" s="1084" t="s">
        <v>1600</v>
      </c>
      <c r="C4" s="1085"/>
      <c r="D4" s="1085"/>
      <c r="E4" s="1086"/>
    </row>
    <row r="5" spans="1:5" ht="48" thickBot="1" x14ac:dyDescent="0.3">
      <c r="A5" s="36" t="s">
        <v>895</v>
      </c>
      <c r="B5" s="1087" t="s">
        <v>1601</v>
      </c>
      <c r="C5" s="1088"/>
      <c r="D5" s="1088"/>
      <c r="E5" s="1089"/>
    </row>
    <row r="6" spans="1:5" ht="193.5" customHeight="1" thickBot="1" x14ac:dyDescent="0.3">
      <c r="A6" s="36" t="s">
        <v>893</v>
      </c>
      <c r="B6" s="1090" t="s">
        <v>1602</v>
      </c>
      <c r="C6" s="1091"/>
      <c r="D6" s="1091"/>
      <c r="E6" s="1092"/>
    </row>
    <row r="7" spans="1:5" ht="48" thickBot="1" x14ac:dyDescent="0.3">
      <c r="A7" s="36" t="s">
        <v>891</v>
      </c>
      <c r="B7" s="167" t="s">
        <v>1603</v>
      </c>
      <c r="C7" s="1093" t="s">
        <v>7</v>
      </c>
      <c r="D7" s="1093"/>
      <c r="E7" s="1094"/>
    </row>
    <row r="8" spans="1:5" ht="48" thickBot="1" x14ac:dyDescent="0.3">
      <c r="A8" s="36" t="s">
        <v>929</v>
      </c>
      <c r="B8" s="187" t="s">
        <v>1604</v>
      </c>
      <c r="C8" s="1090" t="s">
        <v>1605</v>
      </c>
      <c r="D8" s="1091"/>
      <c r="E8" s="1092"/>
    </row>
    <row r="9" spans="1:5" ht="48" thickBot="1" x14ac:dyDescent="0.3">
      <c r="A9" s="36" t="s">
        <v>927</v>
      </c>
      <c r="B9" s="1045"/>
      <c r="C9" s="1095"/>
      <c r="D9" s="1095"/>
      <c r="E9" s="1096"/>
    </row>
    <row r="10" spans="1:5" ht="18" customHeight="1" x14ac:dyDescent="0.25">
      <c r="A10" s="1097" t="s">
        <v>1</v>
      </c>
      <c r="B10" s="1097"/>
      <c r="C10" s="1097"/>
      <c r="D10" s="1097"/>
      <c r="E10" s="1097"/>
    </row>
    <row r="11" spans="1:5" ht="16.5" thickBot="1" x14ac:dyDescent="0.3">
      <c r="A11" s="1047"/>
      <c r="B11" s="1047"/>
      <c r="C11" s="1047"/>
      <c r="D11" s="1047"/>
      <c r="E11" s="1047"/>
    </row>
    <row r="12" spans="1:5" ht="32.25" thickBot="1" x14ac:dyDescent="0.3">
      <c r="A12" s="36" t="s">
        <v>2</v>
      </c>
      <c r="B12" s="1098" t="s">
        <v>1606</v>
      </c>
      <c r="C12" s="1098"/>
      <c r="D12" s="1098"/>
      <c r="E12" s="1098"/>
    </row>
    <row r="13" spans="1:5" ht="16.5" thickBot="1" x14ac:dyDescent="0.3">
      <c r="A13" s="36" t="s">
        <v>3</v>
      </c>
      <c r="B13" s="1099" t="s">
        <v>1601</v>
      </c>
      <c r="C13" s="1100"/>
      <c r="D13" s="1100"/>
      <c r="E13" s="1101"/>
    </row>
    <row r="14" spans="1:5" ht="32.25" thickBot="1" x14ac:dyDescent="0.3">
      <c r="A14" s="36" t="s">
        <v>5</v>
      </c>
      <c r="B14" s="1102" t="s">
        <v>6</v>
      </c>
      <c r="C14" s="1103"/>
      <c r="D14" s="1103"/>
      <c r="E14" s="1104"/>
    </row>
    <row r="15" spans="1:5" ht="16.5" thickBot="1" x14ac:dyDescent="0.3">
      <c r="A15" s="1105" t="s">
        <v>7</v>
      </c>
      <c r="B15" s="1106"/>
      <c r="C15" s="1106"/>
      <c r="D15" s="1106"/>
      <c r="E15" s="1107"/>
    </row>
    <row r="16" spans="1:5" ht="15.75" thickBot="1" x14ac:dyDescent="0.3">
      <c r="A16" s="1081" t="s">
        <v>1605</v>
      </c>
      <c r="B16" s="1082"/>
      <c r="C16" s="1082"/>
      <c r="D16" s="1082"/>
      <c r="E16" s="1083"/>
    </row>
    <row r="17" spans="1:8" ht="26.25" customHeight="1" thickBot="1" x14ac:dyDescent="0.3">
      <c r="A17" s="1081"/>
      <c r="B17" s="1082"/>
      <c r="C17" s="1082"/>
      <c r="D17" s="1082"/>
      <c r="E17" s="1083"/>
    </row>
    <row r="18" spans="1:8" ht="15.75" hidden="1" thickBot="1" x14ac:dyDescent="0.3">
      <c r="A18" s="1081"/>
      <c r="B18" s="1082"/>
      <c r="C18" s="1082"/>
      <c r="D18" s="1082"/>
      <c r="E18" s="1083"/>
    </row>
    <row r="19" spans="1:8" ht="69" customHeight="1" thickBot="1" x14ac:dyDescent="0.3">
      <c r="A19" s="1048" t="s">
        <v>8</v>
      </c>
      <c r="B19" s="1110" t="s">
        <v>1607</v>
      </c>
      <c r="C19" s="1111"/>
      <c r="D19" s="1111"/>
      <c r="E19" s="1112"/>
    </row>
    <row r="20" spans="1:8" ht="23.25" customHeight="1" x14ac:dyDescent="0.25">
      <c r="A20" s="1108" t="s">
        <v>102</v>
      </c>
      <c r="B20" s="1049">
        <v>2018</v>
      </c>
      <c r="C20" s="1049">
        <v>2019</v>
      </c>
      <c r="D20" s="1049">
        <v>2020</v>
      </c>
      <c r="E20" s="1049">
        <v>2021</v>
      </c>
    </row>
    <row r="21" spans="1:8" ht="21" customHeight="1" thickBot="1" x14ac:dyDescent="0.3">
      <c r="A21" s="1109"/>
      <c r="B21" s="1050" t="s">
        <v>10</v>
      </c>
      <c r="C21" s="1050" t="s">
        <v>11</v>
      </c>
      <c r="D21" s="1050" t="s">
        <v>11</v>
      </c>
      <c r="E21" s="1050" t="s">
        <v>11</v>
      </c>
    </row>
    <row r="22" spans="1:8" ht="32.25" thickBot="1" x14ac:dyDescent="0.3">
      <c r="A22" s="220" t="s">
        <v>164</v>
      </c>
      <c r="B22" s="1051" t="s">
        <v>112</v>
      </c>
      <c r="C22" s="1051" t="s">
        <v>113</v>
      </c>
      <c r="D22" s="1051" t="s">
        <v>113</v>
      </c>
      <c r="E22" s="1051" t="s">
        <v>113</v>
      </c>
    </row>
    <row r="23" spans="1:8" ht="32.25" thickBot="1" x14ac:dyDescent="0.3">
      <c r="A23" s="220" t="s">
        <v>165</v>
      </c>
      <c r="B23" s="1051" t="s">
        <v>112</v>
      </c>
      <c r="C23" s="1051" t="s">
        <v>113</v>
      </c>
      <c r="D23" s="1051" t="s">
        <v>113</v>
      </c>
      <c r="E23" s="1051" t="s">
        <v>113</v>
      </c>
    </row>
    <row r="24" spans="1:8" ht="48" thickBot="1" x14ac:dyDescent="0.3">
      <c r="A24" s="220" t="s">
        <v>111</v>
      </c>
      <c r="B24" s="1051" t="s">
        <v>112</v>
      </c>
      <c r="C24" s="1051" t="s">
        <v>113</v>
      </c>
      <c r="D24" s="1051" t="s">
        <v>113</v>
      </c>
      <c r="E24" s="1051" t="s">
        <v>113</v>
      </c>
    </row>
    <row r="25" spans="1:8" ht="60" customHeight="1" thickBot="1" x14ac:dyDescent="0.3">
      <c r="A25" s="1052" t="s">
        <v>12</v>
      </c>
      <c r="B25" s="1113" t="s">
        <v>1608</v>
      </c>
      <c r="C25" s="1114"/>
      <c r="D25" s="1114"/>
      <c r="E25" s="1115"/>
    </row>
    <row r="26" spans="1:8" ht="23.25" customHeight="1" thickBot="1" x14ac:dyDescent="0.3">
      <c r="A26" s="1102" t="s">
        <v>103</v>
      </c>
      <c r="B26" s="1103"/>
      <c r="C26" s="1103"/>
      <c r="D26" s="1103"/>
      <c r="E26" s="1104"/>
      <c r="F26" s="1053"/>
      <c r="H26" s="1053"/>
    </row>
    <row r="27" spans="1:8" ht="16.5" thickBot="1" x14ac:dyDescent="0.3">
      <c r="A27" s="220" t="s">
        <v>1609</v>
      </c>
      <c r="B27" s="1054">
        <v>250</v>
      </c>
      <c r="C27" s="1051">
        <v>1.02</v>
      </c>
      <c r="D27" s="1051">
        <v>1.03</v>
      </c>
      <c r="E27" s="1051">
        <v>1.04</v>
      </c>
    </row>
    <row r="28" spans="1:8" ht="32.25" thickBot="1" x14ac:dyDescent="0.3">
      <c r="A28" s="220" t="s">
        <v>165</v>
      </c>
      <c r="B28" s="1051" t="s">
        <v>112</v>
      </c>
      <c r="C28" s="1051" t="s">
        <v>113</v>
      </c>
      <c r="D28" s="1051" t="s">
        <v>113</v>
      </c>
      <c r="E28" s="1051" t="s">
        <v>113</v>
      </c>
    </row>
    <row r="29" spans="1:8" ht="48" thickBot="1" x14ac:dyDescent="0.3">
      <c r="A29" s="220" t="s">
        <v>111</v>
      </c>
      <c r="B29" s="1051" t="s">
        <v>112</v>
      </c>
      <c r="C29" s="1051" t="s">
        <v>113</v>
      </c>
      <c r="D29" s="1051" t="s">
        <v>113</v>
      </c>
      <c r="E29" s="1051" t="s">
        <v>113</v>
      </c>
    </row>
    <row r="30" spans="1:8" ht="16.5" thickBot="1" x14ac:dyDescent="0.3">
      <c r="A30" s="1116" t="s">
        <v>14</v>
      </c>
      <c r="B30" s="1117"/>
      <c r="C30" s="1117"/>
      <c r="D30" s="1117"/>
      <c r="E30" s="1118"/>
    </row>
    <row r="31" spans="1:8" ht="16.5" thickBot="1" x14ac:dyDescent="0.3">
      <c r="A31" s="1116" t="s">
        <v>104</v>
      </c>
      <c r="B31" s="1117"/>
      <c r="C31" s="1117"/>
      <c r="D31" s="1117"/>
      <c r="E31" s="1118"/>
    </row>
    <row r="32" spans="1:8" ht="28.5" customHeight="1" thickBot="1" x14ac:dyDescent="0.3">
      <c r="A32" s="42" t="s">
        <v>105</v>
      </c>
      <c r="B32" s="1119" t="s">
        <v>1610</v>
      </c>
      <c r="C32" s="1110"/>
      <c r="D32" s="1110"/>
      <c r="E32" s="1120"/>
    </row>
    <row r="33" spans="1:9" ht="54" customHeight="1" thickBot="1" x14ac:dyDescent="0.3">
      <c r="A33" s="220" t="s">
        <v>17</v>
      </c>
      <c r="B33" s="1102" t="s">
        <v>1611</v>
      </c>
      <c r="C33" s="1103"/>
      <c r="D33" s="1103"/>
      <c r="E33" s="1104"/>
    </row>
    <row r="34" spans="1:9" ht="16.5" thickBot="1" x14ac:dyDescent="0.3">
      <c r="A34" s="220" t="s">
        <v>18</v>
      </c>
      <c r="B34" s="1121" t="s">
        <v>1609</v>
      </c>
      <c r="C34" s="1122"/>
      <c r="D34" s="1122"/>
      <c r="E34" s="1123"/>
    </row>
    <row r="35" spans="1:9" ht="12.75" customHeight="1" x14ac:dyDescent="0.25">
      <c r="A35" s="1108"/>
      <c r="B35" s="1055">
        <v>2018</v>
      </c>
      <c r="C35" s="1055">
        <v>2019</v>
      </c>
      <c r="D35" s="1055">
        <v>2020</v>
      </c>
      <c r="E35" s="1055">
        <v>2021</v>
      </c>
    </row>
    <row r="36" spans="1:9" ht="14.25" customHeight="1" thickBot="1" x14ac:dyDescent="0.3">
      <c r="A36" s="1109"/>
      <c r="B36" s="1056" t="s">
        <v>10</v>
      </c>
      <c r="C36" s="1056" t="s">
        <v>11</v>
      </c>
      <c r="D36" s="1056" t="s">
        <v>11</v>
      </c>
      <c r="E36" s="1056" t="s">
        <v>11</v>
      </c>
    </row>
    <row r="37" spans="1:9" ht="16.5" thickBot="1" x14ac:dyDescent="0.3">
      <c r="A37" s="220" t="s">
        <v>19</v>
      </c>
      <c r="B37" s="1057">
        <v>250</v>
      </c>
      <c r="C37" s="1057">
        <v>255</v>
      </c>
      <c r="D37" s="1057">
        <v>258</v>
      </c>
      <c r="E37" s="1057">
        <v>260</v>
      </c>
    </row>
    <row r="38" spans="1:9" ht="32.25" thickBot="1" x14ac:dyDescent="0.3">
      <c r="A38" s="220" t="s">
        <v>20</v>
      </c>
      <c r="B38" s="1057">
        <v>73741</v>
      </c>
      <c r="C38" s="1057">
        <v>75491</v>
      </c>
      <c r="D38" s="1057">
        <v>75491</v>
      </c>
      <c r="E38" s="1057">
        <v>75491</v>
      </c>
    </row>
    <row r="39" spans="1:9" ht="32.25" thickBot="1" x14ac:dyDescent="0.3">
      <c r="A39" s="220" t="s">
        <v>21</v>
      </c>
      <c r="B39" s="1057">
        <f>B38/B37</f>
        <v>294.964</v>
      </c>
      <c r="C39" s="1057">
        <f>C38/C37</f>
        <v>296.04313725490198</v>
      </c>
      <c r="D39" s="1057">
        <f>D38/D37</f>
        <v>292.60077519379843</v>
      </c>
      <c r="E39" s="1057">
        <f>E38/E37</f>
        <v>290.35000000000002</v>
      </c>
    </row>
    <row r="40" spans="1:9" ht="32.25" thickBot="1" x14ac:dyDescent="0.3">
      <c r="A40" s="220" t="s">
        <v>22</v>
      </c>
      <c r="B40" s="220" t="s">
        <v>23</v>
      </c>
      <c r="C40" s="1058">
        <f>C37/B37-1</f>
        <v>2.0000000000000018E-2</v>
      </c>
      <c r="D40" s="1058">
        <f t="shared" ref="D40:E42" si="0">D37/C37-1</f>
        <v>1.1764705882352899E-2</v>
      </c>
      <c r="E40" s="1058">
        <f t="shared" si="0"/>
        <v>7.7519379844961378E-3</v>
      </c>
      <c r="F40" s="1059"/>
      <c r="G40" s="1059"/>
      <c r="H40" s="1059"/>
      <c r="I40" s="1059"/>
    </row>
    <row r="41" spans="1:9" ht="32.25" thickBot="1" x14ac:dyDescent="0.3">
      <c r="A41" s="220" t="s">
        <v>24</v>
      </c>
      <c r="B41" s="220" t="s">
        <v>23</v>
      </c>
      <c r="C41" s="1058">
        <f>C38/B38-1</f>
        <v>2.373170963236193E-2</v>
      </c>
      <c r="D41" s="1058">
        <f t="shared" si="0"/>
        <v>0</v>
      </c>
      <c r="E41" s="1058">
        <f t="shared" si="0"/>
        <v>0</v>
      </c>
    </row>
    <row r="42" spans="1:9" ht="32.25" thickBot="1" x14ac:dyDescent="0.3">
      <c r="A42" s="220" t="s">
        <v>25</v>
      </c>
      <c r="B42" s="220" t="s">
        <v>23</v>
      </c>
      <c r="C42" s="1058">
        <f>C39/B39-1</f>
        <v>3.6585388552567988E-3</v>
      </c>
      <c r="D42" s="1058">
        <f t="shared" si="0"/>
        <v>-1.1627906976744318E-2</v>
      </c>
      <c r="E42" s="1058">
        <f t="shared" si="0"/>
        <v>-7.692307692307554E-3</v>
      </c>
    </row>
    <row r="43" spans="1:9" ht="16.5" thickBot="1" x14ac:dyDescent="0.3">
      <c r="A43" s="1124" t="s">
        <v>436</v>
      </c>
      <c r="B43" s="1125"/>
      <c r="C43" s="1125"/>
      <c r="D43" s="1125"/>
      <c r="E43" s="1126"/>
    </row>
    <row r="44" spans="1:9" ht="12.75" customHeight="1" x14ac:dyDescent="0.25">
      <c r="A44" s="1108"/>
      <c r="B44" s="1055">
        <v>2018</v>
      </c>
      <c r="C44" s="1055">
        <v>2019</v>
      </c>
      <c r="D44" s="1055">
        <v>2020</v>
      </c>
      <c r="E44" s="1055">
        <v>2021</v>
      </c>
    </row>
    <row r="45" spans="1:9" ht="15" customHeight="1" thickBot="1" x14ac:dyDescent="0.3">
      <c r="A45" s="1109"/>
      <c r="B45" s="1056" t="s">
        <v>10</v>
      </c>
      <c r="C45" s="1056" t="s">
        <v>11</v>
      </c>
      <c r="D45" s="1056" t="s">
        <v>11</v>
      </c>
      <c r="E45" s="1056" t="s">
        <v>11</v>
      </c>
    </row>
    <row r="46" spans="1:9" ht="16.5" thickBot="1" x14ac:dyDescent="0.3">
      <c r="A46" s="49" t="s">
        <v>26</v>
      </c>
      <c r="B46" s="1060">
        <v>38250</v>
      </c>
      <c r="C46" s="1060">
        <v>38250</v>
      </c>
      <c r="D46" s="1060">
        <v>38250</v>
      </c>
      <c r="E46" s="1060">
        <v>38250</v>
      </c>
    </row>
    <row r="47" spans="1:9" ht="48" thickBot="1" x14ac:dyDescent="0.3">
      <c r="A47" s="49" t="s">
        <v>28</v>
      </c>
      <c r="B47" s="1060">
        <v>5991</v>
      </c>
      <c r="C47" s="1060">
        <v>5991</v>
      </c>
      <c r="D47" s="1060">
        <v>5991</v>
      </c>
      <c r="E47" s="1060">
        <v>5991</v>
      </c>
    </row>
    <row r="48" spans="1:9" ht="32.25" thickBot="1" x14ac:dyDescent="0.3">
      <c r="A48" s="49" t="s">
        <v>30</v>
      </c>
      <c r="B48" s="1061">
        <v>29500</v>
      </c>
      <c r="C48" s="1060">
        <v>31250</v>
      </c>
      <c r="D48" s="1060">
        <v>31250</v>
      </c>
      <c r="E48" s="1060">
        <v>31250</v>
      </c>
    </row>
    <row r="49" spans="1:8" ht="32.25" thickBot="1" x14ac:dyDescent="0.3">
      <c r="A49" s="51" t="s">
        <v>40</v>
      </c>
      <c r="B49" s="1061">
        <f>B48+B47+B46</f>
        <v>73741</v>
      </c>
      <c r="C49" s="1061">
        <f>C48+C47+C46</f>
        <v>75491</v>
      </c>
      <c r="D49" s="1061">
        <f>D48+D47+D46</f>
        <v>75491</v>
      </c>
      <c r="E49" s="1061">
        <f>E48+E47+E46</f>
        <v>75491</v>
      </c>
    </row>
    <row r="50" spans="1:8" ht="16.5" thickBot="1" x14ac:dyDescent="0.3">
      <c r="A50" s="1062" t="s">
        <v>41</v>
      </c>
      <c r="B50" s="1063">
        <f>IF(B49-B38=0,0,"Error")</f>
        <v>0</v>
      </c>
      <c r="C50" s="1063">
        <f>IF(C49-C38=0,0,"Error")</f>
        <v>0</v>
      </c>
      <c r="D50" s="1063">
        <f>IF(D49-D38=0,0,"Error")</f>
        <v>0</v>
      </c>
      <c r="E50" s="1063">
        <f>IF(E49-E38=0,0,"Error")</f>
        <v>0</v>
      </c>
    </row>
    <row r="51" spans="1:8" ht="72.75" customHeight="1" thickBot="1" x14ac:dyDescent="0.3">
      <c r="A51" s="1052" t="s">
        <v>67</v>
      </c>
      <c r="B51" s="1113" t="s">
        <v>1612</v>
      </c>
      <c r="C51" s="1114"/>
      <c r="D51" s="1114"/>
      <c r="E51" s="1115"/>
    </row>
    <row r="52" spans="1:8" ht="23.25" customHeight="1" thickBot="1" x14ac:dyDescent="0.3">
      <c r="A52" s="1102" t="s">
        <v>134</v>
      </c>
      <c r="B52" s="1103"/>
      <c r="C52" s="1103"/>
      <c r="D52" s="1103"/>
      <c r="E52" s="1104"/>
      <c r="F52" s="1053"/>
      <c r="H52" s="1053"/>
    </row>
    <row r="53" spans="1:8" ht="16.5" thickBot="1" x14ac:dyDescent="0.3">
      <c r="A53" s="220" t="s">
        <v>1613</v>
      </c>
      <c r="B53" s="1054">
        <v>27</v>
      </c>
      <c r="C53" s="1051">
        <v>1.04</v>
      </c>
      <c r="D53" s="1051">
        <v>1.07</v>
      </c>
      <c r="E53" s="1051">
        <v>1.1100000000000001</v>
      </c>
    </row>
    <row r="54" spans="1:8" ht="32.25" thickBot="1" x14ac:dyDescent="0.3">
      <c r="A54" s="220" t="s">
        <v>165</v>
      </c>
      <c r="B54" s="1051" t="s">
        <v>112</v>
      </c>
      <c r="C54" s="1051" t="s">
        <v>113</v>
      </c>
      <c r="D54" s="1051" t="s">
        <v>113</v>
      </c>
      <c r="E54" s="1051" t="s">
        <v>113</v>
      </c>
    </row>
    <row r="55" spans="1:8" ht="48" thickBot="1" x14ac:dyDescent="0.3">
      <c r="A55" s="220" t="s">
        <v>111</v>
      </c>
      <c r="B55" s="1051" t="s">
        <v>112</v>
      </c>
      <c r="C55" s="1051" t="s">
        <v>113</v>
      </c>
      <c r="D55" s="1051" t="s">
        <v>113</v>
      </c>
      <c r="E55" s="1051" t="s">
        <v>113</v>
      </c>
      <c r="F55" s="1103"/>
      <c r="G55" s="1103"/>
      <c r="H55" s="1104"/>
    </row>
    <row r="56" spans="1:8" ht="16.5" thickBot="1" x14ac:dyDescent="0.3">
      <c r="A56" s="1116" t="s">
        <v>69</v>
      </c>
      <c r="B56" s="1117"/>
      <c r="C56" s="1117"/>
      <c r="D56" s="1117"/>
      <c r="E56" s="1118"/>
    </row>
    <row r="57" spans="1:8" ht="16.5" thickBot="1" x14ac:dyDescent="0.3">
      <c r="A57" s="42" t="s">
        <v>1614</v>
      </c>
      <c r="B57" s="1127" t="s">
        <v>1615</v>
      </c>
      <c r="C57" s="1128"/>
      <c r="D57" s="1128"/>
      <c r="E57" s="1129"/>
    </row>
    <row r="58" spans="1:8" ht="31.5" customHeight="1" thickBot="1" x14ac:dyDescent="0.3">
      <c r="A58" s="220" t="s">
        <v>17</v>
      </c>
      <c r="B58" s="1102" t="s">
        <v>1616</v>
      </c>
      <c r="C58" s="1103"/>
      <c r="D58" s="1103"/>
      <c r="E58" s="1104"/>
    </row>
    <row r="59" spans="1:8" ht="16.5" thickBot="1" x14ac:dyDescent="0.3">
      <c r="A59" s="220" t="s">
        <v>18</v>
      </c>
      <c r="B59" s="1121" t="s">
        <v>1617</v>
      </c>
      <c r="C59" s="1122"/>
      <c r="D59" s="1122"/>
      <c r="E59" s="1123"/>
    </row>
    <row r="60" spans="1:8" ht="16.5" thickBot="1" x14ac:dyDescent="0.3">
      <c r="A60" s="220" t="s">
        <v>19</v>
      </c>
      <c r="B60" s="1057">
        <v>27</v>
      </c>
      <c r="C60" s="1057">
        <v>28</v>
      </c>
      <c r="D60" s="1057">
        <v>29</v>
      </c>
      <c r="E60" s="1057">
        <v>30</v>
      </c>
    </row>
    <row r="61" spans="1:8" ht="12.75" customHeight="1" x14ac:dyDescent="0.25">
      <c r="A61" s="1108"/>
      <c r="B61" s="1055">
        <v>2018</v>
      </c>
      <c r="C61" s="1055">
        <v>2019</v>
      </c>
      <c r="D61" s="1055">
        <v>2020</v>
      </c>
      <c r="E61" s="1055">
        <v>2021</v>
      </c>
    </row>
    <row r="62" spans="1:8" ht="13.5" customHeight="1" thickBot="1" x14ac:dyDescent="0.3">
      <c r="A62" s="1109"/>
      <c r="B62" s="1056" t="s">
        <v>10</v>
      </c>
      <c r="C62" s="1056" t="s">
        <v>11</v>
      </c>
      <c r="D62" s="1056" t="s">
        <v>11</v>
      </c>
      <c r="E62" s="1056" t="s">
        <v>11</v>
      </c>
    </row>
    <row r="63" spans="1:8" ht="32.25" thickBot="1" x14ac:dyDescent="0.3">
      <c r="A63" s="220" t="s">
        <v>20</v>
      </c>
      <c r="B63" s="1057">
        <v>74702</v>
      </c>
      <c r="C63" s="1057">
        <v>77292</v>
      </c>
      <c r="D63" s="1057">
        <v>77292</v>
      </c>
      <c r="E63" s="1057">
        <v>77292</v>
      </c>
    </row>
    <row r="64" spans="1:8" ht="32.25" thickBot="1" x14ac:dyDescent="0.3">
      <c r="A64" s="220" t="s">
        <v>21</v>
      </c>
      <c r="B64" s="1057">
        <f>B63/B60</f>
        <v>2766.7407407407409</v>
      </c>
      <c r="C64" s="1057">
        <f>C63/C60</f>
        <v>2760.4285714285716</v>
      </c>
      <c r="D64" s="1057">
        <f>D63/D60</f>
        <v>2665.2413793103447</v>
      </c>
      <c r="E64" s="1057">
        <f>E63/E60</f>
        <v>2576.4</v>
      </c>
    </row>
    <row r="65" spans="1:5" ht="32.25" thickBot="1" x14ac:dyDescent="0.3">
      <c r="A65" s="220" t="s">
        <v>22</v>
      </c>
      <c r="B65" s="220"/>
      <c r="C65" s="1058">
        <f>C60/B60-1</f>
        <v>3.7037037037036979E-2</v>
      </c>
      <c r="D65" s="1058">
        <f>D60/C60-1</f>
        <v>3.5714285714285809E-2</v>
      </c>
      <c r="E65" s="1058">
        <f>E60/D60-1</f>
        <v>3.4482758620689724E-2</v>
      </c>
    </row>
    <row r="66" spans="1:5" ht="32.25" thickBot="1" x14ac:dyDescent="0.3">
      <c r="A66" s="220" t="s">
        <v>24</v>
      </c>
      <c r="B66" s="220"/>
      <c r="C66" s="1058">
        <f t="shared" ref="C66:E67" si="1">C63/B63-1</f>
        <v>3.4671093143423093E-2</v>
      </c>
      <c r="D66" s="1058">
        <f t="shared" si="1"/>
        <v>0</v>
      </c>
      <c r="E66" s="1058">
        <f t="shared" si="1"/>
        <v>0</v>
      </c>
    </row>
    <row r="67" spans="1:5" ht="32.25" thickBot="1" x14ac:dyDescent="0.3">
      <c r="A67" s="220" t="s">
        <v>25</v>
      </c>
      <c r="B67" s="220"/>
      <c r="C67" s="1058">
        <f t="shared" si="1"/>
        <v>-2.2814458974133034E-3</v>
      </c>
      <c r="D67" s="1058">
        <f t="shared" si="1"/>
        <v>-3.4482758620689724E-2</v>
      </c>
      <c r="E67" s="1058">
        <f t="shared" si="1"/>
        <v>-3.3333333333333215E-2</v>
      </c>
    </row>
    <row r="68" spans="1:5" ht="24.75" customHeight="1" thickBot="1" x14ac:dyDescent="0.3">
      <c r="A68" s="1124" t="s">
        <v>1618</v>
      </c>
      <c r="B68" s="1125"/>
      <c r="C68" s="1125"/>
      <c r="D68" s="1125"/>
      <c r="E68" s="1126"/>
    </row>
    <row r="69" spans="1:5" ht="12.75" customHeight="1" x14ac:dyDescent="0.25">
      <c r="A69" s="1108"/>
      <c r="B69" s="1055">
        <v>2018</v>
      </c>
      <c r="C69" s="1055">
        <v>2019</v>
      </c>
      <c r="D69" s="1055">
        <v>2020</v>
      </c>
      <c r="E69" s="1055">
        <v>2021</v>
      </c>
    </row>
    <row r="70" spans="1:5" ht="14.25" customHeight="1" thickBot="1" x14ac:dyDescent="0.3">
      <c r="A70" s="1109"/>
      <c r="B70" s="1056" t="s">
        <v>10</v>
      </c>
      <c r="C70" s="1056" t="s">
        <v>11</v>
      </c>
      <c r="D70" s="1056" t="s">
        <v>11</v>
      </c>
      <c r="E70" s="1056" t="s">
        <v>11</v>
      </c>
    </row>
    <row r="71" spans="1:5" ht="24.75" customHeight="1" thickBot="1" x14ac:dyDescent="0.3">
      <c r="A71" s="49" t="s">
        <v>26</v>
      </c>
      <c r="B71" s="1060">
        <v>27050</v>
      </c>
      <c r="C71" s="1060">
        <v>27050</v>
      </c>
      <c r="D71" s="1060">
        <v>27050</v>
      </c>
      <c r="E71" s="1060">
        <v>27050</v>
      </c>
    </row>
    <row r="72" spans="1:5" ht="28.5" customHeight="1" thickBot="1" x14ac:dyDescent="0.3">
      <c r="A72" s="49" t="s">
        <v>28</v>
      </c>
      <c r="B72" s="1060">
        <v>3992</v>
      </c>
      <c r="C72" s="1060">
        <v>3992</v>
      </c>
      <c r="D72" s="1060">
        <v>3992</v>
      </c>
      <c r="E72" s="1060">
        <v>3992</v>
      </c>
    </row>
    <row r="73" spans="1:5" ht="24.75" customHeight="1" thickBot="1" x14ac:dyDescent="0.3">
      <c r="A73" s="49" t="s">
        <v>30</v>
      </c>
      <c r="B73" s="1061">
        <v>43660</v>
      </c>
      <c r="C73" s="1060">
        <v>46250</v>
      </c>
      <c r="D73" s="1060">
        <v>46250</v>
      </c>
      <c r="E73" s="1060">
        <v>46250</v>
      </c>
    </row>
    <row r="74" spans="1:5" ht="32.25" thickBot="1" x14ac:dyDescent="0.3">
      <c r="A74" s="1064" t="s">
        <v>74</v>
      </c>
      <c r="B74" s="1061">
        <f>B73+B72+B71</f>
        <v>74702</v>
      </c>
      <c r="C74" s="1061">
        <f>C73+C72+C71</f>
        <v>77292</v>
      </c>
      <c r="D74" s="1061">
        <f>D73+D72+D71</f>
        <v>77292</v>
      </c>
      <c r="E74" s="1061">
        <f>E73+E72+E71</f>
        <v>77292</v>
      </c>
    </row>
    <row r="75" spans="1:5" ht="17.25" customHeight="1" thickBot="1" x14ac:dyDescent="0.3">
      <c r="A75" s="1062" t="s">
        <v>41</v>
      </c>
      <c r="B75" s="1063">
        <f>IF(B74-B63=0,0,"Error")</f>
        <v>0</v>
      </c>
      <c r="C75" s="1063">
        <f>IF(C74-C63=0,0,"Error")</f>
        <v>0</v>
      </c>
      <c r="D75" s="1063">
        <f>IF(D74-D63=0,0,"Error")</f>
        <v>0</v>
      </c>
      <c r="E75" s="1063">
        <f>IF(E74-E63=0,0,"Error")</f>
        <v>0</v>
      </c>
    </row>
    <row r="76" spans="1:5" ht="63.75" customHeight="1" thickBot="1" x14ac:dyDescent="0.3">
      <c r="A76" s="1052" t="s">
        <v>75</v>
      </c>
      <c r="B76" s="1113" t="s">
        <v>1619</v>
      </c>
      <c r="C76" s="1114"/>
      <c r="D76" s="1114"/>
      <c r="E76" s="1115"/>
    </row>
    <row r="77" spans="1:5" ht="17.25" customHeight="1" thickBot="1" x14ac:dyDescent="0.3">
      <c r="A77" s="1102" t="s">
        <v>367</v>
      </c>
      <c r="B77" s="1103"/>
      <c r="C77" s="1103"/>
      <c r="D77" s="1103"/>
      <c r="E77" s="1104"/>
    </row>
    <row r="78" spans="1:5" ht="17.25" customHeight="1" thickBot="1" x14ac:dyDescent="0.3">
      <c r="A78" s="220" t="s">
        <v>1620</v>
      </c>
      <c r="B78" s="1054">
        <v>200</v>
      </c>
      <c r="C78" s="1051">
        <v>1.03</v>
      </c>
      <c r="D78" s="1051">
        <v>1.04</v>
      </c>
      <c r="E78" s="1051">
        <v>1.05</v>
      </c>
    </row>
    <row r="79" spans="1:5" ht="17.25" customHeight="1" thickBot="1" x14ac:dyDescent="0.3">
      <c r="A79" s="220" t="s">
        <v>165</v>
      </c>
      <c r="B79" s="1051" t="s">
        <v>112</v>
      </c>
      <c r="C79" s="1051" t="s">
        <v>113</v>
      </c>
      <c r="D79" s="1051" t="s">
        <v>113</v>
      </c>
      <c r="E79" s="1051" t="s">
        <v>113</v>
      </c>
    </row>
    <row r="80" spans="1:5" ht="24" customHeight="1" thickBot="1" x14ac:dyDescent="0.3">
      <c r="A80" s="220" t="s">
        <v>111</v>
      </c>
      <c r="B80" s="1051" t="s">
        <v>112</v>
      </c>
      <c r="C80" s="1051" t="s">
        <v>113</v>
      </c>
      <c r="D80" s="1051" t="s">
        <v>113</v>
      </c>
      <c r="E80" s="1051" t="s">
        <v>113</v>
      </c>
    </row>
    <row r="81" spans="1:5" ht="17.25" customHeight="1" thickBot="1" x14ac:dyDescent="0.3">
      <c r="A81" s="1116" t="s">
        <v>77</v>
      </c>
      <c r="B81" s="1117"/>
      <c r="C81" s="1117"/>
      <c r="D81" s="1117"/>
      <c r="E81" s="1118"/>
    </row>
    <row r="82" spans="1:5" ht="17.25" customHeight="1" thickBot="1" x14ac:dyDescent="0.3">
      <c r="A82" s="110" t="s">
        <v>1621</v>
      </c>
      <c r="B82" s="1133" t="s">
        <v>1622</v>
      </c>
      <c r="C82" s="1111"/>
      <c r="D82" s="1111"/>
      <c r="E82" s="1112"/>
    </row>
    <row r="83" spans="1:5" ht="32.25" thickBot="1" x14ac:dyDescent="0.3">
      <c r="A83" s="220" t="s">
        <v>17</v>
      </c>
      <c r="B83" s="1102" t="s">
        <v>1623</v>
      </c>
      <c r="C83" s="1103"/>
      <c r="D83" s="1103"/>
      <c r="E83" s="1104"/>
    </row>
    <row r="84" spans="1:5" ht="17.25" customHeight="1" thickBot="1" x14ac:dyDescent="0.3">
      <c r="A84" s="220" t="s">
        <v>18</v>
      </c>
      <c r="B84" s="1121" t="s">
        <v>1620</v>
      </c>
      <c r="C84" s="1122"/>
      <c r="D84" s="1122"/>
      <c r="E84" s="1123"/>
    </row>
    <row r="85" spans="1:5" ht="17.25" customHeight="1" thickBot="1" x14ac:dyDescent="0.3">
      <c r="A85" s="220" t="s">
        <v>19</v>
      </c>
      <c r="B85" s="1057">
        <v>200</v>
      </c>
      <c r="C85" s="1057">
        <v>205</v>
      </c>
      <c r="D85" s="1057">
        <v>208</v>
      </c>
      <c r="E85" s="1057">
        <v>210</v>
      </c>
    </row>
    <row r="86" spans="1:5" ht="17.25" customHeight="1" x14ac:dyDescent="0.25">
      <c r="A86" s="1108"/>
      <c r="B86" s="1055">
        <v>2018</v>
      </c>
      <c r="C86" s="1055">
        <v>2019</v>
      </c>
      <c r="D86" s="1055">
        <v>2020</v>
      </c>
      <c r="E86" s="1055">
        <v>2021</v>
      </c>
    </row>
    <row r="87" spans="1:5" ht="17.25" customHeight="1" thickBot="1" x14ac:dyDescent="0.3">
      <c r="A87" s="1109"/>
      <c r="B87" s="1056" t="s">
        <v>10</v>
      </c>
      <c r="C87" s="1056" t="s">
        <v>11</v>
      </c>
      <c r="D87" s="1056" t="s">
        <v>11</v>
      </c>
      <c r="E87" s="1056" t="s">
        <v>11</v>
      </c>
    </row>
    <row r="88" spans="1:5" ht="32.25" thickBot="1" x14ac:dyDescent="0.3">
      <c r="A88" s="220" t="s">
        <v>20</v>
      </c>
      <c r="B88" s="1057">
        <v>81057</v>
      </c>
      <c r="C88" s="1057">
        <v>83717</v>
      </c>
      <c r="D88" s="1057">
        <v>83717</v>
      </c>
      <c r="E88" s="1057">
        <v>83717</v>
      </c>
    </row>
    <row r="89" spans="1:5" ht="32.25" thickBot="1" x14ac:dyDescent="0.3">
      <c r="A89" s="220" t="s">
        <v>21</v>
      </c>
      <c r="B89" s="1057">
        <f>B88/B85</f>
        <v>405.28500000000003</v>
      </c>
      <c r="C89" s="1057">
        <f>C88/C85</f>
        <v>408.37560975609756</v>
      </c>
      <c r="D89" s="1057">
        <f>D88/D85</f>
        <v>402.48557692307691</v>
      </c>
      <c r="E89" s="1057">
        <f>E88/E85</f>
        <v>398.65238095238095</v>
      </c>
    </row>
    <row r="90" spans="1:5" ht="32.25" thickBot="1" x14ac:dyDescent="0.3">
      <c r="A90" s="220" t="s">
        <v>22</v>
      </c>
      <c r="B90" s="220"/>
      <c r="C90" s="1058">
        <f>C85/B85-1</f>
        <v>2.4999999999999911E-2</v>
      </c>
      <c r="D90" s="1058">
        <f>D85/C85-1</f>
        <v>1.4634146341463428E-2</v>
      </c>
      <c r="E90" s="1058">
        <f>E85/D85-1</f>
        <v>9.6153846153845812E-3</v>
      </c>
    </row>
    <row r="91" spans="1:5" ht="32.25" thickBot="1" x14ac:dyDescent="0.3">
      <c r="A91" s="220" t="s">
        <v>24</v>
      </c>
      <c r="B91" s="220"/>
      <c r="C91" s="1058">
        <f t="shared" ref="C91:E92" si="2">C88/B88-1</f>
        <v>3.2816413141369738E-2</v>
      </c>
      <c r="D91" s="1058">
        <f t="shared" si="2"/>
        <v>0</v>
      </c>
      <c r="E91" s="1058">
        <f t="shared" si="2"/>
        <v>0</v>
      </c>
    </row>
    <row r="92" spans="1:5" ht="32.25" thickBot="1" x14ac:dyDescent="0.3">
      <c r="A92" s="220" t="s">
        <v>25</v>
      </c>
      <c r="B92" s="220"/>
      <c r="C92" s="1058">
        <f t="shared" si="2"/>
        <v>7.6257689184093813E-3</v>
      </c>
      <c r="D92" s="1058">
        <f t="shared" si="2"/>
        <v>-1.4423076923076983E-2</v>
      </c>
      <c r="E92" s="1058">
        <f t="shared" si="2"/>
        <v>-9.52380952380949E-3</v>
      </c>
    </row>
    <row r="93" spans="1:5" ht="17.25" customHeight="1" thickBot="1" x14ac:dyDescent="0.3">
      <c r="A93" s="1124" t="s">
        <v>1618</v>
      </c>
      <c r="B93" s="1125"/>
      <c r="C93" s="1125"/>
      <c r="D93" s="1125"/>
      <c r="E93" s="1126"/>
    </row>
    <row r="94" spans="1:5" ht="17.25" customHeight="1" x14ac:dyDescent="0.25">
      <c r="A94" s="1108"/>
      <c r="B94" s="1055">
        <v>2018</v>
      </c>
      <c r="C94" s="1055">
        <v>2019</v>
      </c>
      <c r="D94" s="1055">
        <v>2020</v>
      </c>
      <c r="E94" s="1055">
        <v>2021</v>
      </c>
    </row>
    <row r="95" spans="1:5" ht="17.25" customHeight="1" thickBot="1" x14ac:dyDescent="0.3">
      <c r="A95" s="1109"/>
      <c r="B95" s="1056" t="s">
        <v>10</v>
      </c>
      <c r="C95" s="1056" t="s">
        <v>11</v>
      </c>
      <c r="D95" s="1056" t="s">
        <v>11</v>
      </c>
      <c r="E95" s="1056" t="s">
        <v>11</v>
      </c>
    </row>
    <row r="96" spans="1:5" ht="16.5" thickBot="1" x14ac:dyDescent="0.3">
      <c r="A96" s="49" t="s">
        <v>26</v>
      </c>
      <c r="B96" s="1060">
        <v>31400</v>
      </c>
      <c r="C96" s="1060">
        <v>31400</v>
      </c>
      <c r="D96" s="1060">
        <v>31400</v>
      </c>
      <c r="E96" s="1060">
        <v>31400</v>
      </c>
    </row>
    <row r="97" spans="1:9" ht="48" thickBot="1" x14ac:dyDescent="0.3">
      <c r="A97" s="49" t="s">
        <v>28</v>
      </c>
      <c r="B97" s="1060">
        <v>4817</v>
      </c>
      <c r="C97" s="1060">
        <v>4817</v>
      </c>
      <c r="D97" s="1060">
        <v>4817</v>
      </c>
      <c r="E97" s="1060">
        <v>4817</v>
      </c>
    </row>
    <row r="98" spans="1:9" ht="32.25" thickBot="1" x14ac:dyDescent="0.3">
      <c r="A98" s="49" t="s">
        <v>30</v>
      </c>
      <c r="B98" s="1061">
        <v>44840</v>
      </c>
      <c r="C98" s="1060">
        <v>47500</v>
      </c>
      <c r="D98" s="1060">
        <v>47500</v>
      </c>
      <c r="E98" s="1060">
        <v>47500</v>
      </c>
    </row>
    <row r="99" spans="1:9" ht="32.25" thickBot="1" x14ac:dyDescent="0.3">
      <c r="A99" s="1064" t="s">
        <v>74</v>
      </c>
      <c r="B99" s="1061">
        <f>B98+B97+B96</f>
        <v>81057</v>
      </c>
      <c r="C99" s="1061">
        <f>C98+C97+C96</f>
        <v>83717</v>
      </c>
      <c r="D99" s="1061">
        <f>D98+D97+D96</f>
        <v>83717</v>
      </c>
      <c r="E99" s="1061">
        <f>E98+E97+E96</f>
        <v>83717</v>
      </c>
    </row>
    <row r="100" spans="1:9" ht="17.25" customHeight="1" thickBot="1" x14ac:dyDescent="0.3">
      <c r="A100" s="1062" t="s">
        <v>41</v>
      </c>
      <c r="B100" s="1063">
        <f>IF(B99-B88=0,0,"Error")</f>
        <v>0</v>
      </c>
      <c r="C100" s="1063">
        <f>IF(C99-C88=0,0,"Error")</f>
        <v>0</v>
      </c>
      <c r="D100" s="1063">
        <f>IF(D99-D88=0,0,"Error")</f>
        <v>0</v>
      </c>
      <c r="E100" s="1063">
        <f>IF(E99-E88=0,0,"Error")</f>
        <v>0</v>
      </c>
    </row>
    <row r="101" spans="1:9" ht="16.5" thickBot="1" x14ac:dyDescent="0.3">
      <c r="A101" s="1116" t="s">
        <v>63</v>
      </c>
      <c r="B101" s="1117"/>
      <c r="C101" s="1117"/>
      <c r="D101" s="1117"/>
      <c r="E101" s="1118"/>
    </row>
    <row r="102" spans="1:9" ht="16.5" thickBot="1" x14ac:dyDescent="0.3">
      <c r="A102" s="1116" t="s">
        <v>56</v>
      </c>
      <c r="B102" s="1117"/>
      <c r="C102" s="1117"/>
      <c r="D102" s="1117"/>
      <c r="E102" s="1118"/>
    </row>
    <row r="103" spans="1:9" ht="16.5" thickBot="1" x14ac:dyDescent="0.3">
      <c r="A103" s="1065" t="s">
        <v>1624</v>
      </c>
      <c r="B103" s="1130" t="s">
        <v>1625</v>
      </c>
      <c r="C103" s="1131"/>
      <c r="D103" s="1131"/>
      <c r="E103" s="1132"/>
    </row>
    <row r="104" spans="1:9" ht="16.5" thickBot="1" x14ac:dyDescent="0.3">
      <c r="A104" s="42" t="s">
        <v>16</v>
      </c>
      <c r="B104" s="1133" t="s">
        <v>1626</v>
      </c>
      <c r="C104" s="1111"/>
      <c r="D104" s="1111"/>
      <c r="E104" s="1112"/>
    </row>
    <row r="105" spans="1:9" ht="17.25" customHeight="1" thickBot="1" x14ac:dyDescent="0.3">
      <c r="A105" s="220" t="s">
        <v>17</v>
      </c>
      <c r="B105" s="1130" t="s">
        <v>1627</v>
      </c>
      <c r="C105" s="1131"/>
      <c r="D105" s="1131"/>
      <c r="E105" s="1132"/>
    </row>
    <row r="106" spans="1:9" ht="16.5" thickBot="1" x14ac:dyDescent="0.3">
      <c r="A106" s="220" t="s">
        <v>18</v>
      </c>
      <c r="B106" s="1121" t="s">
        <v>73</v>
      </c>
      <c r="C106" s="1122"/>
      <c r="D106" s="1122"/>
      <c r="E106" s="1123"/>
    </row>
    <row r="107" spans="1:9" ht="12.75" customHeight="1" x14ac:dyDescent="0.25">
      <c r="A107" s="1108"/>
      <c r="B107" s="1055">
        <v>2018</v>
      </c>
      <c r="C107" s="1055">
        <v>2019</v>
      </c>
      <c r="D107" s="1055">
        <v>2020</v>
      </c>
      <c r="E107" s="1055">
        <v>2021</v>
      </c>
    </row>
    <row r="108" spans="1:9" ht="13.5" customHeight="1" thickBot="1" x14ac:dyDescent="0.3">
      <c r="A108" s="1109"/>
      <c r="B108" s="1056" t="s">
        <v>10</v>
      </c>
      <c r="C108" s="1056" t="s">
        <v>11</v>
      </c>
      <c r="D108" s="1056" t="s">
        <v>11</v>
      </c>
      <c r="E108" s="1056" t="s">
        <v>11</v>
      </c>
    </row>
    <row r="109" spans="1:9" ht="16.5" thickBot="1" x14ac:dyDescent="0.3">
      <c r="A109" s="220" t="s">
        <v>19</v>
      </c>
      <c r="B109" s="1057">
        <v>1</v>
      </c>
      <c r="C109" s="1057"/>
      <c r="D109" s="1057"/>
      <c r="E109" s="1057"/>
    </row>
    <row r="110" spans="1:9" ht="32.25" thickBot="1" x14ac:dyDescent="0.3">
      <c r="A110" s="220" t="s">
        <v>20</v>
      </c>
      <c r="B110" s="1057">
        <v>2500</v>
      </c>
      <c r="C110" s="1057"/>
      <c r="D110" s="1057"/>
      <c r="E110" s="1057"/>
    </row>
    <row r="111" spans="1:9" ht="32.25" thickBot="1" x14ac:dyDescent="0.3">
      <c r="A111" s="220" t="s">
        <v>21</v>
      </c>
      <c r="B111" s="1057">
        <f>B110/B109</f>
        <v>2500</v>
      </c>
      <c r="C111" s="1057" t="e">
        <f>C110/C109</f>
        <v>#DIV/0!</v>
      </c>
      <c r="D111" s="1057" t="e">
        <f>D110/D109</f>
        <v>#DIV/0!</v>
      </c>
      <c r="E111" s="1057" t="e">
        <f>E110/E109</f>
        <v>#DIV/0!</v>
      </c>
    </row>
    <row r="112" spans="1:9" ht="32.25" thickBot="1" x14ac:dyDescent="0.3">
      <c r="A112" s="220" t="s">
        <v>22</v>
      </c>
      <c r="B112" s="220" t="s">
        <v>23</v>
      </c>
      <c r="C112" s="1058">
        <f>C109/B109-1</f>
        <v>-1</v>
      </c>
      <c r="D112" s="1058" t="e">
        <f t="shared" ref="D112:E114" si="3">D109/C109-1</f>
        <v>#DIV/0!</v>
      </c>
      <c r="E112" s="1058" t="e">
        <f t="shared" si="3"/>
        <v>#DIV/0!</v>
      </c>
      <c r="F112" s="1059"/>
      <c r="G112" s="1059"/>
      <c r="H112" s="1059"/>
      <c r="I112" s="1059"/>
    </row>
    <row r="113" spans="1:5" ht="32.25" thickBot="1" x14ac:dyDescent="0.3">
      <c r="A113" s="220" t="s">
        <v>24</v>
      </c>
      <c r="B113" s="220" t="s">
        <v>23</v>
      </c>
      <c r="C113" s="1058">
        <f>C110/B110-1</f>
        <v>-1</v>
      </c>
      <c r="D113" s="1058" t="e">
        <f t="shared" si="3"/>
        <v>#DIV/0!</v>
      </c>
      <c r="E113" s="1058" t="e">
        <f t="shared" si="3"/>
        <v>#DIV/0!</v>
      </c>
    </row>
    <row r="114" spans="1:5" ht="32.25" thickBot="1" x14ac:dyDescent="0.3">
      <c r="A114" s="220" t="s">
        <v>25</v>
      </c>
      <c r="B114" s="220" t="s">
        <v>23</v>
      </c>
      <c r="C114" s="1058" t="e">
        <f>C111/B111-1</f>
        <v>#DIV/0!</v>
      </c>
      <c r="D114" s="1058" t="e">
        <f t="shared" si="3"/>
        <v>#DIV/0!</v>
      </c>
      <c r="E114" s="1058" t="e">
        <f t="shared" si="3"/>
        <v>#DIV/0!</v>
      </c>
    </row>
    <row r="115" spans="1:5" ht="16.5" thickBot="1" x14ac:dyDescent="0.3">
      <c r="A115" s="1124" t="s">
        <v>436</v>
      </c>
      <c r="B115" s="1125"/>
      <c r="C115" s="1125"/>
      <c r="D115" s="1125"/>
      <c r="E115" s="1126"/>
    </row>
    <row r="116" spans="1:5" ht="12.75" customHeight="1" x14ac:dyDescent="0.25">
      <c r="A116" s="1108"/>
      <c r="B116" s="1055">
        <v>2018</v>
      </c>
      <c r="C116" s="1055">
        <v>2019</v>
      </c>
      <c r="D116" s="1055">
        <v>2020</v>
      </c>
      <c r="E116" s="1055">
        <v>2021</v>
      </c>
    </row>
    <row r="117" spans="1:5" ht="18.75" customHeight="1" thickBot="1" x14ac:dyDescent="0.3">
      <c r="A117" s="1109"/>
      <c r="B117" s="1056" t="s">
        <v>10</v>
      </c>
      <c r="C117" s="1056" t="s">
        <v>11</v>
      </c>
      <c r="D117" s="1056" t="s">
        <v>11</v>
      </c>
      <c r="E117" s="1056" t="s">
        <v>11</v>
      </c>
    </row>
    <row r="118" spans="1:5" ht="32.25" thickBot="1" x14ac:dyDescent="0.3">
      <c r="A118" s="49" t="s">
        <v>58</v>
      </c>
      <c r="B118" s="1060"/>
      <c r="C118" s="1060"/>
      <c r="D118" s="1060"/>
      <c r="E118" s="1060"/>
    </row>
    <row r="119" spans="1:5" ht="32.25" thickBot="1" x14ac:dyDescent="0.3">
      <c r="A119" s="49" t="s">
        <v>59</v>
      </c>
      <c r="B119" s="1061">
        <v>2500</v>
      </c>
      <c r="C119" s="1060"/>
      <c r="D119" s="1060"/>
      <c r="E119" s="1060"/>
    </row>
    <row r="120" spans="1:5" ht="32.25" thickBot="1" x14ac:dyDescent="0.3">
      <c r="A120" s="51" t="s">
        <v>40</v>
      </c>
      <c r="B120" s="1061">
        <f>B119+B118</f>
        <v>2500</v>
      </c>
      <c r="C120" s="1061">
        <f>C119+C118</f>
        <v>0</v>
      </c>
      <c r="D120" s="1061">
        <f>D119+D118</f>
        <v>0</v>
      </c>
      <c r="E120" s="1061">
        <f>E119+E118</f>
        <v>0</v>
      </c>
    </row>
    <row r="121" spans="1:5" x14ac:dyDescent="0.25">
      <c r="A121" s="1108" t="s">
        <v>60</v>
      </c>
      <c r="B121" s="1135"/>
      <c r="C121" s="1136"/>
      <c r="D121" s="1136"/>
      <c r="E121" s="1137"/>
    </row>
    <row r="122" spans="1:5" x14ac:dyDescent="0.25">
      <c r="A122" s="1134"/>
      <c r="B122" s="1138"/>
      <c r="C122" s="1139"/>
      <c r="D122" s="1139"/>
      <c r="E122" s="1140"/>
    </row>
    <row r="123" spans="1:5" ht="15.75" thickBot="1" x14ac:dyDescent="0.3">
      <c r="A123" s="1109"/>
      <c r="B123" s="1141"/>
      <c r="C123" s="1142"/>
      <c r="D123" s="1142"/>
      <c r="E123" s="1143"/>
    </row>
    <row r="124" spans="1:5" ht="16.5" thickBot="1" x14ac:dyDescent="0.3">
      <c r="A124" s="1065" t="s">
        <v>1628</v>
      </c>
      <c r="B124" s="1130" t="s">
        <v>1629</v>
      </c>
      <c r="C124" s="1131"/>
      <c r="D124" s="1131"/>
      <c r="E124" s="1132"/>
    </row>
    <row r="125" spans="1:5" ht="16.5" thickBot="1" x14ac:dyDescent="0.3">
      <c r="A125" s="42" t="s">
        <v>42</v>
      </c>
      <c r="B125" s="1133" t="s">
        <v>1630</v>
      </c>
      <c r="C125" s="1111"/>
      <c r="D125" s="1111"/>
      <c r="E125" s="1112"/>
    </row>
    <row r="126" spans="1:5" ht="31.5" customHeight="1" thickBot="1" x14ac:dyDescent="0.3">
      <c r="A126" s="220" t="s">
        <v>17</v>
      </c>
      <c r="B126" s="1102" t="s">
        <v>1631</v>
      </c>
      <c r="C126" s="1103"/>
      <c r="D126" s="1103"/>
      <c r="E126" s="1104"/>
    </row>
    <row r="127" spans="1:5" ht="16.5" thickBot="1" x14ac:dyDescent="0.3">
      <c r="A127" s="220" t="s">
        <v>18</v>
      </c>
      <c r="B127" s="1121" t="s">
        <v>1632</v>
      </c>
      <c r="C127" s="1122"/>
      <c r="D127" s="1122"/>
      <c r="E127" s="1123"/>
    </row>
    <row r="128" spans="1:5" ht="12.75" customHeight="1" x14ac:dyDescent="0.25">
      <c r="A128" s="1108"/>
      <c r="B128" s="1055">
        <v>2018</v>
      </c>
      <c r="C128" s="1055">
        <v>2019</v>
      </c>
      <c r="D128" s="1055">
        <v>2020</v>
      </c>
      <c r="E128" s="1055">
        <v>2021</v>
      </c>
    </row>
    <row r="129" spans="1:9" ht="15.75" customHeight="1" thickBot="1" x14ac:dyDescent="0.3">
      <c r="A129" s="1109"/>
      <c r="B129" s="1056" t="s">
        <v>10</v>
      </c>
      <c r="C129" s="1056" t="s">
        <v>11</v>
      </c>
      <c r="D129" s="1056" t="s">
        <v>11</v>
      </c>
      <c r="E129" s="1056" t="s">
        <v>11</v>
      </c>
    </row>
    <row r="130" spans="1:9" ht="16.5" thickBot="1" x14ac:dyDescent="0.3">
      <c r="A130" s="220" t="s">
        <v>19</v>
      </c>
      <c r="B130" s="1057">
        <v>1</v>
      </c>
      <c r="C130" s="1057"/>
      <c r="D130" s="1057"/>
      <c r="E130" s="1057"/>
    </row>
    <row r="131" spans="1:9" ht="32.25" thickBot="1" x14ac:dyDescent="0.3">
      <c r="A131" s="220" t="s">
        <v>20</v>
      </c>
      <c r="B131" s="1057">
        <v>1500</v>
      </c>
      <c r="C131" s="1057"/>
      <c r="D131" s="1057"/>
      <c r="E131" s="1057"/>
    </row>
    <row r="132" spans="1:9" ht="32.25" thickBot="1" x14ac:dyDescent="0.3">
      <c r="A132" s="220" t="s">
        <v>21</v>
      </c>
      <c r="B132" s="1057">
        <f>B131/B130</f>
        <v>1500</v>
      </c>
      <c r="C132" s="1057" t="e">
        <f>C131/C130</f>
        <v>#DIV/0!</v>
      </c>
      <c r="D132" s="1057" t="e">
        <f>D131/D130</f>
        <v>#DIV/0!</v>
      </c>
      <c r="E132" s="1057" t="e">
        <f>E131/E130</f>
        <v>#DIV/0!</v>
      </c>
    </row>
    <row r="133" spans="1:9" ht="32.25" thickBot="1" x14ac:dyDescent="0.3">
      <c r="A133" s="220" t="s">
        <v>22</v>
      </c>
      <c r="B133" s="220" t="s">
        <v>23</v>
      </c>
      <c r="C133" s="1058">
        <f>C130/B130-1</f>
        <v>-1</v>
      </c>
      <c r="D133" s="1058" t="e">
        <f t="shared" ref="D133:E135" si="4">D130/C130-1</f>
        <v>#DIV/0!</v>
      </c>
      <c r="E133" s="1058" t="e">
        <f t="shared" si="4"/>
        <v>#DIV/0!</v>
      </c>
      <c r="F133" s="1059"/>
      <c r="G133" s="1059"/>
      <c r="H133" s="1059"/>
      <c r="I133" s="1059"/>
    </row>
    <row r="134" spans="1:9" ht="32.25" thickBot="1" x14ac:dyDescent="0.3">
      <c r="A134" s="220" t="s">
        <v>24</v>
      </c>
      <c r="B134" s="220" t="s">
        <v>23</v>
      </c>
      <c r="C134" s="1058">
        <f>C131/B131-1</f>
        <v>-1</v>
      </c>
      <c r="D134" s="1058" t="e">
        <f t="shared" si="4"/>
        <v>#DIV/0!</v>
      </c>
      <c r="E134" s="1058" t="e">
        <f t="shared" si="4"/>
        <v>#DIV/0!</v>
      </c>
    </row>
    <row r="135" spans="1:9" ht="32.25" thickBot="1" x14ac:dyDescent="0.3">
      <c r="A135" s="220" t="s">
        <v>25</v>
      </c>
      <c r="B135" s="220" t="s">
        <v>23</v>
      </c>
      <c r="C135" s="1058" t="e">
        <f>C132/B132-1</f>
        <v>#DIV/0!</v>
      </c>
      <c r="D135" s="1058" t="e">
        <f t="shared" si="4"/>
        <v>#DIV/0!</v>
      </c>
      <c r="E135" s="1058" t="e">
        <f t="shared" si="4"/>
        <v>#DIV/0!</v>
      </c>
    </row>
    <row r="136" spans="1:9" ht="16.5" thickBot="1" x14ac:dyDescent="0.3">
      <c r="A136" s="1124" t="s">
        <v>1633</v>
      </c>
      <c r="B136" s="1125"/>
      <c r="C136" s="1125"/>
      <c r="D136" s="1125"/>
      <c r="E136" s="1126"/>
    </row>
    <row r="137" spans="1:9" ht="12.75" customHeight="1" x14ac:dyDescent="0.25">
      <c r="A137" s="1108"/>
      <c r="B137" s="1055">
        <v>2018</v>
      </c>
      <c r="C137" s="1055">
        <v>2019</v>
      </c>
      <c r="D137" s="1055">
        <v>2020</v>
      </c>
      <c r="E137" s="1055">
        <v>2021</v>
      </c>
    </row>
    <row r="138" spans="1:9" ht="16.5" customHeight="1" thickBot="1" x14ac:dyDescent="0.3">
      <c r="A138" s="1109"/>
      <c r="B138" s="1056" t="s">
        <v>10</v>
      </c>
      <c r="C138" s="1056" t="s">
        <v>11</v>
      </c>
      <c r="D138" s="1056" t="s">
        <v>11</v>
      </c>
      <c r="E138" s="1056" t="s">
        <v>11</v>
      </c>
    </row>
    <row r="139" spans="1:9" ht="32.25" thickBot="1" x14ac:dyDescent="0.3">
      <c r="A139" s="49" t="s">
        <v>58</v>
      </c>
      <c r="B139" s="1060"/>
      <c r="C139" s="1060"/>
      <c r="D139" s="1060"/>
      <c r="E139" s="1060"/>
    </row>
    <row r="140" spans="1:9" ht="32.25" thickBot="1" x14ac:dyDescent="0.3">
      <c r="A140" s="49" t="s">
        <v>59</v>
      </c>
      <c r="B140" s="1061">
        <v>1500</v>
      </c>
      <c r="C140" s="1060"/>
      <c r="D140" s="1060"/>
      <c r="E140" s="1060"/>
    </row>
    <row r="141" spans="1:9" ht="32.25" thickBot="1" x14ac:dyDescent="0.3">
      <c r="A141" s="51" t="s">
        <v>43</v>
      </c>
      <c r="B141" s="1061">
        <f>B140+B139</f>
        <v>1500</v>
      </c>
      <c r="C141" s="1061">
        <f>C140+C139</f>
        <v>0</v>
      </c>
      <c r="D141" s="1061">
        <f>D140+D139</f>
        <v>0</v>
      </c>
      <c r="E141" s="1061">
        <f>E140+E139</f>
        <v>0</v>
      </c>
    </row>
    <row r="142" spans="1:9" x14ac:dyDescent="0.25">
      <c r="A142" s="1108" t="s">
        <v>60</v>
      </c>
      <c r="B142" s="1135"/>
      <c r="C142" s="1136"/>
      <c r="D142" s="1136"/>
      <c r="E142" s="1137"/>
    </row>
    <row r="143" spans="1:9" x14ac:dyDescent="0.25">
      <c r="A143" s="1134"/>
      <c r="B143" s="1138"/>
      <c r="C143" s="1139"/>
      <c r="D143" s="1139"/>
      <c r="E143" s="1140"/>
    </row>
    <row r="144" spans="1:9" ht="15.75" thickBot="1" x14ac:dyDescent="0.3">
      <c r="A144" s="1109"/>
      <c r="B144" s="1141"/>
      <c r="C144" s="1142"/>
      <c r="D144" s="1142"/>
      <c r="E144" s="1143"/>
    </row>
    <row r="145" spans="1:9" ht="16.5" thickBot="1" x14ac:dyDescent="0.3">
      <c r="A145" s="1065" t="s">
        <v>1634</v>
      </c>
      <c r="B145" s="1130" t="s">
        <v>1635</v>
      </c>
      <c r="C145" s="1131"/>
      <c r="D145" s="1131"/>
      <c r="E145" s="1132"/>
    </row>
    <row r="146" spans="1:9" ht="16.5" thickBot="1" x14ac:dyDescent="0.3">
      <c r="A146" s="42" t="s">
        <v>44</v>
      </c>
      <c r="B146" s="1133" t="s">
        <v>1636</v>
      </c>
      <c r="C146" s="1111"/>
      <c r="D146" s="1111"/>
      <c r="E146" s="1112"/>
    </row>
    <row r="147" spans="1:9" ht="28.5" customHeight="1" thickBot="1" x14ac:dyDescent="0.3">
      <c r="A147" s="220" t="s">
        <v>17</v>
      </c>
      <c r="B147" s="1102" t="s">
        <v>1637</v>
      </c>
      <c r="C147" s="1103"/>
      <c r="D147" s="1103"/>
      <c r="E147" s="1104"/>
    </row>
    <row r="148" spans="1:9" ht="16.5" thickBot="1" x14ac:dyDescent="0.3">
      <c r="A148" s="220" t="s">
        <v>18</v>
      </c>
      <c r="B148" s="1121" t="s">
        <v>1632</v>
      </c>
      <c r="C148" s="1122"/>
      <c r="D148" s="1122"/>
      <c r="E148" s="1123"/>
    </row>
    <row r="149" spans="1:9" ht="12.75" customHeight="1" x14ac:dyDescent="0.25">
      <c r="A149" s="1108"/>
      <c r="B149" s="1055">
        <v>2018</v>
      </c>
      <c r="C149" s="1055">
        <v>2019</v>
      </c>
      <c r="D149" s="1055">
        <v>2020</v>
      </c>
      <c r="E149" s="1055">
        <v>2021</v>
      </c>
    </row>
    <row r="150" spans="1:9" ht="15.75" customHeight="1" thickBot="1" x14ac:dyDescent="0.3">
      <c r="A150" s="1109"/>
      <c r="B150" s="1056" t="s">
        <v>10</v>
      </c>
      <c r="C150" s="1056" t="s">
        <v>11</v>
      </c>
      <c r="D150" s="1056" t="s">
        <v>11</v>
      </c>
      <c r="E150" s="1056" t="s">
        <v>11</v>
      </c>
    </row>
    <row r="151" spans="1:9" ht="16.5" thickBot="1" x14ac:dyDescent="0.3">
      <c r="A151" s="220" t="s">
        <v>19</v>
      </c>
      <c r="B151" s="1057">
        <v>1</v>
      </c>
      <c r="C151" s="1057"/>
      <c r="D151" s="1057"/>
      <c r="E151" s="1057"/>
    </row>
    <row r="152" spans="1:9" ht="32.25" thickBot="1" x14ac:dyDescent="0.3">
      <c r="A152" s="220" t="s">
        <v>20</v>
      </c>
      <c r="B152" s="1057">
        <v>10000</v>
      </c>
      <c r="C152" s="1057"/>
      <c r="D152" s="1057"/>
      <c r="E152" s="1057"/>
    </row>
    <row r="153" spans="1:9" ht="32.25" thickBot="1" x14ac:dyDescent="0.3">
      <c r="A153" s="220" t="s">
        <v>21</v>
      </c>
      <c r="B153" s="1057">
        <f>B152/B151</f>
        <v>10000</v>
      </c>
      <c r="C153" s="1057" t="e">
        <f>C152/C151</f>
        <v>#DIV/0!</v>
      </c>
      <c r="D153" s="1057" t="e">
        <f>D152/D151</f>
        <v>#DIV/0!</v>
      </c>
      <c r="E153" s="1057" t="e">
        <f>E152/E151</f>
        <v>#DIV/0!</v>
      </c>
    </row>
    <row r="154" spans="1:9" ht="32.25" thickBot="1" x14ac:dyDescent="0.3">
      <c r="A154" s="220" t="s">
        <v>22</v>
      </c>
      <c r="B154" s="220" t="s">
        <v>23</v>
      </c>
      <c r="C154" s="1058">
        <f>C151/B151-1</f>
        <v>-1</v>
      </c>
      <c r="D154" s="1058" t="e">
        <f t="shared" ref="D154:E156" si="5">D151/C151-1</f>
        <v>#DIV/0!</v>
      </c>
      <c r="E154" s="1058" t="e">
        <f t="shared" si="5"/>
        <v>#DIV/0!</v>
      </c>
      <c r="F154" s="1059"/>
      <c r="G154" s="1059"/>
      <c r="H154" s="1059"/>
      <c r="I154" s="1059"/>
    </row>
    <row r="155" spans="1:9" ht="32.25" thickBot="1" x14ac:dyDescent="0.3">
      <c r="A155" s="220" t="s">
        <v>24</v>
      </c>
      <c r="B155" s="220" t="s">
        <v>23</v>
      </c>
      <c r="C155" s="1058">
        <f>C152/B152-1</f>
        <v>-1</v>
      </c>
      <c r="D155" s="1058" t="e">
        <f t="shared" si="5"/>
        <v>#DIV/0!</v>
      </c>
      <c r="E155" s="1058" t="e">
        <f t="shared" si="5"/>
        <v>#DIV/0!</v>
      </c>
    </row>
    <row r="156" spans="1:9" ht="32.25" thickBot="1" x14ac:dyDescent="0.3">
      <c r="A156" s="220" t="s">
        <v>25</v>
      </c>
      <c r="B156" s="220" t="s">
        <v>23</v>
      </c>
      <c r="C156" s="1058" t="e">
        <f>C153/B153-1</f>
        <v>#DIV/0!</v>
      </c>
      <c r="D156" s="1058" t="e">
        <f t="shared" si="5"/>
        <v>#DIV/0!</v>
      </c>
      <c r="E156" s="1058" t="e">
        <f t="shared" si="5"/>
        <v>#DIV/0!</v>
      </c>
    </row>
    <row r="157" spans="1:9" ht="16.5" thickBot="1" x14ac:dyDescent="0.3">
      <c r="A157" s="1124" t="s">
        <v>436</v>
      </c>
      <c r="B157" s="1125"/>
      <c r="C157" s="1125"/>
      <c r="D157" s="1125"/>
      <c r="E157" s="1126"/>
    </row>
    <row r="158" spans="1:9" ht="12.75" customHeight="1" x14ac:dyDescent="0.25">
      <c r="A158" s="1108"/>
      <c r="B158" s="1055">
        <v>2018</v>
      </c>
      <c r="C158" s="1055">
        <v>2019</v>
      </c>
      <c r="D158" s="1055">
        <v>2020</v>
      </c>
      <c r="E158" s="1055">
        <v>2021</v>
      </c>
    </row>
    <row r="159" spans="1:9" ht="15" customHeight="1" thickBot="1" x14ac:dyDescent="0.3">
      <c r="A159" s="1109"/>
      <c r="B159" s="1056" t="s">
        <v>10</v>
      </c>
      <c r="C159" s="1056" t="s">
        <v>11</v>
      </c>
      <c r="D159" s="1056" t="s">
        <v>11</v>
      </c>
      <c r="E159" s="1056" t="s">
        <v>11</v>
      </c>
    </row>
    <row r="160" spans="1:9" ht="32.25" thickBot="1" x14ac:dyDescent="0.3">
      <c r="A160" s="49" t="s">
        <v>58</v>
      </c>
      <c r="B160" s="1060"/>
      <c r="C160" s="1060"/>
      <c r="D160" s="1060"/>
      <c r="E160" s="1060"/>
    </row>
    <row r="161" spans="1:9" ht="32.25" thickBot="1" x14ac:dyDescent="0.3">
      <c r="A161" s="49" t="s">
        <v>59</v>
      </c>
      <c r="B161" s="1061">
        <v>10000</v>
      </c>
      <c r="C161" s="1060"/>
      <c r="D161" s="1060"/>
      <c r="E161" s="1060"/>
    </row>
    <row r="162" spans="1:9" ht="32.25" thickBot="1" x14ac:dyDescent="0.3">
      <c r="A162" s="51" t="s">
        <v>52</v>
      </c>
      <c r="B162" s="1061">
        <f>B161+B160</f>
        <v>10000</v>
      </c>
      <c r="C162" s="1061">
        <f>C161+C160</f>
        <v>0</v>
      </c>
      <c r="D162" s="1061">
        <f>D161+D160</f>
        <v>0</v>
      </c>
      <c r="E162" s="1061">
        <f>E161+E160</f>
        <v>0</v>
      </c>
    </row>
    <row r="163" spans="1:9" ht="32.25" thickBot="1" x14ac:dyDescent="0.3">
      <c r="A163" s="1066" t="s">
        <v>61</v>
      </c>
      <c r="B163" s="1130" t="s">
        <v>1638</v>
      </c>
      <c r="C163" s="1131"/>
      <c r="D163" s="1131"/>
      <c r="E163" s="1132"/>
    </row>
    <row r="164" spans="1:9" ht="16.5" thickBot="1" x14ac:dyDescent="0.3">
      <c r="A164" s="42" t="s">
        <v>53</v>
      </c>
      <c r="B164" s="1133" t="s">
        <v>1639</v>
      </c>
      <c r="C164" s="1111"/>
      <c r="D164" s="1111"/>
      <c r="E164" s="1112"/>
    </row>
    <row r="165" spans="1:9" ht="17.25" customHeight="1" thickBot="1" x14ac:dyDescent="0.3">
      <c r="A165" s="220" t="s">
        <v>17</v>
      </c>
      <c r="B165" s="1130" t="s">
        <v>1640</v>
      </c>
      <c r="C165" s="1131"/>
      <c r="D165" s="1131"/>
      <c r="E165" s="1132"/>
    </row>
    <row r="166" spans="1:9" ht="16.5" thickBot="1" x14ac:dyDescent="0.3">
      <c r="A166" s="220" t="s">
        <v>18</v>
      </c>
      <c r="B166" s="1121" t="s">
        <v>1641</v>
      </c>
      <c r="C166" s="1122"/>
      <c r="D166" s="1122"/>
      <c r="E166" s="1123"/>
    </row>
    <row r="167" spans="1:9" ht="12.75" customHeight="1" x14ac:dyDescent="0.25">
      <c r="A167" s="1108"/>
      <c r="B167" s="1055">
        <v>2018</v>
      </c>
      <c r="C167" s="1055">
        <v>2019</v>
      </c>
      <c r="D167" s="1055">
        <v>2020</v>
      </c>
      <c r="E167" s="1055">
        <v>2021</v>
      </c>
    </row>
    <row r="168" spans="1:9" ht="12.75" customHeight="1" thickBot="1" x14ac:dyDescent="0.3">
      <c r="A168" s="1109"/>
      <c r="B168" s="1056" t="s">
        <v>10</v>
      </c>
      <c r="C168" s="1056" t="s">
        <v>11</v>
      </c>
      <c r="D168" s="1056" t="s">
        <v>11</v>
      </c>
      <c r="E168" s="1056" t="s">
        <v>11</v>
      </c>
    </row>
    <row r="169" spans="1:9" ht="16.5" thickBot="1" x14ac:dyDescent="0.3">
      <c r="A169" s="220" t="s">
        <v>19</v>
      </c>
      <c r="B169" s="1057">
        <v>0</v>
      </c>
      <c r="C169" s="1057">
        <v>20</v>
      </c>
      <c r="D169" s="1057">
        <v>20</v>
      </c>
      <c r="E169" s="1057">
        <v>20</v>
      </c>
    </row>
    <row r="170" spans="1:9" ht="32.25" thickBot="1" x14ac:dyDescent="0.3">
      <c r="A170" s="220" t="s">
        <v>20</v>
      </c>
      <c r="B170" s="1057">
        <v>0</v>
      </c>
      <c r="C170" s="1057">
        <v>3000</v>
      </c>
      <c r="D170" s="1057">
        <v>3000</v>
      </c>
      <c r="E170" s="1057">
        <v>3000</v>
      </c>
    </row>
    <row r="171" spans="1:9" ht="32.25" thickBot="1" x14ac:dyDescent="0.3">
      <c r="A171" s="220" t="s">
        <v>21</v>
      </c>
      <c r="B171" s="1057" t="e">
        <f>B170/B169</f>
        <v>#DIV/0!</v>
      </c>
      <c r="C171" s="1057">
        <f>C170/C169</f>
        <v>150</v>
      </c>
      <c r="D171" s="1057">
        <f>D170/D169</f>
        <v>150</v>
      </c>
      <c r="E171" s="1057">
        <f>E170/E169</f>
        <v>150</v>
      </c>
    </row>
    <row r="172" spans="1:9" ht="32.25" thickBot="1" x14ac:dyDescent="0.3">
      <c r="A172" s="220" t="s">
        <v>22</v>
      </c>
      <c r="B172" s="220" t="s">
        <v>23</v>
      </c>
      <c r="C172" s="1058" t="e">
        <f>C169/B169-1</f>
        <v>#DIV/0!</v>
      </c>
      <c r="D172" s="1058">
        <f t="shared" ref="D172:E174" si="6">D169/C169-1</f>
        <v>0</v>
      </c>
      <c r="E172" s="1058">
        <f t="shared" si="6"/>
        <v>0</v>
      </c>
      <c r="F172" s="1059"/>
      <c r="G172" s="1059"/>
      <c r="H172" s="1059"/>
      <c r="I172" s="1059"/>
    </row>
    <row r="173" spans="1:9" ht="32.25" thickBot="1" x14ac:dyDescent="0.3">
      <c r="A173" s="220" t="s">
        <v>24</v>
      </c>
      <c r="B173" s="220" t="s">
        <v>23</v>
      </c>
      <c r="C173" s="1058" t="e">
        <f>C170/B170-1</f>
        <v>#DIV/0!</v>
      </c>
      <c r="D173" s="1058">
        <f t="shared" si="6"/>
        <v>0</v>
      </c>
      <c r="E173" s="1058">
        <f t="shared" si="6"/>
        <v>0</v>
      </c>
    </row>
    <row r="174" spans="1:9" ht="32.25" thickBot="1" x14ac:dyDescent="0.3">
      <c r="A174" s="220" t="s">
        <v>25</v>
      </c>
      <c r="B174" s="220" t="s">
        <v>23</v>
      </c>
      <c r="C174" s="1058" t="e">
        <f>C171/B171-1</f>
        <v>#DIV/0!</v>
      </c>
      <c r="D174" s="1058">
        <f t="shared" si="6"/>
        <v>0</v>
      </c>
      <c r="E174" s="1058">
        <f t="shared" si="6"/>
        <v>0</v>
      </c>
    </row>
    <row r="175" spans="1:9" ht="16.5" thickBot="1" x14ac:dyDescent="0.3">
      <c r="A175" s="1124" t="s">
        <v>1642</v>
      </c>
      <c r="B175" s="1125"/>
      <c r="C175" s="1125"/>
      <c r="D175" s="1125"/>
      <c r="E175" s="1126"/>
    </row>
    <row r="176" spans="1:9" ht="12.75" customHeight="1" x14ac:dyDescent="0.25">
      <c r="A176" s="1108"/>
      <c r="B176" s="1055">
        <v>2018</v>
      </c>
      <c r="C176" s="1055">
        <v>2019</v>
      </c>
      <c r="D176" s="1055">
        <v>2020</v>
      </c>
      <c r="E176" s="1055">
        <v>2021</v>
      </c>
    </row>
    <row r="177" spans="1:5" ht="15" customHeight="1" thickBot="1" x14ac:dyDescent="0.3">
      <c r="A177" s="1109"/>
      <c r="B177" s="1056" t="s">
        <v>10</v>
      </c>
      <c r="C177" s="1056" t="s">
        <v>11</v>
      </c>
      <c r="D177" s="1056" t="s">
        <v>11</v>
      </c>
      <c r="E177" s="1056" t="s">
        <v>11</v>
      </c>
    </row>
    <row r="178" spans="1:5" ht="32.25" thickBot="1" x14ac:dyDescent="0.3">
      <c r="A178" s="49" t="s">
        <v>58</v>
      </c>
      <c r="B178" s="1060"/>
      <c r="C178" s="1060"/>
      <c r="D178" s="1060"/>
      <c r="E178" s="1060"/>
    </row>
    <row r="179" spans="1:5" ht="32.25" thickBot="1" x14ac:dyDescent="0.3">
      <c r="A179" s="49" t="s">
        <v>59</v>
      </c>
      <c r="B179" s="1061">
        <v>0</v>
      </c>
      <c r="C179" s="1060">
        <v>3000</v>
      </c>
      <c r="D179" s="1060">
        <v>3000</v>
      </c>
      <c r="E179" s="1060">
        <v>3000</v>
      </c>
    </row>
    <row r="180" spans="1:5" ht="32.25" thickBot="1" x14ac:dyDescent="0.3">
      <c r="A180" s="51" t="s">
        <v>74</v>
      </c>
      <c r="B180" s="1061">
        <f>B179+B178</f>
        <v>0</v>
      </c>
      <c r="C180" s="1061">
        <f>C179+C178</f>
        <v>3000</v>
      </c>
      <c r="D180" s="1061">
        <f>D179+D178</f>
        <v>3000</v>
      </c>
      <c r="E180" s="1061">
        <f>E179+E178</f>
        <v>3000</v>
      </c>
    </row>
    <row r="181" spans="1:5" ht="32.25" thickBot="1" x14ac:dyDescent="0.3">
      <c r="A181" s="1066" t="s">
        <v>61</v>
      </c>
      <c r="B181" s="1130" t="s">
        <v>1643</v>
      </c>
      <c r="C181" s="1131"/>
      <c r="D181" s="1131"/>
      <c r="E181" s="1132"/>
    </row>
    <row r="182" spans="1:5" ht="16.5" thickBot="1" x14ac:dyDescent="0.3">
      <c r="A182" s="42" t="s">
        <v>476</v>
      </c>
      <c r="B182" s="1133" t="s">
        <v>1644</v>
      </c>
      <c r="C182" s="1111"/>
      <c r="D182" s="1111"/>
      <c r="E182" s="1112"/>
    </row>
    <row r="183" spans="1:5" ht="32.25" thickBot="1" x14ac:dyDescent="0.3">
      <c r="A183" s="220" t="s">
        <v>17</v>
      </c>
      <c r="B183" s="1130" t="s">
        <v>1645</v>
      </c>
      <c r="C183" s="1131"/>
      <c r="D183" s="1131"/>
      <c r="E183" s="1132"/>
    </row>
    <row r="184" spans="1:5" ht="16.5" thickBot="1" x14ac:dyDescent="0.3">
      <c r="A184" s="220" t="s">
        <v>18</v>
      </c>
      <c r="B184" s="1121" t="s">
        <v>1641</v>
      </c>
      <c r="C184" s="1122"/>
      <c r="D184" s="1122"/>
      <c r="E184" s="1123"/>
    </row>
    <row r="185" spans="1:5" ht="15.75" x14ac:dyDescent="0.25">
      <c r="A185" s="1108"/>
      <c r="B185" s="1055">
        <v>2018</v>
      </c>
      <c r="C185" s="1055">
        <v>2019</v>
      </c>
      <c r="D185" s="1055">
        <v>2020</v>
      </c>
      <c r="E185" s="1055">
        <v>2021</v>
      </c>
    </row>
    <row r="186" spans="1:5" ht="16.5" thickBot="1" x14ac:dyDescent="0.3">
      <c r="A186" s="1109"/>
      <c r="B186" s="1056" t="s">
        <v>10</v>
      </c>
      <c r="C186" s="1056" t="s">
        <v>11</v>
      </c>
      <c r="D186" s="1056" t="s">
        <v>11</v>
      </c>
      <c r="E186" s="1056" t="s">
        <v>11</v>
      </c>
    </row>
    <row r="187" spans="1:5" ht="16.5" thickBot="1" x14ac:dyDescent="0.3">
      <c r="A187" s="220" t="s">
        <v>19</v>
      </c>
      <c r="B187" s="1057">
        <v>40</v>
      </c>
      <c r="C187" s="1057">
        <v>30</v>
      </c>
      <c r="D187" s="1057">
        <v>30</v>
      </c>
      <c r="E187" s="1057">
        <v>30</v>
      </c>
    </row>
    <row r="188" spans="1:5" ht="32.25" thickBot="1" x14ac:dyDescent="0.3">
      <c r="A188" s="220" t="s">
        <v>20</v>
      </c>
      <c r="B188" s="1057">
        <v>4000</v>
      </c>
      <c r="C188" s="1057">
        <v>3000</v>
      </c>
      <c r="D188" s="1057">
        <v>3000</v>
      </c>
      <c r="E188" s="1057">
        <v>3000</v>
      </c>
    </row>
    <row r="189" spans="1:5" ht="32.25" thickBot="1" x14ac:dyDescent="0.3">
      <c r="A189" s="220" t="s">
        <v>21</v>
      </c>
      <c r="B189" s="1057">
        <f>B188/B187</f>
        <v>100</v>
      </c>
      <c r="C189" s="1057">
        <f>C188/C187</f>
        <v>100</v>
      </c>
      <c r="D189" s="1057">
        <f>D188/D187</f>
        <v>100</v>
      </c>
      <c r="E189" s="1057">
        <f>E188/E187</f>
        <v>100</v>
      </c>
    </row>
    <row r="190" spans="1:5" ht="32.25" thickBot="1" x14ac:dyDescent="0.3">
      <c r="A190" s="220" t="s">
        <v>22</v>
      </c>
      <c r="B190" s="220" t="s">
        <v>23</v>
      </c>
      <c r="C190" s="1058">
        <f t="shared" ref="C190:E192" si="7">C187/B187-1</f>
        <v>-0.25</v>
      </c>
      <c r="D190" s="1058">
        <f t="shared" si="7"/>
        <v>0</v>
      </c>
      <c r="E190" s="1058">
        <f t="shared" si="7"/>
        <v>0</v>
      </c>
    </row>
    <row r="191" spans="1:5" ht="32.25" thickBot="1" x14ac:dyDescent="0.3">
      <c r="A191" s="220" t="s">
        <v>24</v>
      </c>
      <c r="B191" s="220" t="s">
        <v>23</v>
      </c>
      <c r="C191" s="1058">
        <f t="shared" si="7"/>
        <v>-0.25</v>
      </c>
      <c r="D191" s="1058">
        <f t="shared" si="7"/>
        <v>0</v>
      </c>
      <c r="E191" s="1058">
        <f t="shared" si="7"/>
        <v>0</v>
      </c>
    </row>
    <row r="192" spans="1:5" ht="32.25" thickBot="1" x14ac:dyDescent="0.3">
      <c r="A192" s="220" t="s">
        <v>25</v>
      </c>
      <c r="B192" s="220" t="s">
        <v>23</v>
      </c>
      <c r="C192" s="1058">
        <f t="shared" si="7"/>
        <v>0</v>
      </c>
      <c r="D192" s="1058">
        <f t="shared" si="7"/>
        <v>0</v>
      </c>
      <c r="E192" s="1058">
        <f t="shared" si="7"/>
        <v>0</v>
      </c>
    </row>
    <row r="193" spans="1:5" ht="16.5" thickBot="1" x14ac:dyDescent="0.3">
      <c r="A193" s="1124" t="s">
        <v>1646</v>
      </c>
      <c r="B193" s="1125"/>
      <c r="C193" s="1125"/>
      <c r="D193" s="1125"/>
      <c r="E193" s="1126"/>
    </row>
    <row r="194" spans="1:5" ht="15.75" x14ac:dyDescent="0.25">
      <c r="A194" s="1108"/>
      <c r="B194" s="1055">
        <v>2018</v>
      </c>
      <c r="C194" s="1055">
        <v>2019</v>
      </c>
      <c r="D194" s="1055">
        <v>2020</v>
      </c>
      <c r="E194" s="1055">
        <v>2021</v>
      </c>
    </row>
    <row r="195" spans="1:5" ht="16.5" thickBot="1" x14ac:dyDescent="0.3">
      <c r="A195" s="1109"/>
      <c r="B195" s="1056" t="s">
        <v>10</v>
      </c>
      <c r="C195" s="1056" t="s">
        <v>11</v>
      </c>
      <c r="D195" s="1056" t="s">
        <v>11</v>
      </c>
      <c r="E195" s="1056" t="s">
        <v>11</v>
      </c>
    </row>
    <row r="196" spans="1:5" ht="32.25" thickBot="1" x14ac:dyDescent="0.3">
      <c r="A196" s="49" t="s">
        <v>58</v>
      </c>
      <c r="B196" s="1060"/>
      <c r="C196" s="1060"/>
      <c r="D196" s="1060"/>
      <c r="E196" s="1060"/>
    </row>
    <row r="197" spans="1:5" ht="32.25" thickBot="1" x14ac:dyDescent="0.3">
      <c r="A197" s="49" t="s">
        <v>59</v>
      </c>
      <c r="B197" s="1061">
        <v>4000</v>
      </c>
      <c r="C197" s="1060">
        <v>3000</v>
      </c>
      <c r="D197" s="1060">
        <v>3000</v>
      </c>
      <c r="E197" s="1060">
        <v>3000</v>
      </c>
    </row>
    <row r="198" spans="1:5" ht="32.25" thickBot="1" x14ac:dyDescent="0.3">
      <c r="A198" s="1067" t="s">
        <v>74</v>
      </c>
      <c r="B198" s="1061">
        <f>B197+B196</f>
        <v>4000</v>
      </c>
      <c r="C198" s="1061">
        <f>C197+C196</f>
        <v>3000</v>
      </c>
      <c r="D198" s="1061">
        <f>D197+D196</f>
        <v>3000</v>
      </c>
      <c r="E198" s="1061">
        <f>E197+E196</f>
        <v>3000</v>
      </c>
    </row>
    <row r="199" spans="1:5" ht="17.25" customHeight="1" thickBot="1" x14ac:dyDescent="0.3">
      <c r="A199" s="1068"/>
      <c r="B199" s="1069"/>
      <c r="C199" s="1069"/>
      <c r="D199" s="1069"/>
      <c r="E199" s="1069"/>
    </row>
    <row r="200" spans="1:5" ht="48.75" customHeight="1" thickBot="1" x14ac:dyDescent="0.3">
      <c r="A200" s="1065" t="s">
        <v>82</v>
      </c>
      <c r="B200" s="1070">
        <f>B198+B180+B162+B141+B120+B99+B74+B49</f>
        <v>247500</v>
      </c>
      <c r="C200" s="1070">
        <f>C198+C180+C162+C141+C120+C99+C74+C49</f>
        <v>242500</v>
      </c>
      <c r="D200" s="1070">
        <f>D198+D180+D162+D141+D120+D99+D74+D49</f>
        <v>242500</v>
      </c>
      <c r="E200" s="1070">
        <f>E198+E180+E162+E141+E120+E99+E74+E49</f>
        <v>242500</v>
      </c>
    </row>
    <row r="201" spans="1:5" ht="44.25" customHeight="1" thickBot="1" x14ac:dyDescent="0.3">
      <c r="A201" s="1065" t="s">
        <v>83</v>
      </c>
      <c r="B201" s="1070">
        <f>B203+B205+B207+B209</f>
        <v>247500</v>
      </c>
      <c r="C201" s="1070">
        <f>C203+C205+C207+C209</f>
        <v>242500</v>
      </c>
      <c r="D201" s="1070">
        <f>D203+D205+D207+D209</f>
        <v>242500</v>
      </c>
      <c r="E201" s="1070">
        <f>E203+E205+E207+E209</f>
        <v>242500</v>
      </c>
    </row>
    <row r="202" spans="1:5" ht="63.75" thickBot="1" x14ac:dyDescent="0.3">
      <c r="A202" s="1071" t="s">
        <v>84</v>
      </c>
      <c r="B202" s="1072"/>
      <c r="C202" s="1073">
        <f>C201/B201-1</f>
        <v>-2.0202020202020221E-2</v>
      </c>
      <c r="D202" s="1073">
        <f>D201/C201-1</f>
        <v>0</v>
      </c>
      <c r="E202" s="1073">
        <f>E201/D201-1</f>
        <v>0</v>
      </c>
    </row>
    <row r="203" spans="1:5" ht="16.5" thickBot="1" x14ac:dyDescent="0.3">
      <c r="A203" s="49" t="s">
        <v>26</v>
      </c>
      <c r="B203" s="1060">
        <f>B96+B71+B46</f>
        <v>96700</v>
      </c>
      <c r="C203" s="1060">
        <f>C96+C71+C46</f>
        <v>96700</v>
      </c>
      <c r="D203" s="1060">
        <f>D96+D71+D46</f>
        <v>96700</v>
      </c>
      <c r="E203" s="1060">
        <f>E96+E71+E46</f>
        <v>96700</v>
      </c>
    </row>
    <row r="204" spans="1:5" ht="32.25" thickBot="1" x14ac:dyDescent="0.3">
      <c r="A204" s="57" t="s">
        <v>85</v>
      </c>
      <c r="B204" s="1061"/>
      <c r="C204" s="1074">
        <f>C203/B203-1</f>
        <v>0</v>
      </c>
      <c r="D204" s="1074">
        <f>D203/C203-1</f>
        <v>0</v>
      </c>
      <c r="E204" s="1074">
        <f>E203/D203-1</f>
        <v>0</v>
      </c>
    </row>
    <row r="205" spans="1:5" ht="48" thickBot="1" x14ac:dyDescent="0.3">
      <c r="A205" s="49" t="s">
        <v>28</v>
      </c>
      <c r="B205" s="1060">
        <f>B97+B72+B47</f>
        <v>14800</v>
      </c>
      <c r="C205" s="1060">
        <f>C97+C72+C47</f>
        <v>14800</v>
      </c>
      <c r="D205" s="1060">
        <f>D97+D72+D47</f>
        <v>14800</v>
      </c>
      <c r="E205" s="1060">
        <f>E97+E72+E47</f>
        <v>14800</v>
      </c>
    </row>
    <row r="206" spans="1:5" ht="48" thickBot="1" x14ac:dyDescent="0.3">
      <c r="A206" s="57" t="s">
        <v>86</v>
      </c>
      <c r="B206" s="1061"/>
      <c r="C206" s="1074">
        <f>C205/B205-1</f>
        <v>0</v>
      </c>
      <c r="D206" s="1074">
        <f>D205/C205-1</f>
        <v>0</v>
      </c>
      <c r="E206" s="1074">
        <f>E205/D205-1</f>
        <v>0</v>
      </c>
    </row>
    <row r="207" spans="1:5" ht="32.25" thickBot="1" x14ac:dyDescent="0.3">
      <c r="A207" s="49" t="s">
        <v>30</v>
      </c>
      <c r="B207" s="1060">
        <f>B98+B73+B48</f>
        <v>118000</v>
      </c>
      <c r="C207" s="1060">
        <f>C98+C73+C48</f>
        <v>125000</v>
      </c>
      <c r="D207" s="1060">
        <f>D98+D73+D48</f>
        <v>125000</v>
      </c>
      <c r="E207" s="1060">
        <f>E98+E73+E48</f>
        <v>125000</v>
      </c>
    </row>
    <row r="208" spans="1:5" ht="48" thickBot="1" x14ac:dyDescent="0.3">
      <c r="A208" s="57" t="s">
        <v>87</v>
      </c>
      <c r="B208" s="1061"/>
      <c r="C208" s="1074">
        <f>C207/B207-1</f>
        <v>5.9322033898305149E-2</v>
      </c>
      <c r="D208" s="1074">
        <f>D207/C207-1</f>
        <v>0</v>
      </c>
      <c r="E208" s="1074">
        <f>E207/D207-1</f>
        <v>0</v>
      </c>
    </row>
    <row r="209" spans="1:5" ht="32.25" thickBot="1" x14ac:dyDescent="0.3">
      <c r="A209" s="49" t="s">
        <v>94</v>
      </c>
      <c r="B209" s="1060">
        <f>B162+B141+B120+B188</f>
        <v>18000</v>
      </c>
      <c r="C209" s="1060">
        <f>C198+C180</f>
        <v>6000</v>
      </c>
      <c r="D209" s="1060">
        <f>D198+D180</f>
        <v>6000</v>
      </c>
      <c r="E209" s="1060">
        <f>E198+E180</f>
        <v>6000</v>
      </c>
    </row>
    <row r="210" spans="1:5" ht="48" thickBot="1" x14ac:dyDescent="0.3">
      <c r="A210" s="57" t="s">
        <v>95</v>
      </c>
      <c r="B210" s="1061"/>
      <c r="C210" s="1074">
        <f>C209/B209-1</f>
        <v>-0.66666666666666674</v>
      </c>
      <c r="D210" s="1074">
        <f>D209/C209-1</f>
        <v>0</v>
      </c>
      <c r="E210" s="1074">
        <f>E209/D209-1</f>
        <v>0</v>
      </c>
    </row>
    <row r="211" spans="1:5" ht="16.5" thickBot="1" x14ac:dyDescent="0.3">
      <c r="A211" s="1062" t="s">
        <v>41</v>
      </c>
      <c r="B211" s="1063">
        <f>IF(B201-B200=0,0,)</f>
        <v>0</v>
      </c>
      <c r="C211" s="1063">
        <f>IF(C201-C200=0,0,"Error")</f>
        <v>0</v>
      </c>
      <c r="D211" s="1063">
        <f>IF(D201-D200=0,0,"Error")</f>
        <v>0</v>
      </c>
      <c r="E211" s="1063">
        <f>IF(E201-E200=0,0,"Error")</f>
        <v>0</v>
      </c>
    </row>
    <row r="212" spans="1:5" ht="79.5" thickBot="1" x14ac:dyDescent="0.3">
      <c r="A212" s="59" t="s">
        <v>96</v>
      </c>
      <c r="B212" s="1060">
        <v>86</v>
      </c>
      <c r="C212" s="1060">
        <v>90</v>
      </c>
      <c r="D212" s="1060">
        <v>90</v>
      </c>
      <c r="E212" s="1060">
        <v>90</v>
      </c>
    </row>
    <row r="213" spans="1:5" ht="79.5" thickBot="1" x14ac:dyDescent="0.3">
      <c r="A213" s="59" t="s">
        <v>97</v>
      </c>
      <c r="B213" s="1060">
        <v>3</v>
      </c>
      <c r="C213" s="1060">
        <v>3</v>
      </c>
      <c r="D213" s="1060">
        <v>3</v>
      </c>
      <c r="E213" s="1060">
        <v>3</v>
      </c>
    </row>
    <row r="214" spans="1:5" x14ac:dyDescent="0.25">
      <c r="A214" s="31"/>
      <c r="B214" s="1075"/>
      <c r="C214" s="1075"/>
      <c r="D214" s="1075"/>
      <c r="E214" s="1075"/>
    </row>
  </sheetData>
  <mergeCells count="84">
    <mergeCell ref="A194:A195"/>
    <mergeCell ref="B165:E165"/>
    <mergeCell ref="B166:E166"/>
    <mergeCell ref="A167:A168"/>
    <mergeCell ref="A175:E175"/>
    <mergeCell ref="A176:A177"/>
    <mergeCell ref="B181:E181"/>
    <mergeCell ref="B182:E182"/>
    <mergeCell ref="B183:E183"/>
    <mergeCell ref="B184:E184"/>
    <mergeCell ref="A185:A186"/>
    <mergeCell ref="A193:E193"/>
    <mergeCell ref="B164:E164"/>
    <mergeCell ref="A137:A138"/>
    <mergeCell ref="A142:A144"/>
    <mergeCell ref="B142:E144"/>
    <mergeCell ref="B145:E145"/>
    <mergeCell ref="B146:E146"/>
    <mergeCell ref="B147:E147"/>
    <mergeCell ref="B148:E148"/>
    <mergeCell ref="A149:A150"/>
    <mergeCell ref="A157:E157"/>
    <mergeCell ref="A158:A159"/>
    <mergeCell ref="B163:E163"/>
    <mergeCell ref="A136:E136"/>
    <mergeCell ref="B106:E106"/>
    <mergeCell ref="A107:A108"/>
    <mergeCell ref="A115:E115"/>
    <mergeCell ref="A116:A117"/>
    <mergeCell ref="A121:A123"/>
    <mergeCell ref="B121:E123"/>
    <mergeCell ref="B124:E124"/>
    <mergeCell ref="B125:E125"/>
    <mergeCell ref="B126:E126"/>
    <mergeCell ref="B127:E127"/>
    <mergeCell ref="A128:A129"/>
    <mergeCell ref="B105:E105"/>
    <mergeCell ref="A81:E81"/>
    <mergeCell ref="B82:E82"/>
    <mergeCell ref="B83:E83"/>
    <mergeCell ref="B84:E84"/>
    <mergeCell ref="A86:A87"/>
    <mergeCell ref="A93:E93"/>
    <mergeCell ref="A94:A95"/>
    <mergeCell ref="A101:E101"/>
    <mergeCell ref="A102:E102"/>
    <mergeCell ref="B103:E103"/>
    <mergeCell ref="B104:E104"/>
    <mergeCell ref="A77:E77"/>
    <mergeCell ref="B51:E51"/>
    <mergeCell ref="A52:E52"/>
    <mergeCell ref="F55:H55"/>
    <mergeCell ref="A56:E56"/>
    <mergeCell ref="B57:E57"/>
    <mergeCell ref="B58:E58"/>
    <mergeCell ref="B59:E59"/>
    <mergeCell ref="A61:A62"/>
    <mergeCell ref="A68:E68"/>
    <mergeCell ref="A69:A70"/>
    <mergeCell ref="B76:E76"/>
    <mergeCell ref="A44:A45"/>
    <mergeCell ref="B19:E19"/>
    <mergeCell ref="A20:A21"/>
    <mergeCell ref="B25:E25"/>
    <mergeCell ref="A26:E26"/>
    <mergeCell ref="A30:E30"/>
    <mergeCell ref="A31:E31"/>
    <mergeCell ref="B32:E32"/>
    <mergeCell ref="B33:E33"/>
    <mergeCell ref="B34:E34"/>
    <mergeCell ref="A35:A36"/>
    <mergeCell ref="A43:E43"/>
    <mergeCell ref="A16:E18"/>
    <mergeCell ref="B4:E4"/>
    <mergeCell ref="B5:E5"/>
    <mergeCell ref="B6:E6"/>
    <mergeCell ref="C7:E7"/>
    <mergeCell ref="C8:E8"/>
    <mergeCell ref="C9:E9"/>
    <mergeCell ref="A10:E10"/>
    <mergeCell ref="B12:E12"/>
    <mergeCell ref="B13:E13"/>
    <mergeCell ref="B14:E14"/>
    <mergeCell ref="A15:E15"/>
  </mergeCells>
  <printOptions horizontalCentered="1" verticalCentered="1"/>
  <pageMargins left="0.7" right="0.7" top="0.75" bottom="0.75" header="0.3" footer="0.3"/>
  <pageSetup orientation="landscape" r:id="rId1"/>
  <rowBreaks count="2" manualBreakCount="2">
    <brk id="100" max="16383" man="1"/>
    <brk id="15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802"/>
  <sheetViews>
    <sheetView view="pageBreakPreview" zoomScale="60" zoomScaleNormal="150" workbookViewId="0">
      <selection activeCell="S22" sqref="S22"/>
    </sheetView>
  </sheetViews>
  <sheetFormatPr defaultRowHeight="15" x14ac:dyDescent="0.25"/>
  <cols>
    <col min="1" max="1" width="30" customWidth="1"/>
    <col min="2" max="2" width="17.85546875" customWidth="1"/>
    <col min="3" max="4" width="14.5703125" customWidth="1"/>
    <col min="5" max="5" width="11.7109375" customWidth="1"/>
    <col min="6" max="6" width="11" customWidth="1"/>
    <col min="7" max="7" width="11" bestFit="1" customWidth="1"/>
  </cols>
  <sheetData>
    <row r="1" spans="1:5" x14ac:dyDescent="0.25">
      <c r="A1" s="189" t="s">
        <v>898</v>
      </c>
      <c r="B1" s="188"/>
      <c r="C1" s="188"/>
      <c r="D1" s="188"/>
    </row>
    <row r="2" spans="1:5" ht="15.75" thickBot="1" x14ac:dyDescent="0.3"/>
    <row r="3" spans="1:5" ht="26.25" thickBot="1" x14ac:dyDescent="0.3">
      <c r="A3" s="364" t="s">
        <v>897</v>
      </c>
      <c r="B3" s="1550" t="s">
        <v>1060</v>
      </c>
      <c r="C3" s="1551"/>
      <c r="D3" s="1551"/>
      <c r="E3" s="1552"/>
    </row>
    <row r="4" spans="1:5" ht="26.25" thickBot="1" x14ac:dyDescent="0.3">
      <c r="A4" s="2" t="s">
        <v>895</v>
      </c>
      <c r="B4" s="1087" t="s">
        <v>1059</v>
      </c>
      <c r="C4" s="1088"/>
      <c r="D4" s="1088"/>
      <c r="E4" s="1089"/>
    </row>
    <row r="5" spans="1:5" ht="68.25" customHeight="1" thickBot="1" x14ac:dyDescent="0.3">
      <c r="A5" s="2" t="s">
        <v>914</v>
      </c>
      <c r="B5" s="1239" t="s">
        <v>1058</v>
      </c>
      <c r="C5" s="1095"/>
      <c r="D5" s="1095"/>
      <c r="E5" s="1096"/>
    </row>
    <row r="6" spans="1:5" ht="15.75" thickBot="1" x14ac:dyDescent="0.3">
      <c r="A6" s="2" t="s">
        <v>891</v>
      </c>
      <c r="B6" s="363" t="s">
        <v>912</v>
      </c>
      <c r="C6" s="1553" t="s">
        <v>7</v>
      </c>
      <c r="D6" s="1553"/>
      <c r="E6" s="1554"/>
    </row>
    <row r="7" spans="1:5" ht="87" customHeight="1" thickBot="1" x14ac:dyDescent="0.3">
      <c r="A7" s="2" t="s">
        <v>189</v>
      </c>
      <c r="B7" s="186">
        <v>9820</v>
      </c>
      <c r="C7" s="1555" t="s">
        <v>191</v>
      </c>
      <c r="D7" s="1555"/>
      <c r="E7" s="1556"/>
    </row>
    <row r="8" spans="1:5" x14ac:dyDescent="0.25">
      <c r="A8" s="1557" t="s">
        <v>122</v>
      </c>
      <c r="B8" s="1557"/>
      <c r="C8" s="1557"/>
      <c r="D8" s="1557"/>
      <c r="E8" s="1557"/>
    </row>
    <row r="9" spans="1:5" ht="18" customHeight="1" x14ac:dyDescent="0.25">
      <c r="A9" s="1558" t="s">
        <v>948</v>
      </c>
      <c r="B9" s="1558"/>
      <c r="C9" s="1558"/>
      <c r="D9" s="1558"/>
      <c r="E9" s="1558"/>
    </row>
    <row r="10" spans="1:5" ht="15.75" thickBot="1" x14ac:dyDescent="0.3"/>
    <row r="11" spans="1:5" ht="15.75" thickBot="1" x14ac:dyDescent="0.3">
      <c r="A11" s="2" t="s">
        <v>2</v>
      </c>
      <c r="B11" s="1263" t="s">
        <v>189</v>
      </c>
      <c r="C11" s="1263"/>
      <c r="D11" s="1263"/>
      <c r="E11" s="1263"/>
    </row>
    <row r="12" spans="1:5" ht="15.75" thickBot="1" x14ac:dyDescent="0.3">
      <c r="A12" s="2" t="s">
        <v>3</v>
      </c>
      <c r="B12" s="1087" t="s">
        <v>190</v>
      </c>
      <c r="C12" s="1088"/>
      <c r="D12" s="1088"/>
      <c r="E12" s="1089"/>
    </row>
    <row r="13" spans="1:5" ht="15.75" thickBot="1" x14ac:dyDescent="0.3">
      <c r="A13" s="2" t="s">
        <v>5</v>
      </c>
      <c r="B13" s="1265" t="s">
        <v>6</v>
      </c>
      <c r="C13" s="1095"/>
      <c r="D13" s="1095"/>
      <c r="E13" s="1096"/>
    </row>
    <row r="14" spans="1:5" ht="15.75" thickBot="1" x14ac:dyDescent="0.3">
      <c r="A14" s="1266" t="s">
        <v>7</v>
      </c>
      <c r="B14" s="1267"/>
      <c r="C14" s="1267"/>
      <c r="D14" s="1267"/>
      <c r="E14" s="1297"/>
    </row>
    <row r="15" spans="1:5" ht="57" customHeight="1" thickBot="1" x14ac:dyDescent="0.3">
      <c r="A15" s="1268" t="s">
        <v>191</v>
      </c>
      <c r="B15" s="1269"/>
      <c r="C15" s="1269"/>
      <c r="D15" s="1269"/>
      <c r="E15" s="1301"/>
    </row>
    <row r="16" spans="1:5" ht="12" customHeight="1" thickBot="1" x14ac:dyDescent="0.3">
      <c r="A16" s="1268"/>
      <c r="B16" s="1269"/>
      <c r="C16" s="1269"/>
      <c r="D16" s="1269"/>
      <c r="E16" s="1301"/>
    </row>
    <row r="17" spans="1:8" ht="15.75" thickBot="1" x14ac:dyDescent="0.3">
      <c r="A17" s="1268"/>
      <c r="B17" s="1269"/>
      <c r="C17" s="1269"/>
      <c r="D17" s="1269"/>
      <c r="E17" s="1301"/>
    </row>
    <row r="18" spans="1:8" ht="67.5" customHeight="1" thickBot="1" x14ac:dyDescent="0.3">
      <c r="A18" s="362" t="s">
        <v>8</v>
      </c>
      <c r="B18" s="1565" t="s">
        <v>1057</v>
      </c>
      <c r="C18" s="1566"/>
      <c r="D18" s="1566"/>
      <c r="E18" s="1567"/>
    </row>
    <row r="19" spans="1:8" ht="29.25" customHeight="1" x14ac:dyDescent="0.25">
      <c r="A19" s="1568" t="s">
        <v>9</v>
      </c>
      <c r="B19" s="245">
        <v>2018</v>
      </c>
      <c r="C19" s="245">
        <v>2019</v>
      </c>
      <c r="D19" s="245">
        <v>2020</v>
      </c>
      <c r="E19" s="245">
        <v>2021</v>
      </c>
    </row>
    <row r="20" spans="1:8" ht="15.75" thickBot="1" x14ac:dyDescent="0.3">
      <c r="A20" s="1569"/>
      <c r="B20" s="244" t="s">
        <v>10</v>
      </c>
      <c r="C20" s="244" t="s">
        <v>11</v>
      </c>
      <c r="D20" s="244" t="s">
        <v>11</v>
      </c>
      <c r="E20" s="244" t="s">
        <v>11</v>
      </c>
    </row>
    <row r="21" spans="1:8" ht="28.5" customHeight="1" thickBot="1" x14ac:dyDescent="0.3">
      <c r="A21" s="352" t="s">
        <v>1053</v>
      </c>
      <c r="B21" s="351" t="s">
        <v>1052</v>
      </c>
      <c r="C21" s="351" t="s">
        <v>1052</v>
      </c>
      <c r="D21" s="351" t="s">
        <v>1052</v>
      </c>
      <c r="E21" s="351" t="s">
        <v>1052</v>
      </c>
    </row>
    <row r="22" spans="1:8" ht="24.75" customHeight="1" thickBot="1" x14ac:dyDescent="0.3">
      <c r="A22" s="352" t="s">
        <v>1056</v>
      </c>
      <c r="B22" s="351" t="s">
        <v>1050</v>
      </c>
      <c r="C22" s="351" t="s">
        <v>196</v>
      </c>
      <c r="D22" s="351" t="s">
        <v>1050</v>
      </c>
      <c r="E22" s="351" t="s">
        <v>1050</v>
      </c>
    </row>
    <row r="23" spans="1:8" ht="27.75" customHeight="1" thickBot="1" x14ac:dyDescent="0.3">
      <c r="A23" s="352" t="s">
        <v>1055</v>
      </c>
      <c r="B23" s="351" t="s">
        <v>196</v>
      </c>
      <c r="C23" s="351" t="s">
        <v>196</v>
      </c>
      <c r="D23" s="351" t="s">
        <v>196</v>
      </c>
      <c r="E23" s="351" t="s">
        <v>196</v>
      </c>
    </row>
    <row r="24" spans="1:8" ht="23.25" thickBot="1" x14ac:dyDescent="0.3">
      <c r="A24" s="352" t="s">
        <v>1054</v>
      </c>
      <c r="B24" s="351" t="s">
        <v>204</v>
      </c>
      <c r="C24" s="351" t="s">
        <v>204</v>
      </c>
      <c r="D24" s="351" t="s">
        <v>204</v>
      </c>
      <c r="E24" s="351" t="s">
        <v>204</v>
      </c>
    </row>
    <row r="25" spans="1:8" ht="23.25" thickBot="1" x14ac:dyDescent="0.3">
      <c r="A25" s="352" t="s">
        <v>1040</v>
      </c>
      <c r="B25" s="351" t="s">
        <v>1038</v>
      </c>
      <c r="C25" s="351" t="s">
        <v>1038</v>
      </c>
      <c r="D25" s="351" t="s">
        <v>1038</v>
      </c>
      <c r="E25" s="351" t="s">
        <v>1038</v>
      </c>
    </row>
    <row r="26" spans="1:8" ht="23.25" thickBot="1" x14ac:dyDescent="0.3">
      <c r="A26" s="352" t="s">
        <v>1039</v>
      </c>
      <c r="B26" s="351" t="s">
        <v>1038</v>
      </c>
      <c r="C26" s="351" t="s">
        <v>1038</v>
      </c>
      <c r="D26" s="351" t="s">
        <v>1038</v>
      </c>
      <c r="E26" s="351" t="s">
        <v>1038</v>
      </c>
    </row>
    <row r="27" spans="1:8" ht="15.75" thickBot="1" x14ac:dyDescent="0.3">
      <c r="A27" s="352" t="s">
        <v>1037</v>
      </c>
      <c r="B27" s="351" t="s">
        <v>1036</v>
      </c>
      <c r="C27" s="351" t="s">
        <v>1036</v>
      </c>
      <c r="D27" s="351" t="s">
        <v>1036</v>
      </c>
      <c r="E27" s="351" t="s">
        <v>1036</v>
      </c>
    </row>
    <row r="28" spans="1:8" ht="33.75" customHeight="1" thickBot="1" x14ac:dyDescent="0.3">
      <c r="A28" s="6" t="s">
        <v>12</v>
      </c>
      <c r="B28" s="1570" t="s">
        <v>1049</v>
      </c>
      <c r="C28" s="1571"/>
      <c r="D28" s="1571"/>
      <c r="E28" s="1572"/>
    </row>
    <row r="29" spans="1:8" ht="57" customHeight="1" thickBot="1" x14ac:dyDescent="0.3">
      <c r="A29" s="352" t="s">
        <v>1053</v>
      </c>
      <c r="B29" s="351" t="s">
        <v>1052</v>
      </c>
      <c r="C29" s="351" t="s">
        <v>1052</v>
      </c>
      <c r="D29" s="351" t="s">
        <v>1052</v>
      </c>
      <c r="E29" s="351" t="s">
        <v>1052</v>
      </c>
    </row>
    <row r="30" spans="1:8" ht="23.25" customHeight="1" thickBot="1" x14ac:dyDescent="0.3">
      <c r="A30" s="352" t="s">
        <v>1051</v>
      </c>
      <c r="B30" s="351" t="s">
        <v>1050</v>
      </c>
      <c r="C30" s="351" t="s">
        <v>196</v>
      </c>
      <c r="D30" s="351" t="s">
        <v>1050</v>
      </c>
      <c r="E30" s="351" t="s">
        <v>1050</v>
      </c>
      <c r="F30" s="35"/>
      <c r="H30" s="35"/>
    </row>
    <row r="31" spans="1:8" ht="23.25" customHeight="1" thickBot="1" x14ac:dyDescent="0.3">
      <c r="A31" s="1573" t="s">
        <v>14</v>
      </c>
      <c r="B31" s="1574"/>
      <c r="C31" s="1574"/>
      <c r="D31" s="1574"/>
      <c r="E31" s="1575"/>
      <c r="F31" s="35"/>
      <c r="H31" s="35"/>
    </row>
    <row r="32" spans="1:8" ht="24" customHeight="1" thickBot="1" x14ac:dyDescent="0.3">
      <c r="A32" s="1275" t="s">
        <v>15</v>
      </c>
      <c r="B32" s="1276"/>
      <c r="C32" s="1276"/>
      <c r="D32" s="1276"/>
      <c r="E32" s="1317"/>
      <c r="F32" s="35"/>
    </row>
    <row r="33" spans="1:9" ht="33.75" customHeight="1" thickBot="1" x14ac:dyDescent="0.3">
      <c r="A33" s="7" t="s">
        <v>16</v>
      </c>
      <c r="B33" s="1547" t="s">
        <v>1049</v>
      </c>
      <c r="C33" s="1548"/>
      <c r="D33" s="1548"/>
      <c r="E33" s="1549"/>
      <c r="F33" s="35"/>
    </row>
    <row r="34" spans="1:9" ht="34.5" customHeight="1" thickBot="1" x14ac:dyDescent="0.3">
      <c r="A34" s="5" t="s">
        <v>17</v>
      </c>
      <c r="B34" s="1547" t="s">
        <v>1049</v>
      </c>
      <c r="C34" s="1548"/>
      <c r="D34" s="1548"/>
      <c r="E34" s="1549"/>
    </row>
    <row r="35" spans="1:9" ht="15.75" thickBot="1" x14ac:dyDescent="0.3">
      <c r="A35" s="5" t="s">
        <v>18</v>
      </c>
      <c r="B35" s="1248" t="s">
        <v>192</v>
      </c>
      <c r="C35" s="1249"/>
      <c r="D35" s="1249"/>
      <c r="E35" s="1316"/>
    </row>
    <row r="36" spans="1:9" ht="43.5" customHeight="1" x14ac:dyDescent="0.25">
      <c r="A36" s="1250"/>
      <c r="B36" s="8">
        <v>2018</v>
      </c>
      <c r="C36" s="8">
        <v>2019</v>
      </c>
      <c r="D36" s="8">
        <v>2020</v>
      </c>
      <c r="E36" s="8">
        <v>2021</v>
      </c>
    </row>
    <row r="37" spans="1:9" ht="22.5" customHeight="1" thickBot="1" x14ac:dyDescent="0.3">
      <c r="A37" s="1251"/>
      <c r="B37" s="9" t="s">
        <v>10</v>
      </c>
      <c r="C37" s="9" t="s">
        <v>11</v>
      </c>
      <c r="D37" s="9" t="s">
        <v>11</v>
      </c>
      <c r="E37" s="9" t="s">
        <v>11</v>
      </c>
    </row>
    <row r="38" spans="1:9" ht="15.75" thickBot="1" x14ac:dyDescent="0.3">
      <c r="A38" s="5" t="s">
        <v>19</v>
      </c>
      <c r="B38" s="10">
        <v>41</v>
      </c>
      <c r="C38" s="10">
        <v>95</v>
      </c>
      <c r="D38" s="10">
        <v>85</v>
      </c>
      <c r="E38" s="10">
        <v>110</v>
      </c>
    </row>
    <row r="39" spans="1:9" ht="12.75" customHeight="1" thickBot="1" x14ac:dyDescent="0.3">
      <c r="A39" s="5" t="s">
        <v>20</v>
      </c>
      <c r="B39" s="10">
        <v>63850000</v>
      </c>
      <c r="C39" s="10">
        <v>95912381</v>
      </c>
      <c r="D39" s="10">
        <v>98219996</v>
      </c>
      <c r="E39" s="10">
        <v>98167995</v>
      </c>
    </row>
    <row r="40" spans="1:9" ht="9" customHeight="1" thickBot="1" x14ac:dyDescent="0.3">
      <c r="A40" s="5" t="s">
        <v>21</v>
      </c>
      <c r="B40" s="10">
        <f>B39/B38</f>
        <v>1557317.0731707318</v>
      </c>
      <c r="C40" s="10">
        <f>C39/C38</f>
        <v>1009604.0105263158</v>
      </c>
      <c r="D40" s="10">
        <f>D39/D38</f>
        <v>1155529.3647058823</v>
      </c>
      <c r="E40" s="10">
        <f>E39/E38</f>
        <v>892436.31818181823</v>
      </c>
    </row>
    <row r="41" spans="1:9" ht="15.75" thickBot="1" x14ac:dyDescent="0.3">
      <c r="A41" s="5" t="s">
        <v>22</v>
      </c>
      <c r="B41" s="225" t="s">
        <v>23</v>
      </c>
      <c r="C41" s="11">
        <f t="shared" ref="C41:E43" si="0">C38/B38-1</f>
        <v>1.3170731707317072</v>
      </c>
      <c r="D41" s="11">
        <f t="shared" si="0"/>
        <v>-0.10526315789473684</v>
      </c>
      <c r="E41" s="11">
        <f t="shared" si="0"/>
        <v>0.29411764705882359</v>
      </c>
    </row>
    <row r="42" spans="1:9" ht="15.75" thickBot="1" x14ac:dyDescent="0.3">
      <c r="A42" s="5" t="s">
        <v>24</v>
      </c>
      <c r="B42" s="225" t="s">
        <v>23</v>
      </c>
      <c r="C42" s="11">
        <f t="shared" si="0"/>
        <v>0.50215162098668764</v>
      </c>
      <c r="D42" s="11">
        <f t="shared" si="0"/>
        <v>2.4059615410861213E-2</v>
      </c>
      <c r="E42" s="11">
        <f t="shared" si="0"/>
        <v>-5.2943394540561073E-4</v>
      </c>
    </row>
    <row r="43" spans="1:9" ht="15.75" thickBot="1" x14ac:dyDescent="0.3">
      <c r="A43" s="5" t="s">
        <v>25</v>
      </c>
      <c r="B43" s="225" t="s">
        <v>23</v>
      </c>
      <c r="C43" s="11">
        <f t="shared" si="0"/>
        <v>-0.35170298462679805</v>
      </c>
      <c r="D43" s="11">
        <f t="shared" si="0"/>
        <v>0.14453721722390367</v>
      </c>
      <c r="E43" s="11">
        <f t="shared" si="0"/>
        <v>-0.2276818353214497</v>
      </c>
    </row>
    <row r="44" spans="1:9" ht="15.75" thickBot="1" x14ac:dyDescent="0.3">
      <c r="A44" s="1252" t="s">
        <v>633</v>
      </c>
      <c r="B44" s="1253"/>
      <c r="C44" s="1253"/>
      <c r="D44" s="1253"/>
      <c r="E44" s="1300"/>
      <c r="F44" s="12"/>
      <c r="G44" s="12"/>
      <c r="H44" s="12"/>
      <c r="I44" s="12"/>
    </row>
    <row r="45" spans="1:9" x14ac:dyDescent="0.25">
      <c r="A45" s="1250"/>
      <c r="B45" s="8">
        <v>2018</v>
      </c>
      <c r="C45" s="8">
        <v>2019</v>
      </c>
      <c r="D45" s="8">
        <v>2020</v>
      </c>
      <c r="E45" s="8">
        <v>2021</v>
      </c>
    </row>
    <row r="46" spans="1:9" ht="15.75" thickBot="1" x14ac:dyDescent="0.3">
      <c r="A46" s="1251"/>
      <c r="B46" s="9" t="s">
        <v>10</v>
      </c>
      <c r="C46" s="9" t="s">
        <v>11</v>
      </c>
      <c r="D46" s="9" t="s">
        <v>11</v>
      </c>
      <c r="E46" s="9" t="s">
        <v>11</v>
      </c>
    </row>
    <row r="47" spans="1:9" ht="15.75" thickBot="1" x14ac:dyDescent="0.3">
      <c r="A47" s="13" t="s">
        <v>26</v>
      </c>
      <c r="B47" s="14">
        <v>12864000</v>
      </c>
      <c r="C47" s="14">
        <f>2665000+2665000+13325000+2665000+5330000</f>
        <v>26650000</v>
      </c>
      <c r="D47" s="14">
        <f>2665000+2665000+13325000+2665000+5330000</f>
        <v>26650000</v>
      </c>
      <c r="E47" s="14">
        <f>2665000+2665000+13325000+2665000+5330000</f>
        <v>26650000</v>
      </c>
    </row>
    <row r="48" spans="1:9" ht="12.75" customHeight="1" thickBot="1" x14ac:dyDescent="0.3">
      <c r="A48" s="28" t="s">
        <v>27</v>
      </c>
      <c r="B48" s="15"/>
      <c r="C48" s="141"/>
      <c r="D48" s="141"/>
      <c r="E48" s="141"/>
    </row>
    <row r="49" spans="1:5" ht="9" customHeight="1" thickBot="1" x14ac:dyDescent="0.3">
      <c r="A49" s="28" t="s">
        <v>863</v>
      </c>
      <c r="B49" s="15"/>
      <c r="C49" s="29"/>
      <c r="D49" s="29"/>
      <c r="E49" s="29"/>
    </row>
    <row r="50" spans="1:5" ht="24.75" thickBot="1" x14ac:dyDescent="0.3">
      <c r="A50" s="13" t="s">
        <v>28</v>
      </c>
      <c r="B50" s="14">
        <v>1936000</v>
      </c>
      <c r="C50" s="14">
        <f>300000+300000+1500000+300000+600000</f>
        <v>3000000</v>
      </c>
      <c r="D50" s="14">
        <f>300000+300000+1500000+300000+600000</f>
        <v>3000000</v>
      </c>
      <c r="E50" s="14">
        <f>300000+300000+1500000+300000+600000</f>
        <v>3000000</v>
      </c>
    </row>
    <row r="51" spans="1:5" ht="36.75" thickBot="1" x14ac:dyDescent="0.3">
      <c r="A51" s="28" t="s">
        <v>29</v>
      </c>
      <c r="B51" s="15"/>
      <c r="C51" s="14"/>
      <c r="D51" s="14"/>
      <c r="E51" s="14"/>
    </row>
    <row r="52" spans="1:5" ht="36.75" thickBot="1" x14ac:dyDescent="0.3">
      <c r="A52" s="28" t="s">
        <v>864</v>
      </c>
      <c r="B52" s="15"/>
      <c r="C52" s="14"/>
      <c r="D52" s="14"/>
      <c r="E52" s="14"/>
    </row>
    <row r="53" spans="1:5" ht="15.75" thickBot="1" x14ac:dyDescent="0.3">
      <c r="A53" s="13" t="s">
        <v>30</v>
      </c>
      <c r="B53" s="15">
        <f>150000+950000+150000+875000+400000+1575000+9715000</f>
        <v>13815000</v>
      </c>
      <c r="C53" s="14">
        <f>2983750+528000+4579000+3841800+633410+1050000+5511450+2740500+1383456</f>
        <v>23251366</v>
      </c>
      <c r="D53" s="14">
        <f>1039500+137500+123750+646250+206250+165000+528000+5462808+2142400+1193400+506000+633410-3792500+14915868+4842400-14700000</f>
        <v>14050036</v>
      </c>
      <c r="E53" s="14">
        <f>1039500+137500+123750+646250+206250+275000+1039500+550000+49500+646250+82500+528000+5462808+2142400+1193400+506000+633410-4138500-7108323+8142400</f>
        <v>12157595</v>
      </c>
    </row>
    <row r="54" spans="1:5" ht="24.75" thickBot="1" x14ac:dyDescent="0.3">
      <c r="A54" s="28" t="s">
        <v>31</v>
      </c>
      <c r="B54" s="15"/>
      <c r="C54" s="14"/>
      <c r="D54" s="14"/>
      <c r="E54" s="14"/>
    </row>
    <row r="55" spans="1:5" ht="36.75" thickBot="1" x14ac:dyDescent="0.3">
      <c r="A55" s="28" t="s">
        <v>865</v>
      </c>
      <c r="B55" s="15"/>
      <c r="C55" s="14"/>
      <c r="D55" s="14"/>
      <c r="E55" s="14"/>
    </row>
    <row r="56" spans="1:5" ht="15.75" thickBot="1" x14ac:dyDescent="0.3">
      <c r="A56" s="13" t="s">
        <v>32</v>
      </c>
      <c r="B56" s="15"/>
      <c r="C56" s="14"/>
      <c r="D56" s="14"/>
      <c r="E56" s="14"/>
    </row>
    <row r="57" spans="1:5" ht="24.75" thickBot="1" x14ac:dyDescent="0.3">
      <c r="A57" s="28" t="s">
        <v>33</v>
      </c>
      <c r="B57" s="15"/>
      <c r="C57" s="14"/>
      <c r="D57" s="14"/>
      <c r="E57" s="14"/>
    </row>
    <row r="58" spans="1:5" ht="24.75" thickBot="1" x14ac:dyDescent="0.3">
      <c r="A58" s="28" t="s">
        <v>866</v>
      </c>
      <c r="B58" s="15"/>
      <c r="C58" s="14"/>
      <c r="D58" s="14"/>
      <c r="E58" s="14"/>
    </row>
    <row r="59" spans="1:5" ht="15.75" thickBot="1" x14ac:dyDescent="0.3">
      <c r="A59" s="13" t="s">
        <v>34</v>
      </c>
      <c r="B59" s="15"/>
      <c r="C59" s="14"/>
      <c r="D59" s="14"/>
      <c r="E59" s="14"/>
    </row>
    <row r="60" spans="1:5" ht="24.75" thickBot="1" x14ac:dyDescent="0.3">
      <c r="A60" s="28" t="s">
        <v>35</v>
      </c>
      <c r="B60" s="15"/>
      <c r="C60" s="14"/>
      <c r="D60" s="14"/>
      <c r="E60" s="14"/>
    </row>
    <row r="61" spans="1:5" ht="36.75" thickBot="1" x14ac:dyDescent="0.3">
      <c r="A61" s="28" t="s">
        <v>867</v>
      </c>
      <c r="B61" s="15"/>
      <c r="C61" s="14"/>
      <c r="D61" s="14"/>
      <c r="E61" s="14"/>
    </row>
    <row r="62" spans="1:5" ht="15.75" thickBot="1" x14ac:dyDescent="0.3">
      <c r="A62" s="13" t="s">
        <v>36</v>
      </c>
      <c r="B62" s="15"/>
      <c r="C62" s="14"/>
      <c r="D62" s="14"/>
      <c r="E62" s="14"/>
    </row>
    <row r="63" spans="1:5" ht="24.75" thickBot="1" x14ac:dyDescent="0.3">
      <c r="A63" s="28" t="s">
        <v>37</v>
      </c>
      <c r="B63" s="15"/>
      <c r="C63" s="14"/>
      <c r="D63" s="14"/>
      <c r="E63" s="14"/>
    </row>
    <row r="64" spans="1:5" ht="24.75" thickBot="1" x14ac:dyDescent="0.3">
      <c r="A64" s="28" t="s">
        <v>868</v>
      </c>
      <c r="B64" s="15"/>
      <c r="C64" s="14"/>
      <c r="D64" s="14"/>
      <c r="E64" s="14"/>
    </row>
    <row r="65" spans="1:5" ht="24.75" thickBot="1" x14ac:dyDescent="0.3">
      <c r="A65" s="13" t="s">
        <v>38</v>
      </c>
      <c r="B65" s="15">
        <f>29000000+6235000</f>
        <v>35235000</v>
      </c>
      <c r="C65" s="14">
        <f>4718520+7864200+4718520+5048775+4275000+2862000+13524000</f>
        <v>43011015</v>
      </c>
      <c r="D65" s="14">
        <f>13463400+807840+13463400+807840+4718520+16829250+1009710+3420000</f>
        <v>54519960</v>
      </c>
      <c r="E65" s="14">
        <f>13463400+807840+13463400+807840+16829250+1009710+16829250+1009710+3420000+3420000-14700000</f>
        <v>56360400</v>
      </c>
    </row>
    <row r="66" spans="1:5" ht="36.75" thickBot="1" x14ac:dyDescent="0.3">
      <c r="A66" s="28" t="s">
        <v>39</v>
      </c>
      <c r="B66" s="15"/>
      <c r="C66" s="14"/>
      <c r="D66" s="14"/>
      <c r="E66" s="14"/>
    </row>
    <row r="67" spans="1:5" ht="36.75" thickBot="1" x14ac:dyDescent="0.3">
      <c r="A67" s="28" t="s">
        <v>869</v>
      </c>
      <c r="B67" s="15"/>
      <c r="C67" s="14"/>
      <c r="D67" s="14"/>
      <c r="E67" s="14"/>
    </row>
    <row r="68" spans="1:5" ht="15.75" thickBot="1" x14ac:dyDescent="0.3">
      <c r="A68" s="16" t="s">
        <v>40</v>
      </c>
      <c r="B68" s="15">
        <f>B65+B62+B59+B56+B53+B50+B47</f>
        <v>63850000</v>
      </c>
      <c r="C68" s="15">
        <f>C65+C62+C59+C56+C53+C50+C47</f>
        <v>95912381</v>
      </c>
      <c r="D68" s="15">
        <f>D65+D62+D59+D56+D53+D50+D47</f>
        <v>98219996</v>
      </c>
      <c r="E68" s="15">
        <f>E65+E62+E59+E56+E53+E50+E47</f>
        <v>98167995</v>
      </c>
    </row>
    <row r="69" spans="1:5" x14ac:dyDescent="0.25">
      <c r="A69" s="1254" t="s">
        <v>870</v>
      </c>
      <c r="B69" s="1576" t="s">
        <v>1048</v>
      </c>
      <c r="C69" s="1577"/>
      <c r="D69" s="1577"/>
      <c r="E69" s="1578"/>
    </row>
    <row r="70" spans="1:5" x14ac:dyDescent="0.25">
      <c r="A70" s="1255"/>
      <c r="B70" s="1579"/>
      <c r="C70" s="1580"/>
      <c r="D70" s="1580"/>
      <c r="E70" s="1581"/>
    </row>
    <row r="71" spans="1:5" ht="15.75" thickBot="1" x14ac:dyDescent="0.3">
      <c r="A71" s="1256"/>
      <c r="B71" s="1582"/>
      <c r="C71" s="1583"/>
      <c r="D71" s="1583"/>
      <c r="E71" s="1584"/>
    </row>
    <row r="72" spans="1:5" ht="15.75" thickBot="1" x14ac:dyDescent="0.3">
      <c r="A72" s="17" t="s">
        <v>41</v>
      </c>
      <c r="B72" s="361">
        <f>IF(B68-B39=0,0,"Error")</f>
        <v>0</v>
      </c>
      <c r="C72" s="360">
        <f>IF(C68-C39=0,0,"Error")</f>
        <v>0</v>
      </c>
      <c r="D72" s="360">
        <f>IF(D68-D39=0,0,"Error")</f>
        <v>0</v>
      </c>
      <c r="E72" s="360">
        <f>IF(E68-E39=0,0,"Error")</f>
        <v>0</v>
      </c>
    </row>
    <row r="73" spans="1:5" ht="15.75" customHeight="1" thickBot="1" x14ac:dyDescent="0.3">
      <c r="A73" s="247" t="s">
        <v>42</v>
      </c>
      <c r="B73" s="1585" t="s">
        <v>1047</v>
      </c>
      <c r="C73" s="1586"/>
      <c r="D73" s="1586"/>
      <c r="E73" s="1587"/>
    </row>
    <row r="74" spans="1:5" ht="15.75" customHeight="1" thickBot="1" x14ac:dyDescent="0.3">
      <c r="A74" s="5" t="s">
        <v>17</v>
      </c>
      <c r="B74" s="1585" t="s">
        <v>197</v>
      </c>
      <c r="C74" s="1586"/>
      <c r="D74" s="1586"/>
      <c r="E74" s="1587"/>
    </row>
    <row r="75" spans="1:5" ht="15.75" thickBot="1" x14ac:dyDescent="0.3">
      <c r="A75" s="5" t="s">
        <v>18</v>
      </c>
      <c r="B75" s="1248" t="s">
        <v>198</v>
      </c>
      <c r="C75" s="1249"/>
      <c r="D75" s="1249"/>
      <c r="E75" s="1316"/>
    </row>
    <row r="76" spans="1:5" x14ac:dyDescent="0.25">
      <c r="A76" s="1250"/>
      <c r="B76" s="8">
        <v>2018</v>
      </c>
      <c r="C76" s="8">
        <v>2019</v>
      </c>
      <c r="D76" s="8">
        <v>2020</v>
      </c>
      <c r="E76" s="8">
        <v>2021</v>
      </c>
    </row>
    <row r="77" spans="1:5" ht="15.75" thickBot="1" x14ac:dyDescent="0.3">
      <c r="A77" s="1251"/>
      <c r="B77" s="9" t="s">
        <v>10</v>
      </c>
      <c r="C77" s="9" t="s">
        <v>11</v>
      </c>
      <c r="D77" s="9" t="s">
        <v>11</v>
      </c>
      <c r="E77" s="9" t="s">
        <v>11</v>
      </c>
    </row>
    <row r="78" spans="1:5" ht="15.75" thickBot="1" x14ac:dyDescent="0.3">
      <c r="A78" s="5" t="s">
        <v>19</v>
      </c>
      <c r="B78" s="10">
        <v>0</v>
      </c>
      <c r="C78" s="10">
        <v>20</v>
      </c>
      <c r="D78" s="10">
        <v>0</v>
      </c>
      <c r="E78" s="10">
        <v>0</v>
      </c>
    </row>
    <row r="79" spans="1:5" ht="15.75" thickBot="1" x14ac:dyDescent="0.3">
      <c r="A79" s="5" t="s">
        <v>20</v>
      </c>
      <c r="B79" s="10">
        <v>0</v>
      </c>
      <c r="C79" s="10">
        <v>2750000</v>
      </c>
      <c r="D79" s="10">
        <v>0</v>
      </c>
      <c r="E79" s="10">
        <v>0</v>
      </c>
    </row>
    <row r="80" spans="1:5" ht="15.75" thickBot="1" x14ac:dyDescent="0.3">
      <c r="A80" s="5" t="s">
        <v>21</v>
      </c>
      <c r="B80" s="10">
        <v>0</v>
      </c>
      <c r="C80" s="10">
        <f>C79/C78</f>
        <v>137500</v>
      </c>
      <c r="D80" s="10">
        <v>0</v>
      </c>
      <c r="E80" s="10">
        <v>0</v>
      </c>
    </row>
    <row r="81" spans="1:5" ht="15.75" thickBot="1" x14ac:dyDescent="0.3">
      <c r="A81" s="5" t="s">
        <v>22</v>
      </c>
      <c r="B81" s="225" t="s">
        <v>23</v>
      </c>
      <c r="C81" s="11"/>
      <c r="D81" s="11">
        <f>D78/C78-1</f>
        <v>-1</v>
      </c>
      <c r="E81" s="11">
        <v>0</v>
      </c>
    </row>
    <row r="82" spans="1:5" ht="15.75" thickBot="1" x14ac:dyDescent="0.3">
      <c r="A82" s="5" t="s">
        <v>24</v>
      </c>
      <c r="B82" s="225" t="s">
        <v>23</v>
      </c>
      <c r="C82" s="11"/>
      <c r="D82" s="11">
        <f>D79/C79-1</f>
        <v>-1</v>
      </c>
      <c r="E82" s="11">
        <v>0</v>
      </c>
    </row>
    <row r="83" spans="1:5" ht="15.75" thickBot="1" x14ac:dyDescent="0.3">
      <c r="A83" s="5" t="s">
        <v>25</v>
      </c>
      <c r="B83" s="225" t="s">
        <v>23</v>
      </c>
      <c r="C83" s="11"/>
      <c r="D83" s="11">
        <f>D80/C80-1</f>
        <v>-1</v>
      </c>
      <c r="E83" s="11">
        <v>0</v>
      </c>
    </row>
    <row r="84" spans="1:5" ht="15.75" customHeight="1" thickBot="1" x14ac:dyDescent="0.3">
      <c r="A84" s="1252" t="s">
        <v>874</v>
      </c>
      <c r="B84" s="1253"/>
      <c r="C84" s="1253"/>
      <c r="D84" s="1253"/>
      <c r="E84" s="1300"/>
    </row>
    <row r="85" spans="1:5" x14ac:dyDescent="0.25">
      <c r="A85" s="1250"/>
      <c r="B85" s="8">
        <v>2018</v>
      </c>
      <c r="C85" s="8">
        <v>2019</v>
      </c>
      <c r="D85" s="8">
        <v>2020</v>
      </c>
      <c r="E85" s="8">
        <v>2021</v>
      </c>
    </row>
    <row r="86" spans="1:5" ht="15.75" thickBot="1" x14ac:dyDescent="0.3">
      <c r="A86" s="1251"/>
      <c r="B86" s="9" t="s">
        <v>10</v>
      </c>
      <c r="C86" s="9" t="s">
        <v>11</v>
      </c>
      <c r="D86" s="9" t="s">
        <v>11</v>
      </c>
      <c r="E86" s="9" t="s">
        <v>11</v>
      </c>
    </row>
    <row r="87" spans="1:5" ht="15.75" thickBot="1" x14ac:dyDescent="0.3">
      <c r="A87" s="13" t="s">
        <v>26</v>
      </c>
      <c r="B87" s="14"/>
      <c r="C87" s="14"/>
      <c r="D87" s="14"/>
      <c r="E87" s="14"/>
    </row>
    <row r="88" spans="1:5" ht="24.75" thickBot="1" x14ac:dyDescent="0.3">
      <c r="A88" s="28" t="s">
        <v>27</v>
      </c>
      <c r="B88" s="15"/>
      <c r="C88" s="141"/>
      <c r="D88" s="141"/>
      <c r="E88" s="141"/>
    </row>
    <row r="89" spans="1:5" ht="24.75" thickBot="1" x14ac:dyDescent="0.3">
      <c r="A89" s="28" t="s">
        <v>863</v>
      </c>
      <c r="B89" s="15"/>
      <c r="C89" s="29"/>
      <c r="D89" s="29"/>
      <c r="E89" s="29"/>
    </row>
    <row r="90" spans="1:5" ht="24.75" thickBot="1" x14ac:dyDescent="0.3">
      <c r="A90" s="13" t="s">
        <v>28</v>
      </c>
      <c r="B90" s="14"/>
      <c r="C90" s="14"/>
      <c r="D90" s="14"/>
      <c r="E90" s="14"/>
    </row>
    <row r="91" spans="1:5" ht="36.75" thickBot="1" x14ac:dyDescent="0.3">
      <c r="A91" s="28" t="s">
        <v>29</v>
      </c>
      <c r="B91" s="15"/>
      <c r="C91" s="14"/>
      <c r="D91" s="14"/>
      <c r="E91" s="14"/>
    </row>
    <row r="92" spans="1:5" ht="36.75" thickBot="1" x14ac:dyDescent="0.3">
      <c r="A92" s="28" t="s">
        <v>864</v>
      </c>
      <c r="B92" s="15"/>
      <c r="C92" s="14"/>
      <c r="D92" s="14"/>
      <c r="E92" s="14"/>
    </row>
    <row r="93" spans="1:5" ht="15.75" thickBot="1" x14ac:dyDescent="0.3">
      <c r="A93" s="13" t="s">
        <v>30</v>
      </c>
      <c r="B93" s="15">
        <v>0</v>
      </c>
      <c r="C93" s="14">
        <v>2750000</v>
      </c>
      <c r="D93" s="14">
        <v>0</v>
      </c>
      <c r="E93" s="14">
        <v>0</v>
      </c>
    </row>
    <row r="94" spans="1:5" ht="24.75" thickBot="1" x14ac:dyDescent="0.3">
      <c r="A94" s="28" t="s">
        <v>31</v>
      </c>
      <c r="B94" s="15"/>
      <c r="C94" s="14"/>
      <c r="D94" s="14"/>
      <c r="E94" s="14"/>
    </row>
    <row r="95" spans="1:5" ht="36.75" thickBot="1" x14ac:dyDescent="0.3">
      <c r="A95" s="28" t="s">
        <v>865</v>
      </c>
      <c r="B95" s="15"/>
      <c r="C95" s="14"/>
      <c r="D95" s="14"/>
      <c r="E95" s="14"/>
    </row>
    <row r="96" spans="1:5" ht="15.75" thickBot="1" x14ac:dyDescent="0.3">
      <c r="A96" s="13" t="s">
        <v>32</v>
      </c>
      <c r="B96" s="15"/>
      <c r="C96" s="14"/>
      <c r="D96" s="14"/>
      <c r="E96" s="14"/>
    </row>
    <row r="97" spans="1:5" ht="24.75" thickBot="1" x14ac:dyDescent="0.3">
      <c r="A97" s="28" t="s">
        <v>33</v>
      </c>
      <c r="B97" s="15"/>
      <c r="C97" s="14"/>
      <c r="D97" s="14"/>
      <c r="E97" s="14"/>
    </row>
    <row r="98" spans="1:5" ht="24.75" thickBot="1" x14ac:dyDescent="0.3">
      <c r="A98" s="28" t="s">
        <v>866</v>
      </c>
      <c r="B98" s="15"/>
      <c r="C98" s="14"/>
      <c r="D98" s="14"/>
      <c r="E98" s="14"/>
    </row>
    <row r="99" spans="1:5" ht="15.75" thickBot="1" x14ac:dyDescent="0.3">
      <c r="A99" s="13" t="s">
        <v>34</v>
      </c>
      <c r="B99" s="15"/>
      <c r="C99" s="14"/>
      <c r="D99" s="14"/>
      <c r="E99" s="14"/>
    </row>
    <row r="100" spans="1:5" ht="24.75" thickBot="1" x14ac:dyDescent="0.3">
      <c r="A100" s="28" t="s">
        <v>35</v>
      </c>
      <c r="B100" s="15"/>
      <c r="C100" s="14"/>
      <c r="D100" s="14"/>
      <c r="E100" s="14"/>
    </row>
    <row r="101" spans="1:5" ht="36.75" thickBot="1" x14ac:dyDescent="0.3">
      <c r="A101" s="28" t="s">
        <v>867</v>
      </c>
      <c r="B101" s="15"/>
      <c r="C101" s="14"/>
      <c r="D101" s="14"/>
      <c r="E101" s="14"/>
    </row>
    <row r="102" spans="1:5" ht="15.75" thickBot="1" x14ac:dyDescent="0.3">
      <c r="A102" s="13" t="s">
        <v>36</v>
      </c>
      <c r="B102" s="15"/>
      <c r="C102" s="14"/>
      <c r="D102" s="14"/>
      <c r="E102" s="14"/>
    </row>
    <row r="103" spans="1:5" ht="24.75" thickBot="1" x14ac:dyDescent="0.3">
      <c r="A103" s="28" t="s">
        <v>37</v>
      </c>
      <c r="B103" s="15"/>
      <c r="C103" s="14"/>
      <c r="D103" s="14"/>
      <c r="E103" s="14"/>
    </row>
    <row r="104" spans="1:5" ht="24.75" thickBot="1" x14ac:dyDescent="0.3">
      <c r="A104" s="28" t="s">
        <v>868</v>
      </c>
      <c r="B104" s="15"/>
      <c r="C104" s="14"/>
      <c r="D104" s="14"/>
      <c r="E104" s="14"/>
    </row>
    <row r="105" spans="1:5" ht="24.75" thickBot="1" x14ac:dyDescent="0.3">
      <c r="A105" s="13" t="s">
        <v>38</v>
      </c>
      <c r="B105" s="15"/>
      <c r="C105" s="14"/>
      <c r="D105" s="14"/>
      <c r="E105" s="14"/>
    </row>
    <row r="106" spans="1:5" ht="36.75" thickBot="1" x14ac:dyDescent="0.3">
      <c r="A106" s="28" t="s">
        <v>39</v>
      </c>
      <c r="B106" s="15"/>
      <c r="C106" s="14"/>
      <c r="D106" s="14"/>
      <c r="E106" s="14"/>
    </row>
    <row r="107" spans="1:5" ht="36.75" thickBot="1" x14ac:dyDescent="0.3">
      <c r="A107" s="28" t="s">
        <v>869</v>
      </c>
      <c r="B107" s="15"/>
      <c r="C107" s="14"/>
      <c r="D107" s="14"/>
      <c r="E107" s="14"/>
    </row>
    <row r="108" spans="1:5" ht="15.75" thickBot="1" x14ac:dyDescent="0.3">
      <c r="A108" s="16" t="s">
        <v>43</v>
      </c>
      <c r="B108" s="15">
        <f>B105+B102+B99+B96+B93+B90+B87</f>
        <v>0</v>
      </c>
      <c r="C108" s="15">
        <f>C105+C102+C99+C96+C93+C90+C87</f>
        <v>2750000</v>
      </c>
      <c r="D108" s="15">
        <f>D105+D102+D99+D96+D93+D90+D87</f>
        <v>0</v>
      </c>
      <c r="E108" s="15">
        <f>E105+E102+E99+E96+E93+E90+E87</f>
        <v>0</v>
      </c>
    </row>
    <row r="109" spans="1:5" ht="15" customHeight="1" x14ac:dyDescent="0.25">
      <c r="A109" s="1254" t="s">
        <v>1046</v>
      </c>
      <c r="B109" s="1322"/>
      <c r="C109" s="1289"/>
      <c r="D109" s="1289"/>
      <c r="E109" s="1290"/>
    </row>
    <row r="110" spans="1:5" x14ac:dyDescent="0.25">
      <c r="A110" s="1255"/>
      <c r="B110" s="1291"/>
      <c r="C110" s="1292"/>
      <c r="D110" s="1292"/>
      <c r="E110" s="1293"/>
    </row>
    <row r="111" spans="1:5" ht="15.75" thickBot="1" x14ac:dyDescent="0.3">
      <c r="A111" s="1256"/>
      <c r="B111" s="1294"/>
      <c r="C111" s="1295"/>
      <c r="D111" s="1295"/>
      <c r="E111" s="1296"/>
    </row>
    <row r="112" spans="1:5" ht="15.75" thickBot="1" x14ac:dyDescent="0.3">
      <c r="A112" s="1559" t="s">
        <v>55</v>
      </c>
      <c r="B112" s="1560"/>
      <c r="C112" s="1560"/>
      <c r="D112" s="1560"/>
      <c r="E112" s="1561"/>
    </row>
    <row r="113" spans="1:5" ht="15.75" thickBot="1" x14ac:dyDescent="0.3">
      <c r="A113" s="1562" t="s">
        <v>56</v>
      </c>
      <c r="B113" s="1563"/>
      <c r="C113" s="1563"/>
      <c r="D113" s="1563"/>
      <c r="E113" s="1564"/>
    </row>
    <row r="114" spans="1:5" ht="15.75" thickBot="1" x14ac:dyDescent="0.3">
      <c r="A114" s="332" t="s">
        <v>79</v>
      </c>
      <c r="B114" s="1591" t="s">
        <v>193</v>
      </c>
      <c r="C114" s="1592"/>
      <c r="D114" s="1592"/>
      <c r="E114" s="1593"/>
    </row>
    <row r="115" spans="1:5" ht="24" customHeight="1" thickBot="1" x14ac:dyDescent="0.3">
      <c r="A115" s="334" t="s">
        <v>194</v>
      </c>
      <c r="B115" s="1594" t="s">
        <v>1045</v>
      </c>
      <c r="C115" s="1595"/>
      <c r="D115" s="1595"/>
      <c r="E115" s="1596"/>
    </row>
    <row r="116" spans="1:5" ht="24.75" customHeight="1" thickBot="1" x14ac:dyDescent="0.3">
      <c r="A116" s="332" t="s">
        <v>17</v>
      </c>
      <c r="B116" s="1594" t="s">
        <v>1045</v>
      </c>
      <c r="C116" s="1595"/>
      <c r="D116" s="1595"/>
      <c r="E116" s="1596"/>
    </row>
    <row r="117" spans="1:5" ht="15.75" thickBot="1" x14ac:dyDescent="0.3">
      <c r="A117" s="332" t="s">
        <v>18</v>
      </c>
      <c r="B117" s="1594" t="s">
        <v>73</v>
      </c>
      <c r="C117" s="1595"/>
      <c r="D117" s="1595"/>
      <c r="E117" s="1596"/>
    </row>
    <row r="118" spans="1:5" ht="19.5" customHeight="1" x14ac:dyDescent="0.25">
      <c r="A118" s="1597"/>
      <c r="B118" s="329">
        <v>2018</v>
      </c>
      <c r="C118" s="329">
        <v>2019</v>
      </c>
      <c r="D118" s="329">
        <v>2020</v>
      </c>
      <c r="E118" s="329">
        <v>2021</v>
      </c>
    </row>
    <row r="119" spans="1:5" ht="21.75" customHeight="1" thickBot="1" x14ac:dyDescent="0.3">
      <c r="A119" s="1598"/>
      <c r="B119" s="328" t="s">
        <v>10</v>
      </c>
      <c r="C119" s="328" t="s">
        <v>11</v>
      </c>
      <c r="D119" s="328" t="s">
        <v>11</v>
      </c>
      <c r="E119" s="328" t="s">
        <v>11</v>
      </c>
    </row>
    <row r="120" spans="1:5" ht="12.75" customHeight="1" thickBot="1" x14ac:dyDescent="0.3">
      <c r="A120" s="332" t="s">
        <v>19</v>
      </c>
      <c r="B120" s="333">
        <v>30</v>
      </c>
      <c r="C120" s="333">
        <v>32</v>
      </c>
      <c r="D120" s="333">
        <v>0</v>
      </c>
      <c r="E120" s="333">
        <v>0</v>
      </c>
    </row>
    <row r="121" spans="1:5" ht="15.75" thickBot="1" x14ac:dyDescent="0.3">
      <c r="A121" s="332" t="s">
        <v>20</v>
      </c>
      <c r="B121" s="333">
        <v>2000000</v>
      </c>
      <c r="C121" s="333">
        <v>2400000</v>
      </c>
      <c r="D121" s="333">
        <v>0</v>
      </c>
      <c r="E121" s="333">
        <v>0</v>
      </c>
    </row>
    <row r="122" spans="1:5" ht="15.75" thickBot="1" x14ac:dyDescent="0.3">
      <c r="A122" s="332" t="s">
        <v>21</v>
      </c>
      <c r="B122" s="333">
        <f>B121/B120</f>
        <v>66666.666666666672</v>
      </c>
      <c r="C122" s="333">
        <f>C121/C120</f>
        <v>75000</v>
      </c>
      <c r="D122" s="333" t="e">
        <f>D121/D120</f>
        <v>#DIV/0!</v>
      </c>
      <c r="E122" s="333" t="e">
        <f>E121/E120</f>
        <v>#DIV/0!</v>
      </c>
    </row>
    <row r="123" spans="1:5" ht="15.75" thickBot="1" x14ac:dyDescent="0.3">
      <c r="A123" s="332" t="s">
        <v>22</v>
      </c>
      <c r="B123" s="331" t="s">
        <v>23</v>
      </c>
      <c r="C123" s="330">
        <f t="shared" ref="C123:E125" si="1">C120/B120-1</f>
        <v>6.6666666666666652E-2</v>
      </c>
      <c r="D123" s="330">
        <f t="shared" si="1"/>
        <v>-1</v>
      </c>
      <c r="E123" s="330" t="e">
        <f t="shared" si="1"/>
        <v>#DIV/0!</v>
      </c>
    </row>
    <row r="124" spans="1:5" ht="15.75" thickBot="1" x14ac:dyDescent="0.3">
      <c r="A124" s="332" t="s">
        <v>24</v>
      </c>
      <c r="B124" s="331" t="s">
        <v>23</v>
      </c>
      <c r="C124" s="330">
        <f t="shared" si="1"/>
        <v>0.19999999999999996</v>
      </c>
      <c r="D124" s="330">
        <f t="shared" si="1"/>
        <v>-1</v>
      </c>
      <c r="E124" s="330" t="e">
        <f t="shared" si="1"/>
        <v>#DIV/0!</v>
      </c>
    </row>
    <row r="125" spans="1:5" ht="15.75" thickBot="1" x14ac:dyDescent="0.3">
      <c r="A125" s="332" t="s">
        <v>25</v>
      </c>
      <c r="B125" s="331" t="s">
        <v>23</v>
      </c>
      <c r="C125" s="330">
        <f t="shared" si="1"/>
        <v>0.125</v>
      </c>
      <c r="D125" s="330" t="e">
        <f t="shared" si="1"/>
        <v>#DIV/0!</v>
      </c>
      <c r="E125" s="330" t="e">
        <f t="shared" si="1"/>
        <v>#DIV/0!</v>
      </c>
    </row>
    <row r="126" spans="1:5" ht="24.75" customHeight="1" thickBot="1" x14ac:dyDescent="0.3">
      <c r="A126" s="1599" t="s">
        <v>872</v>
      </c>
      <c r="B126" s="1600"/>
      <c r="C126" s="1600"/>
      <c r="D126" s="1600"/>
      <c r="E126" s="1601"/>
    </row>
    <row r="127" spans="1:5" ht="12.75" customHeight="1" x14ac:dyDescent="0.25">
      <c r="A127" s="1597"/>
      <c r="B127" s="329">
        <v>2018</v>
      </c>
      <c r="C127" s="329">
        <v>2019</v>
      </c>
      <c r="D127" s="329">
        <v>2020</v>
      </c>
      <c r="E127" s="329">
        <v>2021</v>
      </c>
    </row>
    <row r="128" spans="1:5" ht="9" customHeight="1" thickBot="1" x14ac:dyDescent="0.3">
      <c r="A128" s="1598"/>
      <c r="B128" s="328" t="s">
        <v>10</v>
      </c>
      <c r="C128" s="328" t="s">
        <v>11</v>
      </c>
      <c r="D128" s="328" t="s">
        <v>11</v>
      </c>
      <c r="E128" s="328" t="s">
        <v>11</v>
      </c>
    </row>
    <row r="129" spans="1:5" ht="24.75" customHeight="1" thickBot="1" x14ac:dyDescent="0.3">
      <c r="A129" s="349" t="s">
        <v>58</v>
      </c>
      <c r="B129" s="326">
        <v>0</v>
      </c>
      <c r="C129" s="326">
        <v>0</v>
      </c>
      <c r="D129" s="326">
        <v>0</v>
      </c>
      <c r="E129" s="326">
        <v>0</v>
      </c>
    </row>
    <row r="130" spans="1:5" ht="38.25" customHeight="1" thickBot="1" x14ac:dyDescent="0.3">
      <c r="A130" s="349" t="s">
        <v>59</v>
      </c>
      <c r="B130" s="324">
        <v>2000000</v>
      </c>
      <c r="C130" s="326">
        <v>2400000</v>
      </c>
      <c r="D130" s="326">
        <v>0</v>
      </c>
      <c r="E130" s="326">
        <v>0</v>
      </c>
    </row>
    <row r="131" spans="1:5" ht="24.75" customHeight="1" thickBot="1" x14ac:dyDescent="0.3">
      <c r="A131" s="348" t="s">
        <v>52</v>
      </c>
      <c r="B131" s="324">
        <f>B130+B129</f>
        <v>2000000</v>
      </c>
      <c r="C131" s="324">
        <f>C130+C129</f>
        <v>2400000</v>
      </c>
      <c r="D131" s="324">
        <f>D130+D129</f>
        <v>0</v>
      </c>
      <c r="E131" s="324">
        <f>E130+E129</f>
        <v>0</v>
      </c>
    </row>
    <row r="132" spans="1:5" ht="24.75" customHeight="1" x14ac:dyDescent="0.25">
      <c r="A132" s="1602" t="s">
        <v>195</v>
      </c>
      <c r="B132" s="1604"/>
      <c r="C132" s="1605"/>
      <c r="D132" s="1605"/>
      <c r="E132" s="1606"/>
    </row>
    <row r="133" spans="1:5" ht="10.5" customHeight="1" x14ac:dyDescent="0.25">
      <c r="A133" s="1603"/>
      <c r="B133" s="1607"/>
      <c r="C133" s="1608"/>
      <c r="D133" s="1608"/>
      <c r="E133" s="1609"/>
    </row>
    <row r="134" spans="1:5" ht="24" hidden="1" customHeight="1" thickBot="1" x14ac:dyDescent="0.3">
      <c r="A134" s="1603"/>
      <c r="B134" s="1607"/>
      <c r="C134" s="1608"/>
      <c r="D134" s="1608"/>
      <c r="E134" s="1609"/>
    </row>
    <row r="135" spans="1:5" ht="17.25" customHeight="1" x14ac:dyDescent="0.25">
      <c r="A135" s="359" t="s">
        <v>41</v>
      </c>
      <c r="B135" s="353">
        <v>0</v>
      </c>
      <c r="C135" s="353">
        <v>0</v>
      </c>
      <c r="D135" s="353">
        <v>0</v>
      </c>
      <c r="E135" s="353">
        <v>0</v>
      </c>
    </row>
    <row r="136" spans="1:5" ht="17.25" customHeight="1" thickBot="1" x14ac:dyDescent="0.3">
      <c r="A136" s="354"/>
      <c r="B136" s="353">
        <f>B108+B131+B68</f>
        <v>65850000</v>
      </c>
      <c r="C136" s="353">
        <f>C108+C131+C68</f>
        <v>101062381</v>
      </c>
      <c r="D136" s="353">
        <f>D108+D131+D68</f>
        <v>98219996</v>
      </c>
      <c r="E136" s="353">
        <f>E108+E131+E68</f>
        <v>98167995</v>
      </c>
    </row>
    <row r="137" spans="1:5" ht="17.25" customHeight="1" thickBot="1" x14ac:dyDescent="0.3">
      <c r="A137" s="358"/>
      <c r="B137" s="357"/>
      <c r="C137" s="357"/>
      <c r="D137" s="357"/>
      <c r="E137" s="357"/>
    </row>
    <row r="138" spans="1:5" ht="57" customHeight="1" thickBot="1" x14ac:dyDescent="0.3">
      <c r="A138" s="6" t="s">
        <v>67</v>
      </c>
      <c r="B138" s="1610" t="s">
        <v>199</v>
      </c>
      <c r="C138" s="1611"/>
      <c r="D138" s="1611"/>
      <c r="E138" s="1612"/>
    </row>
    <row r="139" spans="1:5" ht="17.25" customHeight="1" thickBot="1" x14ac:dyDescent="0.3">
      <c r="A139" s="352" t="s">
        <v>1044</v>
      </c>
      <c r="B139" s="351" t="s">
        <v>196</v>
      </c>
      <c r="C139" s="351" t="s">
        <v>196</v>
      </c>
      <c r="D139" s="351" t="s">
        <v>196</v>
      </c>
      <c r="E139" s="351" t="s">
        <v>196</v>
      </c>
    </row>
    <row r="140" spans="1:5" ht="19.5" customHeight="1" thickBot="1" x14ac:dyDescent="0.3">
      <c r="A140" s="352" t="s">
        <v>1043</v>
      </c>
      <c r="B140" s="351" t="s">
        <v>204</v>
      </c>
      <c r="C140" s="351" t="s">
        <v>204</v>
      </c>
      <c r="D140" s="351" t="s">
        <v>204</v>
      </c>
      <c r="E140" s="351" t="s">
        <v>204</v>
      </c>
    </row>
    <row r="141" spans="1:5" ht="19.5" customHeight="1" thickBot="1" x14ac:dyDescent="0.3">
      <c r="A141" s="356"/>
      <c r="B141" s="355"/>
      <c r="C141" s="355"/>
      <c r="D141" s="355"/>
      <c r="E141" s="351"/>
    </row>
    <row r="142" spans="1:5" ht="21" customHeight="1" thickBot="1" x14ac:dyDescent="0.3">
      <c r="A142" s="1613" t="s">
        <v>69</v>
      </c>
      <c r="B142" s="1614"/>
      <c r="C142" s="1614"/>
      <c r="D142" s="1614"/>
      <c r="E142" s="1615"/>
    </row>
    <row r="143" spans="1:5" ht="24.75" customHeight="1" thickBot="1" x14ac:dyDescent="0.3">
      <c r="A143" s="1275" t="s">
        <v>15</v>
      </c>
      <c r="B143" s="1276"/>
      <c r="C143" s="1276"/>
      <c r="D143" s="1276"/>
      <c r="E143" s="1317"/>
    </row>
    <row r="144" spans="1:5" ht="32.25" customHeight="1" thickBot="1" x14ac:dyDescent="0.3">
      <c r="A144" s="213" t="s">
        <v>16</v>
      </c>
      <c r="B144" s="1585" t="s">
        <v>1042</v>
      </c>
      <c r="C144" s="1586"/>
      <c r="D144" s="1586"/>
      <c r="E144" s="1587"/>
    </row>
    <row r="145" spans="1:5" ht="20.25" customHeight="1" thickBot="1" x14ac:dyDescent="0.3">
      <c r="A145" s="5" t="s">
        <v>17</v>
      </c>
      <c r="B145" s="1585" t="s">
        <v>1042</v>
      </c>
      <c r="C145" s="1586"/>
      <c r="D145" s="1586"/>
      <c r="E145" s="1587"/>
    </row>
    <row r="146" spans="1:5" ht="22.5" customHeight="1" thickBot="1" x14ac:dyDescent="0.3">
      <c r="A146" s="5" t="s">
        <v>18</v>
      </c>
      <c r="B146" s="1248" t="s">
        <v>200</v>
      </c>
      <c r="C146" s="1249"/>
      <c r="D146" s="1249"/>
      <c r="E146" s="1316"/>
    </row>
    <row r="147" spans="1:5" ht="21.75" customHeight="1" x14ac:dyDescent="0.25">
      <c r="A147" s="1250"/>
      <c r="B147" s="8">
        <v>2018</v>
      </c>
      <c r="C147" s="8">
        <v>2019</v>
      </c>
      <c r="D147" s="8">
        <v>2020</v>
      </c>
      <c r="E147" s="8">
        <v>2021</v>
      </c>
    </row>
    <row r="148" spans="1:5" ht="19.5" customHeight="1" thickBot="1" x14ac:dyDescent="0.3">
      <c r="A148" s="1251"/>
      <c r="B148" s="9" t="s">
        <v>10</v>
      </c>
      <c r="C148" s="9" t="s">
        <v>11</v>
      </c>
      <c r="D148" s="9" t="s">
        <v>11</v>
      </c>
      <c r="E148" s="9" t="s">
        <v>11</v>
      </c>
    </row>
    <row r="149" spans="1:5" ht="23.25" customHeight="1" thickBot="1" x14ac:dyDescent="0.3">
      <c r="A149" s="5" t="s">
        <v>19</v>
      </c>
      <c r="B149" s="10">
        <v>130</v>
      </c>
      <c r="C149" s="10">
        <v>250</v>
      </c>
      <c r="D149" s="10">
        <v>250</v>
      </c>
      <c r="E149" s="10">
        <v>250</v>
      </c>
    </row>
    <row r="150" spans="1:5" ht="17.25" customHeight="1" thickBot="1" x14ac:dyDescent="0.3">
      <c r="A150" s="5" t="s">
        <v>20</v>
      </c>
      <c r="B150" s="10">
        <v>45750000</v>
      </c>
      <c r="C150" s="10">
        <v>120567000</v>
      </c>
      <c r="D150" s="10">
        <v>120567000</v>
      </c>
      <c r="E150" s="10">
        <v>120567000</v>
      </c>
    </row>
    <row r="151" spans="1:5" ht="17.25" customHeight="1" thickBot="1" x14ac:dyDescent="0.3">
      <c r="A151" s="5" t="s">
        <v>21</v>
      </c>
      <c r="B151" s="10">
        <f>B150/B149</f>
        <v>351923.07692307694</v>
      </c>
      <c r="C151" s="10">
        <f>C150/C149</f>
        <v>482268</v>
      </c>
      <c r="D151" s="10">
        <f>D150/D149</f>
        <v>482268</v>
      </c>
      <c r="E151" s="10">
        <f>E150/E149</f>
        <v>482268</v>
      </c>
    </row>
    <row r="152" spans="1:5" ht="17.25" customHeight="1" thickBot="1" x14ac:dyDescent="0.3">
      <c r="A152" s="5" t="s">
        <v>22</v>
      </c>
      <c r="B152" s="225"/>
      <c r="C152" s="11">
        <f t="shared" ref="C152:E154" si="2">C149/B149-1</f>
        <v>0.92307692307692313</v>
      </c>
      <c r="D152" s="11">
        <f t="shared" si="2"/>
        <v>0</v>
      </c>
      <c r="E152" s="11">
        <f t="shared" si="2"/>
        <v>0</v>
      </c>
    </row>
    <row r="153" spans="1:5" ht="17.25" customHeight="1" thickBot="1" x14ac:dyDescent="0.3">
      <c r="A153" s="5" t="s">
        <v>24</v>
      </c>
      <c r="B153" s="225"/>
      <c r="C153" s="11">
        <f t="shared" si="2"/>
        <v>1.635344262295082</v>
      </c>
      <c r="D153" s="11">
        <f t="shared" si="2"/>
        <v>0</v>
      </c>
      <c r="E153" s="11">
        <f t="shared" si="2"/>
        <v>0</v>
      </c>
    </row>
    <row r="154" spans="1:5" ht="17.25" customHeight="1" thickBot="1" x14ac:dyDescent="0.3">
      <c r="A154" s="5" t="s">
        <v>25</v>
      </c>
      <c r="B154" s="225"/>
      <c r="C154" s="11">
        <f t="shared" si="2"/>
        <v>0.37037901639344262</v>
      </c>
      <c r="D154" s="11">
        <f t="shared" si="2"/>
        <v>0</v>
      </c>
      <c r="E154" s="11">
        <f t="shared" si="2"/>
        <v>0</v>
      </c>
    </row>
    <row r="155" spans="1:5" ht="17.25" customHeight="1" thickBot="1" x14ac:dyDescent="0.3">
      <c r="A155" s="1252" t="s">
        <v>636</v>
      </c>
      <c r="B155" s="1253"/>
      <c r="C155" s="1253"/>
      <c r="D155" s="1253"/>
      <c r="E155" s="1300"/>
    </row>
    <row r="156" spans="1:5" ht="17.25" customHeight="1" x14ac:dyDescent="0.25">
      <c r="A156" s="1250"/>
      <c r="B156" s="8">
        <v>2018</v>
      </c>
      <c r="C156" s="8">
        <v>2019</v>
      </c>
      <c r="D156" s="8">
        <v>2020</v>
      </c>
      <c r="E156" s="8">
        <v>2021</v>
      </c>
    </row>
    <row r="157" spans="1:5" ht="17.25" customHeight="1" thickBot="1" x14ac:dyDescent="0.3">
      <c r="A157" s="1251"/>
      <c r="B157" s="9" t="s">
        <v>10</v>
      </c>
      <c r="C157" s="9" t="s">
        <v>11</v>
      </c>
      <c r="D157" s="9" t="s">
        <v>11</v>
      </c>
      <c r="E157" s="9" t="s">
        <v>11</v>
      </c>
    </row>
    <row r="158" spans="1:5" ht="17.25" customHeight="1" thickBot="1" x14ac:dyDescent="0.3">
      <c r="A158" s="13" t="s">
        <v>26</v>
      </c>
      <c r="B158" s="14">
        <v>12864000</v>
      </c>
      <c r="C158" s="14">
        <v>15990000</v>
      </c>
      <c r="D158" s="14">
        <f>15990000+0</f>
        <v>15990000</v>
      </c>
      <c r="E158" s="14">
        <f>15990000+0</f>
        <v>15990000</v>
      </c>
    </row>
    <row r="159" spans="1:5" ht="17.25" customHeight="1" thickBot="1" x14ac:dyDescent="0.3">
      <c r="A159" s="28" t="s">
        <v>27</v>
      </c>
      <c r="B159" s="15"/>
      <c r="C159" s="29"/>
      <c r="D159" s="29"/>
      <c r="E159" s="29"/>
    </row>
    <row r="160" spans="1:5" ht="17.25" customHeight="1" thickBot="1" x14ac:dyDescent="0.3">
      <c r="A160" s="28" t="s">
        <v>45</v>
      </c>
      <c r="B160" s="15"/>
      <c r="C160" s="29"/>
      <c r="D160" s="29"/>
      <c r="E160" s="29"/>
    </row>
    <row r="161" spans="1:5" ht="17.25" customHeight="1" thickBot="1" x14ac:dyDescent="0.3">
      <c r="A161" s="13" t="s">
        <v>28</v>
      </c>
      <c r="B161" s="14">
        <v>1936000</v>
      </c>
      <c r="C161" s="14">
        <v>1800000</v>
      </c>
      <c r="D161" s="14">
        <f>1800000+0</f>
        <v>1800000</v>
      </c>
      <c r="E161" s="14">
        <f>1800000+0</f>
        <v>1800000</v>
      </c>
    </row>
    <row r="162" spans="1:5" ht="17.25" customHeight="1" thickBot="1" x14ac:dyDescent="0.3">
      <c r="A162" s="28" t="s">
        <v>29</v>
      </c>
      <c r="B162" s="15"/>
      <c r="C162" s="14"/>
      <c r="D162" s="14"/>
      <c r="E162" s="14"/>
    </row>
    <row r="163" spans="1:5" ht="17.25" customHeight="1" thickBot="1" x14ac:dyDescent="0.3">
      <c r="A163" s="28" t="s">
        <v>46</v>
      </c>
      <c r="B163" s="15"/>
      <c r="C163" s="14"/>
      <c r="D163" s="14"/>
      <c r="E163" s="14"/>
    </row>
    <row r="164" spans="1:5" ht="17.25" customHeight="1" thickBot="1" x14ac:dyDescent="0.3">
      <c r="A164" s="13" t="s">
        <v>30</v>
      </c>
      <c r="B164" s="15">
        <f>15841000+10765000+3200000+1144000</f>
        <v>30950000</v>
      </c>
      <c r="C164" s="14">
        <f>57845000+4579000+528000+1200000+3080000+34375000+1170000</f>
        <v>102777000</v>
      </c>
      <c r="D164" s="14">
        <f>57845000+5462808+528000+4280000+10000000+26303592+3200000-4842400</f>
        <v>102777000</v>
      </c>
      <c r="E164" s="14">
        <f>57845000+5462808+528000+4280000+10000000+26303592+3200000+3300000-8142400</f>
        <v>102777000</v>
      </c>
    </row>
    <row r="165" spans="1:5" ht="17.25" customHeight="1" thickBot="1" x14ac:dyDescent="0.3">
      <c r="A165" s="28" t="s">
        <v>31</v>
      </c>
      <c r="B165" s="15"/>
      <c r="C165" s="14"/>
      <c r="D165" s="14"/>
      <c r="E165" s="14"/>
    </row>
    <row r="166" spans="1:5" ht="17.25" customHeight="1" thickBot="1" x14ac:dyDescent="0.3">
      <c r="A166" s="28" t="s">
        <v>47</v>
      </c>
      <c r="B166" s="15"/>
      <c r="C166" s="14"/>
      <c r="D166" s="14"/>
      <c r="E166" s="14"/>
    </row>
    <row r="167" spans="1:5" ht="17.25" customHeight="1" thickBot="1" x14ac:dyDescent="0.3">
      <c r="A167" s="13" t="s">
        <v>32</v>
      </c>
      <c r="B167" s="15"/>
      <c r="C167" s="14"/>
      <c r="D167" s="14"/>
      <c r="E167" s="14"/>
    </row>
    <row r="168" spans="1:5" ht="17.25" customHeight="1" thickBot="1" x14ac:dyDescent="0.3">
      <c r="A168" s="28" t="s">
        <v>33</v>
      </c>
      <c r="B168" s="15"/>
      <c r="C168" s="14"/>
      <c r="D168" s="14"/>
      <c r="E168" s="14"/>
    </row>
    <row r="169" spans="1:5" ht="17.25" customHeight="1" thickBot="1" x14ac:dyDescent="0.3">
      <c r="A169" s="28" t="s">
        <v>48</v>
      </c>
      <c r="B169" s="15"/>
      <c r="C169" s="14"/>
      <c r="D169" s="14"/>
      <c r="E169" s="14"/>
    </row>
    <row r="170" spans="1:5" ht="17.25" customHeight="1" thickBot="1" x14ac:dyDescent="0.3">
      <c r="A170" s="13" t="s">
        <v>34</v>
      </c>
      <c r="B170" s="15"/>
      <c r="C170" s="14"/>
      <c r="D170" s="14"/>
      <c r="E170" s="14"/>
    </row>
    <row r="171" spans="1:5" ht="30.75" customHeight="1" thickBot="1" x14ac:dyDescent="0.3">
      <c r="A171" s="28" t="s">
        <v>35</v>
      </c>
      <c r="B171" s="15"/>
      <c r="C171" s="14"/>
      <c r="D171" s="14"/>
      <c r="E171" s="14"/>
    </row>
    <row r="172" spans="1:5" ht="17.25" customHeight="1" thickBot="1" x14ac:dyDescent="0.3">
      <c r="A172" s="28" t="s">
        <v>49</v>
      </c>
      <c r="B172" s="15"/>
      <c r="C172" s="14"/>
      <c r="D172" s="14"/>
      <c r="E172" s="14"/>
    </row>
    <row r="173" spans="1:5" ht="17.25" customHeight="1" thickBot="1" x14ac:dyDescent="0.3">
      <c r="A173" s="13" t="s">
        <v>36</v>
      </c>
      <c r="B173" s="15"/>
      <c r="C173" s="14"/>
      <c r="D173" s="14"/>
      <c r="E173" s="14"/>
    </row>
    <row r="174" spans="1:5" ht="17.25" customHeight="1" thickBot="1" x14ac:dyDescent="0.3">
      <c r="A174" s="28" t="s">
        <v>37</v>
      </c>
      <c r="B174" s="15"/>
      <c r="C174" s="14"/>
      <c r="D174" s="14"/>
      <c r="E174" s="14"/>
    </row>
    <row r="175" spans="1:5" ht="17.25" customHeight="1" thickBot="1" x14ac:dyDescent="0.3">
      <c r="A175" s="28" t="s">
        <v>50</v>
      </c>
      <c r="B175" s="15"/>
      <c r="C175" s="14"/>
      <c r="D175" s="14"/>
      <c r="E175" s="14"/>
    </row>
    <row r="176" spans="1:5" ht="17.25" customHeight="1" thickBot="1" x14ac:dyDescent="0.3">
      <c r="A176" s="13" t="s">
        <v>38</v>
      </c>
      <c r="B176" s="15"/>
      <c r="C176" s="14"/>
      <c r="D176" s="14"/>
      <c r="E176" s="14"/>
    </row>
    <row r="177" spans="1:5" ht="17.25" customHeight="1" thickBot="1" x14ac:dyDescent="0.3">
      <c r="A177" s="28" t="s">
        <v>39</v>
      </c>
      <c r="B177" s="15"/>
      <c r="C177" s="14"/>
      <c r="D177" s="14"/>
      <c r="E177" s="14"/>
    </row>
    <row r="178" spans="1:5" ht="17.25" customHeight="1" thickBot="1" x14ac:dyDescent="0.3">
      <c r="A178" s="28" t="s">
        <v>51</v>
      </c>
      <c r="B178" s="15"/>
      <c r="C178" s="14"/>
      <c r="D178" s="14"/>
      <c r="E178" s="14"/>
    </row>
    <row r="179" spans="1:5" ht="24" customHeight="1" thickBot="1" x14ac:dyDescent="0.3">
      <c r="A179" s="137" t="s">
        <v>71</v>
      </c>
      <c r="B179" s="140">
        <f>B176+B170+B173+B167+B164+B161+B158</f>
        <v>45750000</v>
      </c>
      <c r="C179" s="140">
        <f>C176+C170+C173+C167+C164+C161+C158</f>
        <v>120567000</v>
      </c>
      <c r="D179" s="140">
        <f>D176+D170+D173+D167+D164+D161+D158</f>
        <v>120567000</v>
      </c>
      <c r="E179" s="140">
        <f>E176+E170+E173+E167+E164+E161+E158</f>
        <v>120567000</v>
      </c>
    </row>
    <row r="180" spans="1:5" ht="17.25" customHeight="1" x14ac:dyDescent="0.25">
      <c r="A180" s="1254" t="s">
        <v>72</v>
      </c>
      <c r="B180" s="1576" t="s">
        <v>1041</v>
      </c>
      <c r="C180" s="1577"/>
      <c r="D180" s="1577"/>
      <c r="E180" s="1578"/>
    </row>
    <row r="181" spans="1:5" ht="17.25" customHeight="1" x14ac:dyDescent="0.25">
      <c r="A181" s="1255"/>
      <c r="B181" s="1579"/>
      <c r="C181" s="1580"/>
      <c r="D181" s="1580"/>
      <c r="E181" s="1581"/>
    </row>
    <row r="182" spans="1:5" ht="17.25" customHeight="1" thickBot="1" x14ac:dyDescent="0.3">
      <c r="A182" s="1256"/>
      <c r="B182" s="1582"/>
      <c r="C182" s="1583"/>
      <c r="D182" s="1583"/>
      <c r="E182" s="1584"/>
    </row>
    <row r="183" spans="1:5" ht="17.25" customHeight="1" thickBot="1" x14ac:dyDescent="0.3">
      <c r="A183" s="17" t="s">
        <v>41</v>
      </c>
      <c r="B183" s="350">
        <f>IF(B179-B150=0,0,"Error")</f>
        <v>0</v>
      </c>
      <c r="C183" s="350">
        <f>IF(C179-C150=0,0,"Error")</f>
        <v>0</v>
      </c>
      <c r="D183" s="350">
        <f>IF(D179-D150=0,0,"Error")</f>
        <v>0</v>
      </c>
      <c r="E183" s="350">
        <f>IF(E179-E150=0,0,"Error")</f>
        <v>0</v>
      </c>
    </row>
    <row r="184" spans="1:5" ht="17.25" customHeight="1" thickBot="1" x14ac:dyDescent="0.3">
      <c r="A184" s="354"/>
      <c r="B184" s="353">
        <f>+B179</f>
        <v>45750000</v>
      </c>
      <c r="C184" s="353">
        <f>+C179</f>
        <v>120567000</v>
      </c>
      <c r="D184" s="353">
        <f>+D179</f>
        <v>120567000</v>
      </c>
      <c r="E184" s="353">
        <f>+E179</f>
        <v>120567000</v>
      </c>
    </row>
    <row r="185" spans="1:5" ht="17.25" customHeight="1" thickBot="1" x14ac:dyDescent="0.3">
      <c r="A185" s="221"/>
      <c r="B185" s="222"/>
      <c r="C185" s="222"/>
      <c r="D185" s="222"/>
      <c r="E185" s="223"/>
    </row>
    <row r="186" spans="1:5" ht="77.25" customHeight="1" thickBot="1" x14ac:dyDescent="0.3">
      <c r="A186" s="6" t="s">
        <v>75</v>
      </c>
      <c r="B186" s="1616" t="s">
        <v>203</v>
      </c>
      <c r="C186" s="1617"/>
      <c r="D186" s="1617"/>
      <c r="E186" s="1618"/>
    </row>
    <row r="187" spans="1:5" ht="24" customHeight="1" thickBot="1" x14ac:dyDescent="0.3">
      <c r="A187" s="352" t="s">
        <v>1040</v>
      </c>
      <c r="B187" s="351" t="s">
        <v>1038</v>
      </c>
      <c r="C187" s="351" t="s">
        <v>1038</v>
      </c>
      <c r="D187" s="351" t="s">
        <v>1038</v>
      </c>
      <c r="E187" s="351" t="s">
        <v>1038</v>
      </c>
    </row>
    <row r="188" spans="1:5" ht="24" customHeight="1" thickBot="1" x14ac:dyDescent="0.3">
      <c r="A188" s="352" t="s">
        <v>1039</v>
      </c>
      <c r="B188" s="351" t="s">
        <v>1038</v>
      </c>
      <c r="C188" s="351" t="s">
        <v>1038</v>
      </c>
      <c r="D188" s="351" t="s">
        <v>1038</v>
      </c>
      <c r="E188" s="351" t="s">
        <v>1038</v>
      </c>
    </row>
    <row r="189" spans="1:5" ht="24" customHeight="1" thickBot="1" x14ac:dyDescent="0.3">
      <c r="A189" s="352" t="s">
        <v>1037</v>
      </c>
      <c r="B189" s="351" t="s">
        <v>1036</v>
      </c>
      <c r="C189" s="351" t="s">
        <v>1036</v>
      </c>
      <c r="D189" s="351" t="s">
        <v>1036</v>
      </c>
      <c r="E189" s="351" t="s">
        <v>1036</v>
      </c>
    </row>
    <row r="190" spans="1:5" ht="18.75" customHeight="1" thickBot="1" x14ac:dyDescent="0.3">
      <c r="A190" s="1588" t="s">
        <v>77</v>
      </c>
      <c r="B190" s="1589"/>
      <c r="C190" s="1589"/>
      <c r="D190" s="1589"/>
      <c r="E190" s="1590"/>
    </row>
    <row r="191" spans="1:5" ht="22.5" customHeight="1" thickBot="1" x14ac:dyDescent="0.3">
      <c r="A191" s="1280" t="s">
        <v>70</v>
      </c>
      <c r="B191" s="1281"/>
      <c r="C191" s="1281"/>
      <c r="D191" s="1281"/>
      <c r="E191" s="1354"/>
    </row>
    <row r="192" spans="1:5" ht="17.25" customHeight="1" x14ac:dyDescent="0.25">
      <c r="A192" s="1250"/>
      <c r="B192" s="8">
        <v>2018</v>
      </c>
      <c r="C192" s="8">
        <v>2019</v>
      </c>
      <c r="D192" s="8">
        <v>2020</v>
      </c>
      <c r="E192" s="8">
        <v>2021</v>
      </c>
    </row>
    <row r="193" spans="1:5" ht="17.25" customHeight="1" thickBot="1" x14ac:dyDescent="0.3">
      <c r="A193" s="1251"/>
      <c r="B193" s="9" t="s">
        <v>10</v>
      </c>
      <c r="C193" s="9" t="s">
        <v>11</v>
      </c>
      <c r="D193" s="9" t="s">
        <v>11</v>
      </c>
      <c r="E193" s="9" t="s">
        <v>11</v>
      </c>
    </row>
    <row r="194" spans="1:5" ht="17.25" customHeight="1" thickBot="1" x14ac:dyDescent="0.3">
      <c r="A194" s="7" t="s">
        <v>16</v>
      </c>
      <c r="B194" s="1585" t="s">
        <v>206</v>
      </c>
      <c r="C194" s="1586"/>
      <c r="D194" s="1586"/>
      <c r="E194" s="1587"/>
    </row>
    <row r="195" spans="1:5" ht="17.25" customHeight="1" thickBot="1" x14ac:dyDescent="0.3">
      <c r="A195" s="5" t="s">
        <v>17</v>
      </c>
      <c r="B195" s="1585" t="s">
        <v>206</v>
      </c>
      <c r="C195" s="1586"/>
      <c r="D195" s="1586"/>
      <c r="E195" s="1587"/>
    </row>
    <row r="196" spans="1:5" ht="17.25" customHeight="1" thickBot="1" x14ac:dyDescent="0.3">
      <c r="A196" s="5" t="s">
        <v>18</v>
      </c>
      <c r="B196" s="1248" t="s">
        <v>207</v>
      </c>
      <c r="C196" s="1249"/>
      <c r="D196" s="1249"/>
      <c r="E196" s="1316"/>
    </row>
    <row r="197" spans="1:5" ht="17.25" customHeight="1" x14ac:dyDescent="0.25">
      <c r="A197" s="1250"/>
      <c r="B197" s="8">
        <v>2018</v>
      </c>
      <c r="C197" s="8">
        <v>2019</v>
      </c>
      <c r="D197" s="8">
        <v>2020</v>
      </c>
      <c r="E197" s="8">
        <v>2021</v>
      </c>
    </row>
    <row r="198" spans="1:5" ht="17.25" customHeight="1" thickBot="1" x14ac:dyDescent="0.3">
      <c r="A198" s="1251"/>
      <c r="B198" s="9" t="s">
        <v>10</v>
      </c>
      <c r="C198" s="9" t="s">
        <v>11</v>
      </c>
      <c r="D198" s="9" t="s">
        <v>11</v>
      </c>
      <c r="E198" s="9" t="s">
        <v>11</v>
      </c>
    </row>
    <row r="199" spans="1:5" ht="17.25" customHeight="1" thickBot="1" x14ac:dyDescent="0.3">
      <c r="A199" s="5" t="s">
        <v>19</v>
      </c>
      <c r="B199" s="10">
        <v>2</v>
      </c>
      <c r="C199" s="60">
        <v>3</v>
      </c>
      <c r="D199" s="60">
        <v>3</v>
      </c>
      <c r="E199" s="60">
        <v>3</v>
      </c>
    </row>
    <row r="200" spans="1:5" ht="17.25" customHeight="1" thickBot="1" x14ac:dyDescent="0.3">
      <c r="A200" s="5" t="s">
        <v>20</v>
      </c>
      <c r="B200" s="10">
        <v>4700000</v>
      </c>
      <c r="C200" s="10">
        <v>7496109</v>
      </c>
      <c r="D200" s="10">
        <v>7717302</v>
      </c>
      <c r="E200" s="10">
        <v>7743302</v>
      </c>
    </row>
    <row r="201" spans="1:5" ht="17.25" customHeight="1" thickBot="1" x14ac:dyDescent="0.3">
      <c r="A201" s="5" t="s">
        <v>21</v>
      </c>
      <c r="B201" s="10">
        <f>B200/B199</f>
        <v>2350000</v>
      </c>
      <c r="C201" s="10">
        <f>C200/C199</f>
        <v>2498703</v>
      </c>
      <c r="D201" s="10">
        <f>D200/D199</f>
        <v>2572434</v>
      </c>
      <c r="E201" s="10">
        <f>E200/E199</f>
        <v>2581100.6666666665</v>
      </c>
    </row>
    <row r="202" spans="1:5" ht="17.25" customHeight="1" thickBot="1" x14ac:dyDescent="0.3">
      <c r="A202" s="5" t="s">
        <v>22</v>
      </c>
      <c r="B202" s="225"/>
      <c r="C202" s="11">
        <f t="shared" ref="C202:E204" si="3">C199/B199-1</f>
        <v>0.5</v>
      </c>
      <c r="D202" s="11">
        <f t="shared" si="3"/>
        <v>0</v>
      </c>
      <c r="E202" s="11">
        <f t="shared" si="3"/>
        <v>0</v>
      </c>
    </row>
    <row r="203" spans="1:5" ht="17.25" customHeight="1" thickBot="1" x14ac:dyDescent="0.3">
      <c r="A203" s="5" t="s">
        <v>24</v>
      </c>
      <c r="B203" s="225"/>
      <c r="C203" s="11">
        <f t="shared" si="3"/>
        <v>0.59491680851063822</v>
      </c>
      <c r="D203" s="11">
        <f t="shared" si="3"/>
        <v>2.950770859922125E-2</v>
      </c>
      <c r="E203" s="11">
        <f t="shared" si="3"/>
        <v>3.369053070619854E-3</v>
      </c>
    </row>
    <row r="204" spans="1:5" ht="17.25" customHeight="1" thickBot="1" x14ac:dyDescent="0.3">
      <c r="A204" s="5" t="s">
        <v>25</v>
      </c>
      <c r="B204" s="225"/>
      <c r="C204" s="11">
        <f t="shared" si="3"/>
        <v>6.3277872340425478E-2</v>
      </c>
      <c r="D204" s="11">
        <f t="shared" si="3"/>
        <v>2.950770859922125E-2</v>
      </c>
      <c r="E204" s="11">
        <f t="shared" si="3"/>
        <v>3.369053070619632E-3</v>
      </c>
    </row>
    <row r="205" spans="1:5" ht="17.25" customHeight="1" x14ac:dyDescent="0.25">
      <c r="A205" s="1250"/>
      <c r="B205" s="8">
        <v>2018</v>
      </c>
      <c r="C205" s="8">
        <v>2019</v>
      </c>
      <c r="D205" s="8">
        <v>2020</v>
      </c>
      <c r="E205" s="8">
        <v>2021</v>
      </c>
    </row>
    <row r="206" spans="1:5" ht="17.25" customHeight="1" thickBot="1" x14ac:dyDescent="0.3">
      <c r="A206" s="1251"/>
      <c r="B206" s="9" t="s">
        <v>10</v>
      </c>
      <c r="C206" s="9" t="s">
        <v>11</v>
      </c>
      <c r="D206" s="9" t="s">
        <v>11</v>
      </c>
      <c r="E206" s="9" t="s">
        <v>11</v>
      </c>
    </row>
    <row r="207" spans="1:5" ht="17.25" customHeight="1" thickBot="1" x14ac:dyDescent="0.3">
      <c r="A207" s="1252" t="s">
        <v>636</v>
      </c>
      <c r="B207" s="1253"/>
      <c r="C207" s="1253"/>
      <c r="D207" s="1253"/>
      <c r="E207" s="1300"/>
    </row>
    <row r="208" spans="1:5" ht="17.25" customHeight="1" x14ac:dyDescent="0.25">
      <c r="A208" s="1250"/>
      <c r="B208" s="8">
        <v>2018</v>
      </c>
      <c r="C208" s="8">
        <v>2019</v>
      </c>
      <c r="D208" s="8">
        <v>2020</v>
      </c>
      <c r="E208" s="8">
        <v>2021</v>
      </c>
    </row>
    <row r="209" spans="1:8" ht="17.25" customHeight="1" thickBot="1" x14ac:dyDescent="0.3">
      <c r="A209" s="1251"/>
      <c r="B209" s="9" t="s">
        <v>10</v>
      </c>
      <c r="C209" s="9" t="s">
        <v>11</v>
      </c>
      <c r="D209" s="9" t="s">
        <v>11</v>
      </c>
      <c r="E209" s="9" t="s">
        <v>11</v>
      </c>
    </row>
    <row r="210" spans="1:8" ht="17.25" customHeight="1" thickBot="1" x14ac:dyDescent="0.3">
      <c r="A210" s="13" t="s">
        <v>26</v>
      </c>
      <c r="B210" s="14">
        <v>3213500</v>
      </c>
      <c r="C210" s="14">
        <v>5330000</v>
      </c>
      <c r="D210" s="14">
        <v>5330000</v>
      </c>
      <c r="E210" s="14">
        <v>5330000</v>
      </c>
    </row>
    <row r="211" spans="1:8" ht="15" customHeight="1" thickBot="1" x14ac:dyDescent="0.3">
      <c r="A211" s="28" t="s">
        <v>27</v>
      </c>
      <c r="B211" s="15"/>
      <c r="C211" s="29"/>
      <c r="D211" s="29"/>
      <c r="E211" s="29"/>
    </row>
    <row r="212" spans="1:8" ht="17.25" customHeight="1" thickBot="1" x14ac:dyDescent="0.3">
      <c r="A212" s="28" t="s">
        <v>45</v>
      </c>
      <c r="B212" s="15"/>
      <c r="C212" s="29"/>
      <c r="D212" s="29"/>
      <c r="E212" s="29"/>
    </row>
    <row r="213" spans="1:8" ht="17.25" customHeight="1" thickBot="1" x14ac:dyDescent="0.3">
      <c r="A213" s="13" t="s">
        <v>28</v>
      </c>
      <c r="B213" s="14">
        <v>486500</v>
      </c>
      <c r="C213" s="14">
        <v>600000</v>
      </c>
      <c r="D213" s="14">
        <v>600000</v>
      </c>
      <c r="E213" s="14">
        <v>600000</v>
      </c>
    </row>
    <row r="214" spans="1:8" ht="17.25" customHeight="1" thickBot="1" x14ac:dyDescent="0.3">
      <c r="A214" s="28" t="s">
        <v>29</v>
      </c>
      <c r="B214" s="15"/>
      <c r="C214" s="14"/>
      <c r="D214" s="14"/>
      <c r="E214" s="14"/>
    </row>
    <row r="215" spans="1:8" ht="23.25" customHeight="1" thickBot="1" x14ac:dyDescent="0.3">
      <c r="A215" s="28" t="s">
        <v>46</v>
      </c>
      <c r="B215" s="15"/>
      <c r="C215" s="14"/>
      <c r="D215" s="14"/>
      <c r="E215" s="14"/>
    </row>
    <row r="216" spans="1:8" ht="25.5" customHeight="1" thickBot="1" x14ac:dyDescent="0.3">
      <c r="A216" s="13" t="s">
        <v>30</v>
      </c>
      <c r="B216" s="15">
        <v>1000000</v>
      </c>
      <c r="C216" s="14">
        <f>421600+1144509</f>
        <v>1566109</v>
      </c>
      <c r="D216" s="14">
        <f>421600+1365702</f>
        <v>1787302</v>
      </c>
      <c r="E216" s="14">
        <f>421600+1391702</f>
        <v>1813302</v>
      </c>
    </row>
    <row r="217" spans="1:8" ht="17.25" customHeight="1" thickBot="1" x14ac:dyDescent="0.3">
      <c r="A217" s="28" t="s">
        <v>31</v>
      </c>
      <c r="B217" s="15"/>
      <c r="C217" s="14"/>
      <c r="D217" s="14"/>
      <c r="E217" s="14"/>
    </row>
    <row r="218" spans="1:8" ht="17.25" customHeight="1" thickBot="1" x14ac:dyDescent="0.3">
      <c r="A218" s="28" t="s">
        <v>47</v>
      </c>
      <c r="B218" s="15"/>
      <c r="C218" s="14"/>
      <c r="D218" s="14"/>
      <c r="E218" s="14"/>
    </row>
    <row r="219" spans="1:8" ht="21" customHeight="1" thickBot="1" x14ac:dyDescent="0.3">
      <c r="A219" s="13" t="s">
        <v>32</v>
      </c>
      <c r="B219" s="15"/>
      <c r="C219" s="14"/>
      <c r="D219" s="14"/>
      <c r="E219" s="14"/>
    </row>
    <row r="220" spans="1:8" ht="17.25" customHeight="1" thickBot="1" x14ac:dyDescent="0.3">
      <c r="A220" s="28" t="s">
        <v>33</v>
      </c>
      <c r="B220" s="15"/>
      <c r="C220" s="14"/>
      <c r="D220" s="14"/>
      <c r="E220" s="14"/>
    </row>
    <row r="221" spans="1:8" ht="21.75" customHeight="1" thickBot="1" x14ac:dyDescent="0.3">
      <c r="A221" s="28" t="s">
        <v>48</v>
      </c>
      <c r="B221" s="15"/>
      <c r="C221" s="14"/>
      <c r="D221" s="14"/>
      <c r="E221" s="14"/>
    </row>
    <row r="222" spans="1:8" ht="33" customHeight="1" thickBot="1" x14ac:dyDescent="0.3">
      <c r="A222" s="13" t="s">
        <v>34</v>
      </c>
      <c r="B222" s="15"/>
      <c r="C222" s="14"/>
      <c r="D222" s="14"/>
      <c r="E222" s="14"/>
      <c r="F222" s="12"/>
      <c r="G222" s="12"/>
      <c r="H222" s="12"/>
    </row>
    <row r="223" spans="1:8" ht="17.25" customHeight="1" thickBot="1" x14ac:dyDescent="0.3">
      <c r="A223" s="28" t="s">
        <v>35</v>
      </c>
      <c r="B223" s="15"/>
      <c r="C223" s="14"/>
      <c r="D223" s="14"/>
      <c r="E223" s="14"/>
    </row>
    <row r="224" spans="1:8" ht="17.25" customHeight="1" thickBot="1" x14ac:dyDescent="0.3">
      <c r="A224" s="28" t="s">
        <v>49</v>
      </c>
      <c r="B224" s="15"/>
      <c r="C224" s="14"/>
      <c r="D224" s="14"/>
      <c r="E224" s="14"/>
    </row>
    <row r="225" spans="1:5" ht="17.25" customHeight="1" thickBot="1" x14ac:dyDescent="0.3">
      <c r="A225" s="13" t="s">
        <v>36</v>
      </c>
      <c r="B225" s="15"/>
      <c r="C225" s="14"/>
      <c r="D225" s="14"/>
      <c r="E225" s="14"/>
    </row>
    <row r="226" spans="1:5" ht="17.25" customHeight="1" thickBot="1" x14ac:dyDescent="0.3">
      <c r="A226" s="28" t="s">
        <v>37</v>
      </c>
      <c r="B226" s="15"/>
      <c r="C226" s="14"/>
      <c r="D226" s="14"/>
      <c r="E226" s="14"/>
    </row>
    <row r="227" spans="1:5" ht="17.25" customHeight="1" thickBot="1" x14ac:dyDescent="0.3">
      <c r="A227" s="28" t="s">
        <v>50</v>
      </c>
      <c r="B227" s="15"/>
      <c r="C227" s="14"/>
      <c r="D227" s="14"/>
      <c r="E227" s="14"/>
    </row>
    <row r="228" spans="1:5" ht="22.5" customHeight="1" thickBot="1" x14ac:dyDescent="0.3">
      <c r="A228" s="13" t="s">
        <v>38</v>
      </c>
      <c r="B228" s="15"/>
      <c r="C228" s="14"/>
      <c r="D228" s="14"/>
      <c r="E228" s="14"/>
    </row>
    <row r="229" spans="1:5" ht="30.75" customHeight="1" thickBot="1" x14ac:dyDescent="0.3">
      <c r="A229" s="28" t="s">
        <v>39</v>
      </c>
      <c r="B229" s="15"/>
      <c r="C229" s="14"/>
      <c r="D229" s="14"/>
      <c r="E229" s="14"/>
    </row>
    <row r="230" spans="1:5" ht="17.25" customHeight="1" thickBot="1" x14ac:dyDescent="0.3">
      <c r="A230" s="28" t="s">
        <v>51</v>
      </c>
      <c r="B230" s="15"/>
      <c r="C230" s="14"/>
      <c r="D230" s="14"/>
      <c r="E230" s="14"/>
    </row>
    <row r="231" spans="1:5" ht="17.25" customHeight="1" thickBot="1" x14ac:dyDescent="0.3">
      <c r="A231" s="137" t="s">
        <v>71</v>
      </c>
      <c r="B231" s="140">
        <f>B228+B222+B225+B219+B216+B213+B210</f>
        <v>4700000</v>
      </c>
      <c r="C231" s="140">
        <f>C228+C222+C225+C219+C216+C213+C210</f>
        <v>7496109</v>
      </c>
      <c r="D231" s="140">
        <f>D228+D222+D225+D219+D216+D213+D210</f>
        <v>7717302</v>
      </c>
      <c r="E231" s="140">
        <f>E228+E222+E225+E219+E216+E213+E210</f>
        <v>7743302</v>
      </c>
    </row>
    <row r="232" spans="1:5" ht="17.25" customHeight="1" x14ac:dyDescent="0.25">
      <c r="A232" s="1254" t="s">
        <v>72</v>
      </c>
      <c r="B232" s="1289"/>
      <c r="C232" s="1289"/>
      <c r="D232" s="1289"/>
      <c r="E232" s="1290"/>
    </row>
    <row r="233" spans="1:5" ht="17.25" customHeight="1" x14ac:dyDescent="0.25">
      <c r="A233" s="1255"/>
      <c r="B233" s="1292"/>
      <c r="C233" s="1292"/>
      <c r="D233" s="1292"/>
      <c r="E233" s="1293"/>
    </row>
    <row r="234" spans="1:5" ht="17.25" customHeight="1" thickBot="1" x14ac:dyDescent="0.3">
      <c r="A234" s="1256"/>
      <c r="B234" s="1295"/>
      <c r="C234" s="1295"/>
      <c r="D234" s="1295"/>
      <c r="E234" s="1296"/>
    </row>
    <row r="235" spans="1:5" ht="17.25" customHeight="1" thickBot="1" x14ac:dyDescent="0.3">
      <c r="A235" s="17" t="s">
        <v>41</v>
      </c>
      <c r="B235" s="350"/>
      <c r="C235" s="350"/>
      <c r="D235" s="350"/>
      <c r="E235" s="350"/>
    </row>
    <row r="236" spans="1:5" ht="17.25" customHeight="1" thickBot="1" x14ac:dyDescent="0.3">
      <c r="A236" s="7" t="s">
        <v>42</v>
      </c>
      <c r="B236" s="1585" t="s">
        <v>1035</v>
      </c>
      <c r="C236" s="1586"/>
      <c r="D236" s="1586"/>
      <c r="E236" s="1587"/>
    </row>
    <row r="237" spans="1:5" ht="17.25" customHeight="1" thickBot="1" x14ac:dyDescent="0.3">
      <c r="A237" s="5" t="s">
        <v>17</v>
      </c>
      <c r="B237" s="1585" t="s">
        <v>1034</v>
      </c>
      <c r="C237" s="1586"/>
      <c r="D237" s="1586"/>
      <c r="E237" s="1587"/>
    </row>
    <row r="238" spans="1:5" ht="17.25" customHeight="1" thickBot="1" x14ac:dyDescent="0.3">
      <c r="A238" s="5" t="s">
        <v>18</v>
      </c>
      <c r="B238" s="1248" t="s">
        <v>207</v>
      </c>
      <c r="C238" s="1249"/>
      <c r="D238" s="1249"/>
      <c r="E238" s="1316"/>
    </row>
    <row r="239" spans="1:5" ht="17.25" customHeight="1" x14ac:dyDescent="0.25">
      <c r="A239" s="1250"/>
      <c r="B239" s="8">
        <v>2018</v>
      </c>
      <c r="C239" s="8">
        <v>2019</v>
      </c>
      <c r="D239" s="8">
        <v>2020</v>
      </c>
      <c r="E239" s="8">
        <v>2021</v>
      </c>
    </row>
    <row r="240" spans="1:5" ht="17.25" customHeight="1" thickBot="1" x14ac:dyDescent="0.3">
      <c r="A240" s="1251"/>
      <c r="B240" s="9" t="s">
        <v>10</v>
      </c>
      <c r="C240" s="9" t="s">
        <v>11</v>
      </c>
      <c r="D240" s="9" t="s">
        <v>11</v>
      </c>
      <c r="E240" s="9" t="s">
        <v>11</v>
      </c>
    </row>
    <row r="241" spans="1:5" ht="17.25" customHeight="1" thickBot="1" x14ac:dyDescent="0.3">
      <c r="A241" s="5" t="s">
        <v>19</v>
      </c>
      <c r="B241" s="10">
        <v>2</v>
      </c>
      <c r="C241" s="60">
        <v>3</v>
      </c>
      <c r="D241" s="60">
        <v>3</v>
      </c>
      <c r="E241" s="60">
        <v>3</v>
      </c>
    </row>
    <row r="242" spans="1:5" ht="17.25" customHeight="1" thickBot="1" x14ac:dyDescent="0.3">
      <c r="A242" s="5" t="s">
        <v>20</v>
      </c>
      <c r="B242" s="10">
        <v>4700000</v>
      </c>
      <c r="C242" s="10">
        <v>8274510</v>
      </c>
      <c r="D242" s="10">
        <v>8495702</v>
      </c>
      <c r="E242" s="10">
        <v>8521703</v>
      </c>
    </row>
    <row r="243" spans="1:5" ht="17.25" customHeight="1" thickBot="1" x14ac:dyDescent="0.3">
      <c r="A243" s="5" t="s">
        <v>21</v>
      </c>
      <c r="B243" s="10">
        <f>B242/B241</f>
        <v>2350000</v>
      </c>
      <c r="C243" s="10">
        <f>C242/C241</f>
        <v>2758170</v>
      </c>
      <c r="D243" s="10">
        <f>D242/D241</f>
        <v>2831900.6666666665</v>
      </c>
      <c r="E243" s="10">
        <f>E242/E241</f>
        <v>2840567.6666666665</v>
      </c>
    </row>
    <row r="244" spans="1:5" ht="17.25" customHeight="1" thickBot="1" x14ac:dyDescent="0.3">
      <c r="A244" s="5" t="s">
        <v>22</v>
      </c>
      <c r="B244" s="225"/>
      <c r="C244" s="11">
        <f t="shared" ref="C244:E246" si="4">C241/B241-1</f>
        <v>0.5</v>
      </c>
      <c r="D244" s="11">
        <f t="shared" si="4"/>
        <v>0</v>
      </c>
      <c r="E244" s="11">
        <f t="shared" si="4"/>
        <v>0</v>
      </c>
    </row>
    <row r="245" spans="1:5" ht="17.25" customHeight="1" thickBot="1" x14ac:dyDescent="0.3">
      <c r="A245" s="5" t="s">
        <v>24</v>
      </c>
      <c r="B245" s="225"/>
      <c r="C245" s="11">
        <f t="shared" si="4"/>
        <v>0.76053404255319146</v>
      </c>
      <c r="D245" s="11">
        <f t="shared" si="4"/>
        <v>2.6731733963702986E-2</v>
      </c>
      <c r="E245" s="11">
        <f t="shared" si="4"/>
        <v>3.0604887035821093E-3</v>
      </c>
    </row>
    <row r="246" spans="1:5" ht="17.25" customHeight="1" thickBot="1" x14ac:dyDescent="0.3">
      <c r="A246" s="5" t="s">
        <v>25</v>
      </c>
      <c r="B246" s="225"/>
      <c r="C246" s="11">
        <f t="shared" si="4"/>
        <v>0.17368936170212756</v>
      </c>
      <c r="D246" s="11">
        <f t="shared" si="4"/>
        <v>2.6731733963702986E-2</v>
      </c>
      <c r="E246" s="11">
        <f t="shared" si="4"/>
        <v>3.0604887035821093E-3</v>
      </c>
    </row>
    <row r="247" spans="1:5" ht="17.25" customHeight="1" x14ac:dyDescent="0.25">
      <c r="A247" s="1250"/>
      <c r="B247" s="8">
        <v>2018</v>
      </c>
      <c r="C247" s="8">
        <v>2019</v>
      </c>
      <c r="D247" s="8">
        <v>2020</v>
      </c>
      <c r="E247" s="8">
        <v>2021</v>
      </c>
    </row>
    <row r="248" spans="1:5" ht="17.25" customHeight="1" thickBot="1" x14ac:dyDescent="0.3">
      <c r="A248" s="1251"/>
      <c r="B248" s="9" t="s">
        <v>10</v>
      </c>
      <c r="C248" s="9" t="s">
        <v>11</v>
      </c>
      <c r="D248" s="9" t="s">
        <v>11</v>
      </c>
      <c r="E248" s="9" t="s">
        <v>11</v>
      </c>
    </row>
    <row r="249" spans="1:5" ht="17.25" customHeight="1" thickBot="1" x14ac:dyDescent="0.3">
      <c r="A249" s="1252" t="s">
        <v>874</v>
      </c>
      <c r="B249" s="1253"/>
      <c r="C249" s="1253"/>
      <c r="D249" s="1253"/>
      <c r="E249" s="1300"/>
    </row>
    <row r="250" spans="1:5" ht="17.25" customHeight="1" x14ac:dyDescent="0.25">
      <c r="A250" s="1250"/>
      <c r="B250" s="8">
        <v>2018</v>
      </c>
      <c r="C250" s="8">
        <v>2019</v>
      </c>
      <c r="D250" s="8">
        <v>2020</v>
      </c>
      <c r="E250" s="8">
        <v>2021</v>
      </c>
    </row>
    <row r="251" spans="1:5" ht="17.25" customHeight="1" thickBot="1" x14ac:dyDescent="0.3">
      <c r="A251" s="1251"/>
      <c r="B251" s="9" t="s">
        <v>10</v>
      </c>
      <c r="C251" s="9" t="s">
        <v>11</v>
      </c>
      <c r="D251" s="9" t="s">
        <v>11</v>
      </c>
      <c r="E251" s="9" t="s">
        <v>11</v>
      </c>
    </row>
    <row r="252" spans="1:5" ht="15.75" thickBot="1" x14ac:dyDescent="0.3">
      <c r="A252" s="13" t="s">
        <v>26</v>
      </c>
      <c r="B252" s="14">
        <v>3213500</v>
      </c>
      <c r="C252" s="14">
        <v>5330000</v>
      </c>
      <c r="D252" s="14">
        <v>5330000</v>
      </c>
      <c r="E252" s="14">
        <v>5330000</v>
      </c>
    </row>
    <row r="253" spans="1:5" ht="24.75" thickBot="1" x14ac:dyDescent="0.3">
      <c r="A253" s="28" t="s">
        <v>27</v>
      </c>
      <c r="B253" s="15"/>
      <c r="C253" s="29"/>
      <c r="D253" s="29"/>
      <c r="E253" s="29"/>
    </row>
    <row r="254" spans="1:5" ht="24.75" thickBot="1" x14ac:dyDescent="0.3">
      <c r="A254" s="28" t="s">
        <v>45</v>
      </c>
      <c r="B254" s="15"/>
      <c r="C254" s="29"/>
      <c r="D254" s="29"/>
      <c r="E254" s="29"/>
    </row>
    <row r="255" spans="1:5" ht="24.75" thickBot="1" x14ac:dyDescent="0.3">
      <c r="A255" s="13" t="s">
        <v>28</v>
      </c>
      <c r="B255" s="14">
        <v>486500</v>
      </c>
      <c r="C255" s="14">
        <v>600000</v>
      </c>
      <c r="D255" s="14">
        <v>600000</v>
      </c>
      <c r="E255" s="14">
        <v>600000</v>
      </c>
    </row>
    <row r="256" spans="1:5" ht="17.25" customHeight="1" thickBot="1" x14ac:dyDescent="0.3">
      <c r="A256" s="28" t="s">
        <v>29</v>
      </c>
      <c r="B256" s="15"/>
      <c r="C256" s="14"/>
      <c r="D256" s="14"/>
      <c r="E256" s="14"/>
    </row>
    <row r="257" spans="1:5" ht="36.75" thickBot="1" x14ac:dyDescent="0.3">
      <c r="A257" s="28" t="s">
        <v>46</v>
      </c>
      <c r="B257" s="15"/>
      <c r="C257" s="14"/>
      <c r="D257" s="14"/>
      <c r="E257" s="14"/>
    </row>
    <row r="258" spans="1:5" ht="12.75" customHeight="1" thickBot="1" x14ac:dyDescent="0.3">
      <c r="A258" s="13" t="s">
        <v>30</v>
      </c>
      <c r="B258" s="15">
        <v>1000000</v>
      </c>
      <c r="C258" s="14">
        <f>1200000+1144510</f>
        <v>2344510</v>
      </c>
      <c r="D258" s="14">
        <f>1200000+1365702</f>
        <v>2565702</v>
      </c>
      <c r="E258" s="14">
        <f>1200000+1391703</f>
        <v>2591703</v>
      </c>
    </row>
    <row r="259" spans="1:5" ht="9" customHeight="1" thickBot="1" x14ac:dyDescent="0.3">
      <c r="A259" s="28" t="s">
        <v>31</v>
      </c>
      <c r="B259" s="15"/>
      <c r="C259" s="14"/>
      <c r="D259" s="14"/>
      <c r="E259" s="14"/>
    </row>
    <row r="260" spans="1:5" ht="24.75" thickBot="1" x14ac:dyDescent="0.3">
      <c r="A260" s="28" t="s">
        <v>47</v>
      </c>
      <c r="B260" s="15"/>
      <c r="C260" s="14"/>
      <c r="D260" s="14"/>
      <c r="E260" s="14"/>
    </row>
    <row r="261" spans="1:5" ht="15.75" thickBot="1" x14ac:dyDescent="0.3">
      <c r="A261" s="13" t="s">
        <v>32</v>
      </c>
      <c r="B261" s="15"/>
      <c r="C261" s="14"/>
      <c r="D261" s="14"/>
      <c r="E261" s="14"/>
    </row>
    <row r="262" spans="1:5" ht="24.75" thickBot="1" x14ac:dyDescent="0.3">
      <c r="A262" s="28" t="s">
        <v>33</v>
      </c>
      <c r="B262" s="15"/>
      <c r="C262" s="14"/>
      <c r="D262" s="14"/>
      <c r="E262" s="14"/>
    </row>
    <row r="263" spans="1:5" ht="24.75" thickBot="1" x14ac:dyDescent="0.3">
      <c r="A263" s="28" t="s">
        <v>48</v>
      </c>
      <c r="B263" s="15"/>
      <c r="C263" s="14"/>
      <c r="D263" s="14"/>
      <c r="E263" s="14"/>
    </row>
    <row r="264" spans="1:5" ht="16.5" customHeight="1" thickBot="1" x14ac:dyDescent="0.3">
      <c r="A264" s="13" t="s">
        <v>34</v>
      </c>
      <c r="B264" s="15"/>
      <c r="C264" s="14"/>
      <c r="D264" s="14"/>
      <c r="E264" s="14"/>
    </row>
    <row r="265" spans="1:5" ht="27" customHeight="1" thickBot="1" x14ac:dyDescent="0.3">
      <c r="A265" s="28" t="s">
        <v>35</v>
      </c>
      <c r="B265" s="15"/>
      <c r="C265" s="14"/>
      <c r="D265" s="14"/>
      <c r="E265" s="14"/>
    </row>
    <row r="266" spans="1:5" ht="15.75" customHeight="1" thickBot="1" x14ac:dyDescent="0.3">
      <c r="A266" s="28" t="s">
        <v>49</v>
      </c>
      <c r="B266" s="15"/>
      <c r="C266" s="14"/>
      <c r="D266" s="14"/>
      <c r="E266" s="14"/>
    </row>
    <row r="267" spans="1:5" ht="12.75" customHeight="1" thickBot="1" x14ac:dyDescent="0.3">
      <c r="A267" s="13" t="s">
        <v>36</v>
      </c>
      <c r="B267" s="15"/>
      <c r="C267" s="14"/>
      <c r="D267" s="14"/>
      <c r="E267" s="14"/>
    </row>
    <row r="268" spans="1:5" ht="20.25" customHeight="1" thickBot="1" x14ac:dyDescent="0.3">
      <c r="A268" s="28" t="s">
        <v>37</v>
      </c>
      <c r="B268" s="15"/>
      <c r="C268" s="14"/>
      <c r="D268" s="14"/>
      <c r="E268" s="14"/>
    </row>
    <row r="269" spans="1:5" ht="17.25" customHeight="1" thickBot="1" x14ac:dyDescent="0.3">
      <c r="A269" s="28" t="s">
        <v>50</v>
      </c>
      <c r="B269" s="15"/>
      <c r="C269" s="14"/>
      <c r="D269" s="14"/>
      <c r="E269" s="14"/>
    </row>
    <row r="270" spans="1:5" ht="21.75" customHeight="1" thickBot="1" x14ac:dyDescent="0.3">
      <c r="A270" s="13" t="s">
        <v>38</v>
      </c>
      <c r="B270" s="15"/>
      <c r="C270" s="14"/>
      <c r="D270" s="14"/>
      <c r="E270" s="14"/>
    </row>
    <row r="271" spans="1:5" ht="35.25" customHeight="1" thickBot="1" x14ac:dyDescent="0.3">
      <c r="A271" s="28" t="s">
        <v>39</v>
      </c>
      <c r="B271" s="15"/>
      <c r="C271" s="14"/>
      <c r="D271" s="14"/>
      <c r="E271" s="14"/>
    </row>
    <row r="272" spans="1:5" ht="15.75" customHeight="1" thickBot="1" x14ac:dyDescent="0.3">
      <c r="A272" s="28" t="s">
        <v>51</v>
      </c>
      <c r="B272" s="15"/>
      <c r="C272" s="14"/>
      <c r="D272" s="14"/>
      <c r="E272" s="14"/>
    </row>
    <row r="273" spans="1:9" ht="24.75" thickBot="1" x14ac:dyDescent="0.3">
      <c r="A273" s="137" t="s">
        <v>71</v>
      </c>
      <c r="B273" s="140">
        <f>B270+B264+B267+B261+B258+B255+B252</f>
        <v>4700000</v>
      </c>
      <c r="C273" s="140">
        <f>C270+C264+C267+C261+C258+C255+C252</f>
        <v>8274510</v>
      </c>
      <c r="D273" s="140">
        <f>D270+D264+D267+D261+D258+D255+D252</f>
        <v>8495702</v>
      </c>
      <c r="E273" s="140">
        <f>E270+E264+E267+E261+E258+E255+E252</f>
        <v>8521703</v>
      </c>
    </row>
    <row r="274" spans="1:9" x14ac:dyDescent="0.25">
      <c r="A274" s="1254" t="s">
        <v>115</v>
      </c>
      <c r="B274" s="1289"/>
      <c r="C274" s="1289"/>
      <c r="D274" s="1289"/>
      <c r="E274" s="1290"/>
    </row>
    <row r="275" spans="1:9" x14ac:dyDescent="0.25">
      <c r="A275" s="1255"/>
      <c r="B275" s="1292"/>
      <c r="C275" s="1292"/>
      <c r="D275" s="1292"/>
      <c r="E275" s="1293"/>
    </row>
    <row r="276" spans="1:9" ht="15.75" thickBot="1" x14ac:dyDescent="0.3">
      <c r="A276" s="1256"/>
      <c r="B276" s="1295"/>
      <c r="C276" s="1295"/>
      <c r="D276" s="1295"/>
      <c r="E276" s="1296"/>
    </row>
    <row r="277" spans="1:9" ht="15.75" thickBot="1" x14ac:dyDescent="0.3">
      <c r="A277" s="17" t="s">
        <v>41</v>
      </c>
      <c r="B277" s="350"/>
      <c r="C277" s="350"/>
      <c r="D277" s="350"/>
      <c r="E277" s="350"/>
    </row>
    <row r="278" spans="1:9" ht="15.75" thickBot="1" x14ac:dyDescent="0.3">
      <c r="A278" s="1562" t="s">
        <v>63</v>
      </c>
      <c r="B278" s="1563"/>
      <c r="C278" s="1563"/>
      <c r="D278" s="1563"/>
      <c r="E278" s="1564"/>
    </row>
    <row r="279" spans="1:9" ht="15.75" customHeight="1" thickBot="1" x14ac:dyDescent="0.3">
      <c r="A279" s="1562" t="s">
        <v>56</v>
      </c>
      <c r="B279" s="1563"/>
      <c r="C279" s="1563"/>
      <c r="D279" s="1563"/>
      <c r="E279" s="1564"/>
    </row>
    <row r="280" spans="1:9" ht="15.75" customHeight="1" thickBot="1" x14ac:dyDescent="0.3">
      <c r="A280" s="332" t="s">
        <v>61</v>
      </c>
      <c r="B280" s="1591" t="s">
        <v>208</v>
      </c>
      <c r="C280" s="1592"/>
      <c r="D280" s="1592"/>
      <c r="E280" s="1593"/>
    </row>
    <row r="281" spans="1:9" ht="17.25" customHeight="1" thickBot="1" x14ac:dyDescent="0.3">
      <c r="A281" s="334" t="s">
        <v>194</v>
      </c>
      <c r="B281" s="1619" t="s">
        <v>1033</v>
      </c>
      <c r="C281" s="1620"/>
      <c r="D281" s="1620"/>
      <c r="E281" s="1621"/>
    </row>
    <row r="282" spans="1:9" ht="15.75" customHeight="1" thickBot="1" x14ac:dyDescent="0.3">
      <c r="A282" s="332" t="s">
        <v>17</v>
      </c>
      <c r="B282" s="1619" t="s">
        <v>1033</v>
      </c>
      <c r="C282" s="1620"/>
      <c r="D282" s="1620"/>
      <c r="E282" s="1621"/>
    </row>
    <row r="283" spans="1:9" ht="12.75" customHeight="1" thickBot="1" x14ac:dyDescent="0.3">
      <c r="A283" s="332" t="s">
        <v>18</v>
      </c>
      <c r="B283" s="1594" t="s">
        <v>321</v>
      </c>
      <c r="C283" s="1595"/>
      <c r="D283" s="1595"/>
      <c r="E283" s="1596"/>
    </row>
    <row r="284" spans="1:9" ht="17.25" customHeight="1" x14ac:dyDescent="0.25">
      <c r="A284" s="1597"/>
      <c r="B284" s="329">
        <v>2018</v>
      </c>
      <c r="C284" s="329">
        <v>2019</v>
      </c>
      <c r="D284" s="329">
        <v>2020</v>
      </c>
      <c r="E284" s="329">
        <v>2021</v>
      </c>
    </row>
    <row r="285" spans="1:9" ht="15.75" thickBot="1" x14ac:dyDescent="0.3">
      <c r="A285" s="1598"/>
      <c r="B285" s="328" t="s">
        <v>10</v>
      </c>
      <c r="C285" s="328" t="s">
        <v>11</v>
      </c>
      <c r="D285" s="328" t="s">
        <v>11</v>
      </c>
      <c r="E285" s="328" t="s">
        <v>11</v>
      </c>
    </row>
    <row r="286" spans="1:9" ht="15.75" thickBot="1" x14ac:dyDescent="0.3">
      <c r="A286" s="332" t="s">
        <v>19</v>
      </c>
      <c r="B286" s="333">
        <v>0</v>
      </c>
      <c r="C286" s="333">
        <v>200</v>
      </c>
      <c r="D286" s="333">
        <v>200</v>
      </c>
      <c r="E286" s="333">
        <v>200</v>
      </c>
    </row>
    <row r="287" spans="1:9" ht="15.75" thickBot="1" x14ac:dyDescent="0.3">
      <c r="A287" s="332" t="s">
        <v>20</v>
      </c>
      <c r="B287" s="333">
        <v>0</v>
      </c>
      <c r="C287" s="333">
        <v>600000</v>
      </c>
      <c r="D287" s="333">
        <v>600000</v>
      </c>
      <c r="E287" s="333">
        <v>600000</v>
      </c>
    </row>
    <row r="288" spans="1:9" ht="15.75" customHeight="1" thickBot="1" x14ac:dyDescent="0.3">
      <c r="A288" s="332" t="s">
        <v>21</v>
      </c>
      <c r="B288" s="333"/>
      <c r="C288" s="333">
        <f>C287/C286</f>
        <v>3000</v>
      </c>
      <c r="D288" s="333">
        <f>D287/D286</f>
        <v>3000</v>
      </c>
      <c r="E288" s="333">
        <f>E287/E286</f>
        <v>3000</v>
      </c>
      <c r="I288" s="12"/>
    </row>
    <row r="289" spans="1:8" ht="15.75" customHeight="1" thickBot="1" x14ac:dyDescent="0.3">
      <c r="A289" s="332" t="s">
        <v>22</v>
      </c>
      <c r="B289" s="331" t="s">
        <v>23</v>
      </c>
      <c r="C289" s="330"/>
      <c r="D289" s="330">
        <f t="shared" ref="D289:E291" si="5">D286/C286-1</f>
        <v>0</v>
      </c>
      <c r="E289" s="330">
        <f t="shared" si="5"/>
        <v>0</v>
      </c>
    </row>
    <row r="290" spans="1:8" ht="15.75" thickBot="1" x14ac:dyDescent="0.3">
      <c r="A290" s="332" t="s">
        <v>24</v>
      </c>
      <c r="B290" s="331" t="s">
        <v>23</v>
      </c>
      <c r="C290" s="330"/>
      <c r="D290" s="330">
        <f t="shared" si="5"/>
        <v>0</v>
      </c>
      <c r="E290" s="330">
        <f t="shared" si="5"/>
        <v>0</v>
      </c>
    </row>
    <row r="291" spans="1:8" ht="15.75" customHeight="1" thickBot="1" x14ac:dyDescent="0.3">
      <c r="A291" s="332" t="s">
        <v>25</v>
      </c>
      <c r="B291" s="331" t="s">
        <v>23</v>
      </c>
      <c r="C291" s="330"/>
      <c r="D291" s="330">
        <f t="shared" si="5"/>
        <v>0</v>
      </c>
      <c r="E291" s="330">
        <f t="shared" si="5"/>
        <v>0</v>
      </c>
      <c r="F291" s="12"/>
      <c r="G291" s="12"/>
      <c r="H291" s="12"/>
    </row>
    <row r="292" spans="1:8" ht="12.75" customHeight="1" thickBot="1" x14ac:dyDescent="0.3">
      <c r="A292" s="1599" t="s">
        <v>872</v>
      </c>
      <c r="B292" s="1600"/>
      <c r="C292" s="1600"/>
      <c r="D292" s="1600"/>
      <c r="E292" s="1601"/>
    </row>
    <row r="293" spans="1:8" ht="9" customHeight="1" x14ac:dyDescent="0.25">
      <c r="A293" s="1597"/>
      <c r="B293" s="329">
        <v>2018</v>
      </c>
      <c r="C293" s="329">
        <v>2019</v>
      </c>
      <c r="D293" s="329">
        <v>2020</v>
      </c>
      <c r="E293" s="329">
        <v>2021</v>
      </c>
    </row>
    <row r="294" spans="1:8" ht="15.75" thickBot="1" x14ac:dyDescent="0.3">
      <c r="A294" s="1598"/>
      <c r="B294" s="328" t="s">
        <v>10</v>
      </c>
      <c r="C294" s="328" t="s">
        <v>11</v>
      </c>
      <c r="D294" s="328" t="s">
        <v>11</v>
      </c>
      <c r="E294" s="328" t="s">
        <v>11</v>
      </c>
    </row>
    <row r="295" spans="1:8" ht="15.75" thickBot="1" x14ac:dyDescent="0.3">
      <c r="A295" s="349" t="s">
        <v>58</v>
      </c>
      <c r="B295" s="326">
        <v>0</v>
      </c>
      <c r="C295" s="326">
        <v>0</v>
      </c>
      <c r="D295" s="326">
        <v>0</v>
      </c>
      <c r="E295" s="326">
        <v>0</v>
      </c>
    </row>
    <row r="296" spans="1:8" ht="15.75" thickBot="1" x14ac:dyDescent="0.3">
      <c r="A296" s="349" t="s">
        <v>59</v>
      </c>
      <c r="B296" s="324">
        <v>0</v>
      </c>
      <c r="C296" s="326">
        <v>600000</v>
      </c>
      <c r="D296" s="326"/>
      <c r="E296" s="326"/>
    </row>
    <row r="297" spans="1:8" ht="15" customHeight="1" thickBot="1" x14ac:dyDescent="0.3">
      <c r="A297" s="348" t="s">
        <v>52</v>
      </c>
      <c r="B297" s="324">
        <f>B296+B295</f>
        <v>0</v>
      </c>
      <c r="C297" s="324">
        <f>C296+C295</f>
        <v>600000</v>
      </c>
      <c r="D297" s="324">
        <f>D296+D295</f>
        <v>0</v>
      </c>
      <c r="E297" s="324">
        <f>E296+E295</f>
        <v>0</v>
      </c>
    </row>
    <row r="298" spans="1:8" x14ac:dyDescent="0.25">
      <c r="A298" s="1602" t="s">
        <v>65</v>
      </c>
      <c r="B298" s="1604"/>
      <c r="C298" s="1605"/>
      <c r="D298" s="1605"/>
      <c r="E298" s="1606"/>
    </row>
    <row r="299" spans="1:8" x14ac:dyDescent="0.25">
      <c r="A299" s="1603"/>
      <c r="B299" s="1607"/>
      <c r="C299" s="1608"/>
      <c r="D299" s="1608"/>
      <c r="E299" s="1609"/>
    </row>
    <row r="300" spans="1:8" ht="15.75" thickBot="1" x14ac:dyDescent="0.3">
      <c r="A300" s="1622"/>
      <c r="B300" s="1623"/>
      <c r="C300" s="1624"/>
      <c r="D300" s="1624"/>
      <c r="E300" s="1625"/>
    </row>
    <row r="301" spans="1:8" ht="15.75" thickBot="1" x14ac:dyDescent="0.3">
      <c r="A301" s="1626" t="s">
        <v>63</v>
      </c>
      <c r="B301" s="1627"/>
      <c r="C301" s="1627"/>
      <c r="D301" s="1627"/>
      <c r="E301" s="1628"/>
    </row>
    <row r="302" spans="1:8" ht="15.75" thickBot="1" x14ac:dyDescent="0.3">
      <c r="A302" s="1626" t="s">
        <v>201</v>
      </c>
      <c r="B302" s="1627"/>
      <c r="C302" s="1627"/>
      <c r="D302" s="1627"/>
      <c r="E302" s="1628"/>
    </row>
    <row r="303" spans="1:8" ht="15.75" thickBot="1" x14ac:dyDescent="0.3">
      <c r="A303" s="345" t="s">
        <v>61</v>
      </c>
      <c r="B303" s="1629" t="s">
        <v>1027</v>
      </c>
      <c r="C303" s="1630"/>
      <c r="D303" s="1630"/>
      <c r="E303" s="1631"/>
    </row>
    <row r="304" spans="1:8" ht="15.75" thickBot="1" x14ac:dyDescent="0.3">
      <c r="A304" s="347" t="s">
        <v>66</v>
      </c>
      <c r="B304" s="1632" t="s">
        <v>202</v>
      </c>
      <c r="C304" s="1633"/>
      <c r="D304" s="1633"/>
      <c r="E304" s="1634"/>
    </row>
    <row r="305" spans="1:5" ht="15.75" thickBot="1" x14ac:dyDescent="0.3">
      <c r="A305" s="345" t="s">
        <v>17</v>
      </c>
      <c r="B305" s="1632" t="s">
        <v>202</v>
      </c>
      <c r="C305" s="1633"/>
      <c r="D305" s="1633"/>
      <c r="E305" s="1634"/>
    </row>
    <row r="306" spans="1:5" ht="15.75" thickBot="1" x14ac:dyDescent="0.3">
      <c r="A306" s="345" t="s">
        <v>18</v>
      </c>
      <c r="B306" s="1635" t="s">
        <v>57</v>
      </c>
      <c r="C306" s="1636"/>
      <c r="D306" s="1636"/>
      <c r="E306" s="1637"/>
    </row>
    <row r="307" spans="1:5" x14ac:dyDescent="0.25">
      <c r="A307" s="1638"/>
      <c r="B307" s="342">
        <v>2018</v>
      </c>
      <c r="C307" s="342">
        <v>2019</v>
      </c>
      <c r="D307" s="342">
        <v>2020</v>
      </c>
      <c r="E307" s="342">
        <v>2021</v>
      </c>
    </row>
    <row r="308" spans="1:5" ht="15.75" thickBot="1" x14ac:dyDescent="0.3">
      <c r="A308" s="1639"/>
      <c r="B308" s="341" t="s">
        <v>10</v>
      </c>
      <c r="C308" s="341" t="s">
        <v>11</v>
      </c>
      <c r="D308" s="341" t="s">
        <v>11</v>
      </c>
      <c r="E308" s="341" t="s">
        <v>11</v>
      </c>
    </row>
    <row r="309" spans="1:5" ht="15.75" thickBot="1" x14ac:dyDescent="0.3">
      <c r="A309" s="345" t="s">
        <v>19</v>
      </c>
      <c r="B309" s="346">
        <v>0</v>
      </c>
      <c r="C309" s="346">
        <v>1</v>
      </c>
      <c r="D309" s="346">
        <v>0</v>
      </c>
      <c r="E309" s="346">
        <v>0</v>
      </c>
    </row>
    <row r="310" spans="1:5" ht="15.75" thickBot="1" x14ac:dyDescent="0.3">
      <c r="A310" s="345" t="s">
        <v>20</v>
      </c>
      <c r="B310" s="346">
        <v>0</v>
      </c>
      <c r="C310" s="346">
        <v>5000000</v>
      </c>
      <c r="D310" s="346">
        <v>0</v>
      </c>
      <c r="E310" s="346">
        <v>0</v>
      </c>
    </row>
    <row r="311" spans="1:5" ht="15.75" thickBot="1" x14ac:dyDescent="0.3">
      <c r="A311" s="345" t="s">
        <v>21</v>
      </c>
      <c r="B311" s="346">
        <v>0</v>
      </c>
      <c r="C311" s="346">
        <f>C310/C309</f>
        <v>5000000</v>
      </c>
      <c r="D311" s="346">
        <v>0</v>
      </c>
      <c r="E311" s="346">
        <v>0</v>
      </c>
    </row>
    <row r="312" spans="1:5" ht="15.75" thickBot="1" x14ac:dyDescent="0.3">
      <c r="A312" s="345" t="s">
        <v>22</v>
      </c>
      <c r="B312" s="344" t="s">
        <v>23</v>
      </c>
      <c r="C312" s="343"/>
      <c r="D312" s="343"/>
      <c r="E312" s="343"/>
    </row>
    <row r="313" spans="1:5" ht="15.75" thickBot="1" x14ac:dyDescent="0.3">
      <c r="A313" s="345" t="s">
        <v>24</v>
      </c>
      <c r="B313" s="344" t="s">
        <v>23</v>
      </c>
      <c r="C313" s="343"/>
      <c r="D313" s="343"/>
      <c r="E313" s="343"/>
    </row>
    <row r="314" spans="1:5" ht="15.75" thickBot="1" x14ac:dyDescent="0.3">
      <c r="A314" s="345" t="s">
        <v>25</v>
      </c>
      <c r="B314" s="344" t="s">
        <v>23</v>
      </c>
      <c r="C314" s="343"/>
      <c r="D314" s="343"/>
      <c r="E314" s="343"/>
    </row>
    <row r="315" spans="1:5" ht="16.5" customHeight="1" thickBot="1" x14ac:dyDescent="0.3">
      <c r="A315" s="1640" t="s">
        <v>1032</v>
      </c>
      <c r="B315" s="1641"/>
      <c r="C315" s="1641"/>
      <c r="D315" s="1641"/>
      <c r="E315" s="1642"/>
    </row>
    <row r="316" spans="1:5" x14ac:dyDescent="0.25">
      <c r="A316" s="1638"/>
      <c r="B316" s="342">
        <v>2018</v>
      </c>
      <c r="C316" s="342">
        <v>2019</v>
      </c>
      <c r="D316" s="342">
        <v>2020</v>
      </c>
      <c r="E316" s="342">
        <v>2021</v>
      </c>
    </row>
    <row r="317" spans="1:5" ht="15.75" thickBot="1" x14ac:dyDescent="0.3">
      <c r="A317" s="1639"/>
      <c r="B317" s="341" t="s">
        <v>10</v>
      </c>
      <c r="C317" s="341" t="s">
        <v>11</v>
      </c>
      <c r="D317" s="341" t="s">
        <v>11</v>
      </c>
      <c r="E317" s="341" t="s">
        <v>11</v>
      </c>
    </row>
    <row r="318" spans="1:5" ht="15.75" thickBot="1" x14ac:dyDescent="0.3">
      <c r="A318" s="340" t="s">
        <v>58</v>
      </c>
      <c r="B318" s="339">
        <v>0</v>
      </c>
      <c r="C318" s="339">
        <v>0</v>
      </c>
      <c r="D318" s="339">
        <v>0</v>
      </c>
      <c r="E318" s="339">
        <v>0</v>
      </c>
    </row>
    <row r="319" spans="1:5" ht="15.75" thickBot="1" x14ac:dyDescent="0.3">
      <c r="A319" s="340" t="s">
        <v>59</v>
      </c>
      <c r="B319" s="337">
        <v>0</v>
      </c>
      <c r="C319" s="339">
        <v>5000000</v>
      </c>
      <c r="D319" s="339">
        <v>0</v>
      </c>
      <c r="E319" s="339">
        <v>0</v>
      </c>
    </row>
    <row r="320" spans="1:5" ht="15.75" thickBot="1" x14ac:dyDescent="0.3">
      <c r="A320" s="338" t="s">
        <v>54</v>
      </c>
      <c r="B320" s="337">
        <f>B319+B318</f>
        <v>0</v>
      </c>
      <c r="C320" s="337">
        <f>C319+C318</f>
        <v>5000000</v>
      </c>
      <c r="D320" s="337">
        <f>D319+D318</f>
        <v>0</v>
      </c>
      <c r="E320" s="337">
        <f>E319+E318</f>
        <v>0</v>
      </c>
    </row>
    <row r="321" spans="1:5" ht="15.75" customHeight="1" x14ac:dyDescent="0.25">
      <c r="A321" s="1643" t="s">
        <v>1031</v>
      </c>
      <c r="B321" s="1646"/>
      <c r="C321" s="1647"/>
      <c r="D321" s="1647"/>
      <c r="E321" s="1648"/>
    </row>
    <row r="322" spans="1:5" ht="15.75" customHeight="1" x14ac:dyDescent="0.25">
      <c r="A322" s="1644"/>
      <c r="B322" s="1649"/>
      <c r="C322" s="1650"/>
      <c r="D322" s="1650"/>
      <c r="E322" s="1651"/>
    </row>
    <row r="323" spans="1:5" ht="15.75" customHeight="1" thickBot="1" x14ac:dyDescent="0.3">
      <c r="A323" s="1645"/>
      <c r="B323" s="1649"/>
      <c r="C323" s="1650"/>
      <c r="D323" s="1650"/>
      <c r="E323" s="1651"/>
    </row>
    <row r="324" spans="1:5" ht="15.75" thickBot="1" x14ac:dyDescent="0.3">
      <c r="A324" s="336"/>
      <c r="B324" s="335">
        <f>+B320</f>
        <v>0</v>
      </c>
      <c r="C324" s="335">
        <f>+C320</f>
        <v>5000000</v>
      </c>
      <c r="D324" s="335">
        <f>+D320</f>
        <v>0</v>
      </c>
      <c r="E324" s="335">
        <f>+E320</f>
        <v>0</v>
      </c>
    </row>
    <row r="325" spans="1:5" ht="15.75" thickBot="1" x14ac:dyDescent="0.3">
      <c r="A325" s="1652" t="s">
        <v>201</v>
      </c>
      <c r="B325" s="1653"/>
      <c r="C325" s="1653"/>
      <c r="D325" s="1653"/>
      <c r="E325" s="1654"/>
    </row>
    <row r="326" spans="1:5" ht="15.75" customHeight="1" thickBot="1" x14ac:dyDescent="0.3">
      <c r="A326" s="332" t="s">
        <v>61</v>
      </c>
      <c r="B326" s="1591" t="s">
        <v>209</v>
      </c>
      <c r="C326" s="1592"/>
      <c r="D326" s="1592"/>
      <c r="E326" s="1593"/>
    </row>
    <row r="327" spans="1:5" ht="27.75" customHeight="1" thickBot="1" x14ac:dyDescent="0.3">
      <c r="A327" s="334" t="s">
        <v>1030</v>
      </c>
      <c r="B327" s="1655" t="s">
        <v>1029</v>
      </c>
      <c r="C327" s="1656"/>
      <c r="D327" s="1656"/>
      <c r="E327" s="1657"/>
    </row>
    <row r="328" spans="1:5" ht="23.25" customHeight="1" thickBot="1" x14ac:dyDescent="0.3">
      <c r="A328" s="332" t="s">
        <v>17</v>
      </c>
      <c r="B328" s="1655" t="s">
        <v>1029</v>
      </c>
      <c r="C328" s="1656"/>
      <c r="D328" s="1656"/>
      <c r="E328" s="1657"/>
    </row>
    <row r="329" spans="1:5" ht="15.75" thickBot="1" x14ac:dyDescent="0.3">
      <c r="A329" s="332" t="s">
        <v>18</v>
      </c>
      <c r="B329" s="1594" t="s">
        <v>57</v>
      </c>
      <c r="C329" s="1595"/>
      <c r="D329" s="1595"/>
      <c r="E329" s="1596"/>
    </row>
    <row r="330" spans="1:5" x14ac:dyDescent="0.25">
      <c r="A330" s="1597"/>
      <c r="B330" s="329">
        <v>2018</v>
      </c>
      <c r="C330" s="329">
        <v>2019</v>
      </c>
      <c r="D330" s="329">
        <v>2020</v>
      </c>
      <c r="E330" s="329">
        <v>2021</v>
      </c>
    </row>
    <row r="331" spans="1:5" ht="15.75" thickBot="1" x14ac:dyDescent="0.3">
      <c r="A331" s="1598"/>
      <c r="B331" s="328" t="s">
        <v>10</v>
      </c>
      <c r="C331" s="328" t="s">
        <v>11</v>
      </c>
      <c r="D331" s="328" t="s">
        <v>11</v>
      </c>
      <c r="E331" s="328" t="s">
        <v>11</v>
      </c>
    </row>
    <row r="332" spans="1:5" ht="15.75" thickBot="1" x14ac:dyDescent="0.3">
      <c r="A332" s="332" t="s">
        <v>19</v>
      </c>
      <c r="B332" s="333">
        <v>0</v>
      </c>
      <c r="C332" s="333">
        <v>1</v>
      </c>
      <c r="D332" s="333">
        <v>0</v>
      </c>
      <c r="E332" s="333">
        <v>0</v>
      </c>
    </row>
    <row r="333" spans="1:5" ht="15.75" thickBot="1" x14ac:dyDescent="0.3">
      <c r="A333" s="332" t="s">
        <v>20</v>
      </c>
      <c r="B333" s="333">
        <v>0</v>
      </c>
      <c r="C333" s="333">
        <v>12000000</v>
      </c>
      <c r="D333" s="333">
        <v>0</v>
      </c>
      <c r="E333" s="333">
        <v>0</v>
      </c>
    </row>
    <row r="334" spans="1:5" ht="15.75" thickBot="1" x14ac:dyDescent="0.3">
      <c r="A334" s="332" t="s">
        <v>21</v>
      </c>
      <c r="B334" s="333">
        <v>0</v>
      </c>
      <c r="C334" s="333">
        <f>C333/C332</f>
        <v>12000000</v>
      </c>
      <c r="D334" s="333" t="e">
        <f>D333/D332</f>
        <v>#DIV/0!</v>
      </c>
      <c r="E334" s="333" t="e">
        <f>E333/E332</f>
        <v>#DIV/0!</v>
      </c>
    </row>
    <row r="335" spans="1:5" ht="15.75" thickBot="1" x14ac:dyDescent="0.3">
      <c r="A335" s="332" t="s">
        <v>22</v>
      </c>
      <c r="B335" s="331" t="s">
        <v>23</v>
      </c>
      <c r="C335" s="330"/>
      <c r="D335" s="330"/>
      <c r="E335" s="330"/>
    </row>
    <row r="336" spans="1:5" ht="15.75" thickBot="1" x14ac:dyDescent="0.3">
      <c r="A336" s="332" t="s">
        <v>24</v>
      </c>
      <c r="B336" s="331" t="s">
        <v>23</v>
      </c>
      <c r="C336" s="330"/>
      <c r="D336" s="330"/>
      <c r="E336" s="330"/>
    </row>
    <row r="337" spans="1:5" ht="15.75" thickBot="1" x14ac:dyDescent="0.3">
      <c r="A337" s="332" t="s">
        <v>25</v>
      </c>
      <c r="B337" s="331" t="s">
        <v>23</v>
      </c>
      <c r="C337" s="330"/>
      <c r="D337" s="330"/>
      <c r="E337" s="330"/>
    </row>
    <row r="338" spans="1:5" ht="16.5" customHeight="1" thickBot="1" x14ac:dyDescent="0.3">
      <c r="A338" s="1599" t="s">
        <v>1028</v>
      </c>
      <c r="B338" s="1600"/>
      <c r="C338" s="1600"/>
      <c r="D338" s="1600"/>
      <c r="E338" s="1601"/>
    </row>
    <row r="339" spans="1:5" x14ac:dyDescent="0.25">
      <c r="A339" s="1597"/>
      <c r="B339" s="329">
        <v>2018</v>
      </c>
      <c r="C339" s="329">
        <v>2019</v>
      </c>
      <c r="D339" s="329">
        <v>2020</v>
      </c>
      <c r="E339" s="329">
        <v>2021</v>
      </c>
    </row>
    <row r="340" spans="1:5" ht="15.75" thickBot="1" x14ac:dyDescent="0.3">
      <c r="A340" s="1598"/>
      <c r="B340" s="328" t="s">
        <v>10</v>
      </c>
      <c r="C340" s="328" t="s">
        <v>11</v>
      </c>
      <c r="D340" s="328" t="s">
        <v>11</v>
      </c>
      <c r="E340" s="328" t="s">
        <v>11</v>
      </c>
    </row>
    <row r="341" spans="1:5" ht="15.75" thickBot="1" x14ac:dyDescent="0.3">
      <c r="A341" s="327" t="s">
        <v>58</v>
      </c>
      <c r="B341" s="326">
        <v>0</v>
      </c>
      <c r="C341" s="326">
        <v>0</v>
      </c>
      <c r="D341" s="326">
        <v>0</v>
      </c>
      <c r="E341" s="326">
        <v>0</v>
      </c>
    </row>
    <row r="342" spans="1:5" ht="15.75" thickBot="1" x14ac:dyDescent="0.3">
      <c r="A342" s="327" t="s">
        <v>59</v>
      </c>
      <c r="B342" s="324">
        <v>0</v>
      </c>
      <c r="C342" s="326">
        <v>12000000</v>
      </c>
      <c r="D342" s="326">
        <v>0</v>
      </c>
      <c r="E342" s="326">
        <v>0</v>
      </c>
    </row>
    <row r="343" spans="1:5" ht="15.75" thickBot="1" x14ac:dyDescent="0.3">
      <c r="A343" s="325" t="s">
        <v>117</v>
      </c>
      <c r="B343" s="324">
        <f>B342+B341</f>
        <v>0</v>
      </c>
      <c r="C343" s="324">
        <f>C342+C341</f>
        <v>12000000</v>
      </c>
      <c r="D343" s="324">
        <f>D342+D341</f>
        <v>0</v>
      </c>
      <c r="E343" s="324">
        <f>E342+E341</f>
        <v>0</v>
      </c>
    </row>
    <row r="344" spans="1:5" ht="15.75" customHeight="1" x14ac:dyDescent="0.25">
      <c r="A344" s="1602" t="s">
        <v>119</v>
      </c>
      <c r="B344" s="1604"/>
      <c r="C344" s="1605"/>
      <c r="D344" s="1605"/>
      <c r="E344" s="1606"/>
    </row>
    <row r="345" spans="1:5" ht="15.75" customHeight="1" x14ac:dyDescent="0.25">
      <c r="A345" s="1603"/>
      <c r="B345" s="1607"/>
      <c r="C345" s="1608"/>
      <c r="D345" s="1608"/>
      <c r="E345" s="1609"/>
    </row>
    <row r="346" spans="1:5" ht="15.75" customHeight="1" thickBot="1" x14ac:dyDescent="0.3">
      <c r="A346" s="1622"/>
      <c r="B346" s="1623"/>
      <c r="C346" s="1624"/>
      <c r="D346" s="1624"/>
      <c r="E346" s="1625"/>
    </row>
    <row r="347" spans="1:5" ht="15.75" thickBot="1" x14ac:dyDescent="0.3">
      <c r="A347" s="323"/>
      <c r="B347" s="322">
        <f>+B343</f>
        <v>0</v>
      </c>
      <c r="C347" s="322">
        <f>+C343</f>
        <v>12000000</v>
      </c>
      <c r="D347" s="322">
        <f>+D343</f>
        <v>0</v>
      </c>
      <c r="E347" s="322">
        <f>+E343</f>
        <v>0</v>
      </c>
    </row>
    <row r="348" spans="1:5" ht="15.75" thickBot="1" x14ac:dyDescent="0.3">
      <c r="A348" s="1652" t="s">
        <v>201</v>
      </c>
      <c r="B348" s="1653"/>
      <c r="C348" s="1653"/>
      <c r="D348" s="1653"/>
      <c r="E348" s="1654"/>
    </row>
    <row r="349" spans="1:5" ht="15.75" thickBot="1" x14ac:dyDescent="0.3">
      <c r="A349" s="332" t="s">
        <v>61</v>
      </c>
      <c r="B349" s="1591" t="s">
        <v>1027</v>
      </c>
      <c r="C349" s="1592"/>
      <c r="D349" s="1592"/>
      <c r="E349" s="1593"/>
    </row>
    <row r="350" spans="1:5" ht="15.75" customHeight="1" thickBot="1" x14ac:dyDescent="0.3">
      <c r="A350" s="334" t="s">
        <v>1026</v>
      </c>
      <c r="B350" s="1655" t="s">
        <v>1025</v>
      </c>
      <c r="C350" s="1656"/>
      <c r="D350" s="1656"/>
      <c r="E350" s="1657"/>
    </row>
    <row r="351" spans="1:5" ht="15.75" customHeight="1" thickBot="1" x14ac:dyDescent="0.3">
      <c r="A351" s="332" t="s">
        <v>17</v>
      </c>
      <c r="B351" s="1655" t="s">
        <v>1025</v>
      </c>
      <c r="C351" s="1656"/>
      <c r="D351" s="1656"/>
      <c r="E351" s="1657"/>
    </row>
    <row r="352" spans="1:5" ht="15.75" thickBot="1" x14ac:dyDescent="0.3">
      <c r="A352" s="332" t="s">
        <v>18</v>
      </c>
      <c r="B352" s="1594" t="s">
        <v>57</v>
      </c>
      <c r="C352" s="1595"/>
      <c r="D352" s="1595"/>
      <c r="E352" s="1596"/>
    </row>
    <row r="353" spans="1:5" x14ac:dyDescent="0.25">
      <c r="A353" s="1597"/>
      <c r="B353" s="329">
        <v>2018</v>
      </c>
      <c r="C353" s="329">
        <v>2019</v>
      </c>
      <c r="D353" s="329">
        <v>2020</v>
      </c>
      <c r="E353" s="329">
        <v>2021</v>
      </c>
    </row>
    <row r="354" spans="1:5" ht="15.75" thickBot="1" x14ac:dyDescent="0.3">
      <c r="A354" s="1598"/>
      <c r="B354" s="328" t="s">
        <v>10</v>
      </c>
      <c r="C354" s="328" t="s">
        <v>11</v>
      </c>
      <c r="D354" s="328" t="s">
        <v>11</v>
      </c>
      <c r="E354" s="328" t="s">
        <v>11</v>
      </c>
    </row>
    <row r="355" spans="1:5" ht="15.75" thickBot="1" x14ac:dyDescent="0.3">
      <c r="A355" s="332" t="s">
        <v>19</v>
      </c>
      <c r="B355" s="333">
        <v>0</v>
      </c>
      <c r="C355" s="333">
        <v>0</v>
      </c>
      <c r="D355" s="333">
        <v>1</v>
      </c>
      <c r="E355" s="333">
        <v>1</v>
      </c>
    </row>
    <row r="356" spans="1:5" ht="15.75" thickBot="1" x14ac:dyDescent="0.3">
      <c r="A356" s="332" t="s">
        <v>20</v>
      </c>
      <c r="B356" s="333">
        <v>0</v>
      </c>
      <c r="C356" s="333">
        <v>0</v>
      </c>
      <c r="D356" s="333">
        <v>60000000</v>
      </c>
      <c r="E356" s="333">
        <v>60000000</v>
      </c>
    </row>
    <row r="357" spans="1:5" ht="15.75" thickBot="1" x14ac:dyDescent="0.3">
      <c r="A357" s="332" t="s">
        <v>21</v>
      </c>
      <c r="B357" s="333">
        <v>0</v>
      </c>
      <c r="C357" s="333"/>
      <c r="D357" s="333">
        <f>D356/D355</f>
        <v>60000000</v>
      </c>
      <c r="E357" s="333">
        <f>E356/E355</f>
        <v>60000000</v>
      </c>
    </row>
    <row r="358" spans="1:5" ht="15.75" thickBot="1" x14ac:dyDescent="0.3">
      <c r="A358" s="332" t="s">
        <v>22</v>
      </c>
      <c r="B358" s="331" t="s">
        <v>23</v>
      </c>
      <c r="C358" s="330"/>
      <c r="D358" s="330"/>
      <c r="E358" s="330"/>
    </row>
    <row r="359" spans="1:5" ht="15.75" thickBot="1" x14ac:dyDescent="0.3">
      <c r="A359" s="332" t="s">
        <v>24</v>
      </c>
      <c r="B359" s="331" t="s">
        <v>23</v>
      </c>
      <c r="C359" s="330"/>
      <c r="D359" s="330"/>
      <c r="E359" s="330"/>
    </row>
    <row r="360" spans="1:5" ht="15.75" thickBot="1" x14ac:dyDescent="0.3">
      <c r="A360" s="332" t="s">
        <v>25</v>
      </c>
      <c r="B360" s="331" t="s">
        <v>23</v>
      </c>
      <c r="C360" s="330"/>
      <c r="D360" s="330"/>
      <c r="E360" s="330"/>
    </row>
    <row r="361" spans="1:5" ht="15.75" thickBot="1" x14ac:dyDescent="0.3">
      <c r="A361" s="1599" t="s">
        <v>1024</v>
      </c>
      <c r="B361" s="1600"/>
      <c r="C361" s="1600"/>
      <c r="D361" s="1600"/>
      <c r="E361" s="1601"/>
    </row>
    <row r="362" spans="1:5" x14ac:dyDescent="0.25">
      <c r="A362" s="1597"/>
      <c r="B362" s="329">
        <v>2018</v>
      </c>
      <c r="C362" s="329">
        <v>2019</v>
      </c>
      <c r="D362" s="329">
        <v>2020</v>
      </c>
      <c r="E362" s="329">
        <v>2021</v>
      </c>
    </row>
    <row r="363" spans="1:5" ht="15.75" thickBot="1" x14ac:dyDescent="0.3">
      <c r="A363" s="1598"/>
      <c r="B363" s="328" t="s">
        <v>10</v>
      </c>
      <c r="C363" s="328" t="s">
        <v>11</v>
      </c>
      <c r="D363" s="328" t="s">
        <v>11</v>
      </c>
      <c r="E363" s="328" t="s">
        <v>11</v>
      </c>
    </row>
    <row r="364" spans="1:5" ht="15.75" thickBot="1" x14ac:dyDescent="0.3">
      <c r="A364" s="327" t="s">
        <v>58</v>
      </c>
      <c r="B364" s="326">
        <v>0</v>
      </c>
      <c r="C364" s="326">
        <v>0</v>
      </c>
      <c r="D364" s="326">
        <v>0</v>
      </c>
      <c r="E364" s="326">
        <v>0</v>
      </c>
    </row>
    <row r="365" spans="1:5" ht="15.75" thickBot="1" x14ac:dyDescent="0.3">
      <c r="A365" s="327" t="s">
        <v>59</v>
      </c>
      <c r="B365" s="324">
        <v>0</v>
      </c>
      <c r="C365" s="326">
        <v>0</v>
      </c>
      <c r="D365" s="326">
        <v>60000000</v>
      </c>
      <c r="E365" s="326">
        <v>60000000</v>
      </c>
    </row>
    <row r="366" spans="1:5" ht="15.75" thickBot="1" x14ac:dyDescent="0.3">
      <c r="A366" s="325" t="s">
        <v>625</v>
      </c>
      <c r="B366" s="324">
        <f>B365+B364</f>
        <v>0</v>
      </c>
      <c r="C366" s="324">
        <f>C365+C364</f>
        <v>0</v>
      </c>
      <c r="D366" s="324">
        <f>D365+D364</f>
        <v>60000000</v>
      </c>
      <c r="E366" s="324">
        <f>E365+E364</f>
        <v>60000000</v>
      </c>
    </row>
    <row r="367" spans="1:5" x14ac:dyDescent="0.25">
      <c r="A367" s="1602" t="s">
        <v>119</v>
      </c>
      <c r="B367" s="1604"/>
      <c r="C367" s="1605"/>
      <c r="D367" s="1605"/>
      <c r="E367" s="1606"/>
    </row>
    <row r="368" spans="1:5" x14ac:dyDescent="0.25">
      <c r="A368" s="1603"/>
      <c r="B368" s="1607"/>
      <c r="C368" s="1608"/>
      <c r="D368" s="1608"/>
      <c r="E368" s="1609"/>
    </row>
    <row r="369" spans="1:5" ht="15.75" thickBot="1" x14ac:dyDescent="0.3">
      <c r="A369" s="1622"/>
      <c r="B369" s="1623"/>
      <c r="C369" s="1624"/>
      <c r="D369" s="1624"/>
      <c r="E369" s="1625"/>
    </row>
    <row r="370" spans="1:5" ht="15.75" thickBot="1" x14ac:dyDescent="0.3">
      <c r="A370" s="323"/>
      <c r="B370" s="322">
        <f>+B366</f>
        <v>0</v>
      </c>
      <c r="C370" s="322">
        <f>+C366</f>
        <v>0</v>
      </c>
      <c r="D370" s="322">
        <f>+D366</f>
        <v>60000000</v>
      </c>
      <c r="E370" s="322">
        <f>+E366</f>
        <v>60000000</v>
      </c>
    </row>
    <row r="371" spans="1:5" ht="15.75" thickBot="1" x14ac:dyDescent="0.3">
      <c r="A371" s="321" t="s">
        <v>41</v>
      </c>
      <c r="B371" s="18">
        <f>IF(B396-B397=0,0,"Error")</f>
        <v>0</v>
      </c>
      <c r="C371" s="18">
        <v>0</v>
      </c>
      <c r="D371" s="18">
        <v>0</v>
      </c>
      <c r="E371" s="18">
        <f>IF(E396-E397=0,0,"Error")</f>
        <v>0</v>
      </c>
    </row>
    <row r="372" spans="1:5" ht="15.75" thickBot="1" x14ac:dyDescent="0.3">
      <c r="A372" s="320"/>
      <c r="B372" s="319"/>
      <c r="C372" s="319"/>
      <c r="D372" s="319"/>
      <c r="E372" s="318"/>
    </row>
    <row r="373" spans="1:5" ht="15.75" customHeight="1" thickBot="1" x14ac:dyDescent="0.3">
      <c r="A373" s="320"/>
      <c r="B373" s="319"/>
      <c r="C373" s="319"/>
      <c r="D373" s="319"/>
      <c r="E373" s="318"/>
    </row>
    <row r="374" spans="1:5" ht="15.75" customHeight="1" thickBot="1" x14ac:dyDescent="0.3">
      <c r="A374" s="317"/>
      <c r="B374" s="316">
        <f>+B297+B273+B231+B320+B343</f>
        <v>9400000</v>
      </c>
      <c r="C374" s="316">
        <f>+C297+C273+C231+C320+C343</f>
        <v>33370619</v>
      </c>
      <c r="D374" s="316">
        <f>+D297+D273+D231+D320+D343+D370</f>
        <v>76213004</v>
      </c>
      <c r="E374" s="316">
        <f>+E297+E273+E231+E320+E343+E370</f>
        <v>76265005</v>
      </c>
    </row>
    <row r="375" spans="1:5" ht="24" customHeight="1" thickBot="1" x14ac:dyDescent="0.3">
      <c r="A375" s="315"/>
      <c r="B375" s="238"/>
      <c r="C375" s="238"/>
      <c r="D375" s="238"/>
      <c r="E375" s="238"/>
    </row>
    <row r="376" spans="1:5" ht="24" customHeight="1" thickBot="1" x14ac:dyDescent="0.3">
      <c r="A376" s="6" t="s">
        <v>82</v>
      </c>
      <c r="B376" s="24">
        <f>+B374+B184++B136</f>
        <v>121000000</v>
      </c>
      <c r="C376" s="24">
        <f>+C374+C184++C136</f>
        <v>255000000</v>
      </c>
      <c r="D376" s="24">
        <f>+D374+D184++D136</f>
        <v>295000000</v>
      </c>
      <c r="E376" s="24">
        <f>+E374+E184++E136</f>
        <v>295000000</v>
      </c>
    </row>
    <row r="377" spans="1:5" ht="23.25" customHeight="1" thickBot="1" x14ac:dyDescent="0.3">
      <c r="A377" s="6" t="s">
        <v>83</v>
      </c>
      <c r="B377" s="24" t="e">
        <f>+B379+B381+B383+B385+B387+B389+B391+B393+B395+#REF!</f>
        <v>#REF!</v>
      </c>
      <c r="C377" s="24">
        <f>+C379+C381+C383+C385+C387+C389+C391+C393+C395+F392</f>
        <v>255000000</v>
      </c>
      <c r="D377" s="24">
        <f>+D379+D381+D383+D385+D387+D389+D391+D393+D395+G392</f>
        <v>295000000</v>
      </c>
      <c r="E377" s="24">
        <f>+E379+E381+E383+E385+E387+E389+E391+E393+E395+H392</f>
        <v>295000000</v>
      </c>
    </row>
    <row r="378" spans="1:5" ht="21.75" customHeight="1" thickBot="1" x14ac:dyDescent="0.3">
      <c r="A378" s="25" t="s">
        <v>84</v>
      </c>
      <c r="B378" s="27"/>
      <c r="C378" s="27" t="e">
        <f>C377/B377-1</f>
        <v>#REF!</v>
      </c>
      <c r="D378" s="27">
        <f>D377/C377-1</f>
        <v>0.15686274509803932</v>
      </c>
      <c r="E378" s="27">
        <f>E377/D377-1</f>
        <v>0</v>
      </c>
    </row>
    <row r="379" spans="1:5" ht="12.75" customHeight="1" thickBot="1" x14ac:dyDescent="0.3">
      <c r="A379" s="13" t="s">
        <v>26</v>
      </c>
      <c r="B379" s="14">
        <f>+B252+B210+B158+B47</f>
        <v>32155000</v>
      </c>
      <c r="C379" s="14">
        <f>+C252+C210+C158+C47</f>
        <v>53300000</v>
      </c>
      <c r="D379" s="14">
        <f>+D252+D210+D158+D47</f>
        <v>53300000</v>
      </c>
      <c r="E379" s="14">
        <f>+E252+E210+E158+E47</f>
        <v>53300000</v>
      </c>
    </row>
    <row r="380" spans="1:5" ht="15.75" thickBot="1" x14ac:dyDescent="0.3">
      <c r="A380" s="28" t="s">
        <v>85</v>
      </c>
      <c r="B380" s="15"/>
      <c r="C380" s="29">
        <f>C379/B379-1</f>
        <v>0.65759601928160483</v>
      </c>
      <c r="D380" s="29">
        <f>D379/C379-1</f>
        <v>0</v>
      </c>
      <c r="E380" s="29">
        <f>E379/D379-1</f>
        <v>0</v>
      </c>
    </row>
    <row r="381" spans="1:5" ht="24.75" thickBot="1" x14ac:dyDescent="0.3">
      <c r="A381" s="13" t="s">
        <v>28</v>
      </c>
      <c r="B381" s="14">
        <f>+B255+B213+B161+B50</f>
        <v>4845000</v>
      </c>
      <c r="C381" s="14">
        <f>+C255+C213+C161+C50</f>
        <v>6000000</v>
      </c>
      <c r="D381" s="14">
        <f>+D255+D213+D161+D50</f>
        <v>6000000</v>
      </c>
      <c r="E381" s="14">
        <f>+E255+E213+E161+E50</f>
        <v>6000000</v>
      </c>
    </row>
    <row r="382" spans="1:5" ht="21.75" customHeight="1" thickBot="1" x14ac:dyDescent="0.3">
      <c r="A382" s="28" t="s">
        <v>86</v>
      </c>
      <c r="B382" s="15"/>
      <c r="C382" s="29">
        <f>C381/B381-1</f>
        <v>0.23839009287925705</v>
      </c>
      <c r="D382" s="29">
        <f>D381/C381-1</f>
        <v>0</v>
      </c>
      <c r="E382" s="29">
        <f>E381/D381-1</f>
        <v>0</v>
      </c>
    </row>
    <row r="383" spans="1:5" ht="24.75" customHeight="1" thickBot="1" x14ac:dyDescent="0.3">
      <c r="A383" s="13" t="s">
        <v>30</v>
      </c>
      <c r="B383" s="14">
        <f>+B258++B216+B164+B53</f>
        <v>46765000</v>
      </c>
      <c r="C383" s="14">
        <f>+C258+C216+C164+C53+C108</f>
        <v>132688985</v>
      </c>
      <c r="D383" s="14">
        <f>+D258++D216+D164+D53</f>
        <v>121180040</v>
      </c>
      <c r="E383" s="14">
        <f>+E258++E216+E164+E53</f>
        <v>119339600</v>
      </c>
    </row>
    <row r="384" spans="1:5" ht="24.75" customHeight="1" thickBot="1" x14ac:dyDescent="0.3">
      <c r="A384" s="28" t="s">
        <v>87</v>
      </c>
      <c r="B384" s="15"/>
      <c r="C384" s="29">
        <f>C383/B383-1</f>
        <v>1.8373566770020315</v>
      </c>
      <c r="D384" s="29">
        <f>D383/C383-1</f>
        <v>-8.6736250186856156E-2</v>
      </c>
      <c r="E384" s="29">
        <f>E383/D383-1</f>
        <v>-1.5187649715250107E-2</v>
      </c>
    </row>
    <row r="385" spans="1:9" ht="15.75" thickBot="1" x14ac:dyDescent="0.3">
      <c r="A385" s="13" t="s">
        <v>32</v>
      </c>
      <c r="B385" s="14">
        <v>0</v>
      </c>
      <c r="C385" s="14">
        <v>0</v>
      </c>
      <c r="D385" s="14">
        <v>0</v>
      </c>
      <c r="E385" s="14">
        <v>0</v>
      </c>
    </row>
    <row r="386" spans="1:9" ht="15.75" thickBot="1" x14ac:dyDescent="0.3">
      <c r="A386" s="28" t="s">
        <v>88</v>
      </c>
      <c r="B386" s="15"/>
      <c r="C386" s="29"/>
      <c r="D386" s="29"/>
      <c r="E386" s="29"/>
    </row>
    <row r="387" spans="1:9" ht="15.75" thickBot="1" x14ac:dyDescent="0.3">
      <c r="A387" s="13" t="s">
        <v>34</v>
      </c>
      <c r="B387" s="14">
        <v>0</v>
      </c>
      <c r="C387" s="14">
        <v>0</v>
      </c>
      <c r="D387" s="14">
        <v>0</v>
      </c>
      <c r="E387" s="14">
        <v>0</v>
      </c>
    </row>
    <row r="388" spans="1:9" ht="15.75" thickBot="1" x14ac:dyDescent="0.3">
      <c r="A388" s="28" t="s">
        <v>89</v>
      </c>
      <c r="B388" s="15"/>
      <c r="C388" s="29"/>
      <c r="D388" s="29"/>
      <c r="E388" s="29"/>
    </row>
    <row r="389" spans="1:9" ht="20.25" customHeight="1" thickBot="1" x14ac:dyDescent="0.3">
      <c r="A389" s="13" t="s">
        <v>36</v>
      </c>
      <c r="B389" s="14">
        <v>0</v>
      </c>
      <c r="C389" s="14">
        <v>0</v>
      </c>
      <c r="D389" s="14">
        <v>0</v>
      </c>
      <c r="E389" s="14">
        <v>0</v>
      </c>
    </row>
    <row r="390" spans="1:9" ht="21" customHeight="1" thickBot="1" x14ac:dyDescent="0.3">
      <c r="A390" s="28" t="s">
        <v>90</v>
      </c>
      <c r="B390" s="15"/>
      <c r="C390" s="29"/>
      <c r="D390" s="29"/>
      <c r="E390" s="29"/>
    </row>
    <row r="391" spans="1:9" ht="25.5" customHeight="1" thickBot="1" x14ac:dyDescent="0.3">
      <c r="A391" s="13" t="s">
        <v>38</v>
      </c>
      <c r="B391" s="14">
        <f>+B270+B228+B176+B65</f>
        <v>35235000</v>
      </c>
      <c r="C391" s="14">
        <f>+C270+C228+C176+C65</f>
        <v>43011015</v>
      </c>
      <c r="D391" s="14">
        <f>+D270+D228+D176+D65</f>
        <v>54519960</v>
      </c>
      <c r="E391" s="14">
        <f>+E270+E228+E176+E65</f>
        <v>56360400</v>
      </c>
    </row>
    <row r="392" spans="1:9" ht="24.75" thickBot="1" x14ac:dyDescent="0.3">
      <c r="A392" s="28" t="s">
        <v>91</v>
      </c>
      <c r="B392" s="15"/>
      <c r="C392" s="29">
        <f>C391/B391-1</f>
        <v>0.22069008088548325</v>
      </c>
      <c r="D392" s="29">
        <f>D391/C391-1</f>
        <v>0.26758133933830663</v>
      </c>
      <c r="E392" s="29">
        <f>E391/D391-1</f>
        <v>3.3757178105046304E-2</v>
      </c>
      <c r="I392" s="12"/>
    </row>
    <row r="393" spans="1:9" ht="15.75" thickBot="1" x14ac:dyDescent="0.3">
      <c r="A393" s="13" t="s">
        <v>92</v>
      </c>
      <c r="B393" s="14">
        <v>0</v>
      </c>
      <c r="C393" s="14">
        <v>0</v>
      </c>
      <c r="D393" s="14">
        <v>0</v>
      </c>
      <c r="E393" s="14">
        <v>0</v>
      </c>
    </row>
    <row r="394" spans="1:9" ht="15.75" thickBot="1" x14ac:dyDescent="0.3">
      <c r="A394" s="28" t="s">
        <v>93</v>
      </c>
      <c r="B394" s="15"/>
      <c r="C394" s="29"/>
      <c r="D394" s="29"/>
      <c r="E394" s="29"/>
    </row>
    <row r="395" spans="1:9" ht="15.75" thickBot="1" x14ac:dyDescent="0.3">
      <c r="A395" s="13" t="s">
        <v>94</v>
      </c>
      <c r="B395" s="14">
        <f>+B297+B131+B343+B320</f>
        <v>2000000</v>
      </c>
      <c r="C395" s="14">
        <f>+C297+C131+C343+C320</f>
        <v>20000000</v>
      </c>
      <c r="D395" s="14">
        <f>+D297+D131+D343+D320+D370</f>
        <v>60000000</v>
      </c>
      <c r="E395" s="14">
        <f>+E297+E131+E343+E320+E370</f>
        <v>60000000</v>
      </c>
    </row>
    <row r="396" spans="1:9" ht="12.75" customHeight="1" thickBot="1" x14ac:dyDescent="0.3">
      <c r="A396" s="28" t="s">
        <v>95</v>
      </c>
      <c r="B396" s="15"/>
      <c r="C396" s="29">
        <f>C395/B395-1</f>
        <v>9</v>
      </c>
      <c r="D396" s="29">
        <f>D395/C395-1</f>
        <v>2</v>
      </c>
      <c r="E396" s="29">
        <f>E395/D395-1</f>
        <v>0</v>
      </c>
    </row>
    <row r="397" spans="1:9" ht="9" customHeight="1" x14ac:dyDescent="0.25">
      <c r="A397" s="1306" t="s">
        <v>871</v>
      </c>
      <c r="B397" s="1309"/>
      <c r="C397" s="1309"/>
      <c r="D397" s="1309"/>
      <c r="E397" s="1310"/>
    </row>
    <row r="398" spans="1:9" x14ac:dyDescent="0.25">
      <c r="A398" s="1307"/>
      <c r="B398" s="1311"/>
      <c r="C398" s="1311"/>
      <c r="D398" s="1311"/>
      <c r="E398" s="1312"/>
    </row>
    <row r="399" spans="1:9" ht="15.75" thickBot="1" x14ac:dyDescent="0.3">
      <c r="A399" s="1308"/>
      <c r="B399" s="1313"/>
      <c r="C399" s="1313"/>
      <c r="D399" s="1313"/>
      <c r="E399" s="1314"/>
    </row>
    <row r="400" spans="1:9" ht="34.5" customHeight="1" x14ac:dyDescent="0.25"/>
    <row r="406" ht="15" customHeight="1" x14ac:dyDescent="0.25"/>
    <row r="412" ht="27" customHeight="1" x14ac:dyDescent="0.25"/>
    <row r="425" ht="22.5" customHeight="1" x14ac:dyDescent="0.25"/>
    <row r="430" ht="20.25" customHeight="1" x14ac:dyDescent="0.25"/>
    <row r="431" ht="21" customHeight="1" x14ac:dyDescent="0.25"/>
    <row r="433" spans="6:8" ht="12.75" customHeight="1" x14ac:dyDescent="0.25"/>
    <row r="434" spans="6:8" ht="10.5" customHeight="1" x14ac:dyDescent="0.25"/>
    <row r="440" spans="6:8" x14ac:dyDescent="0.25">
      <c r="F440" s="12"/>
      <c r="G440" s="12"/>
      <c r="H440" s="12"/>
    </row>
    <row r="442" spans="6:8" ht="12.75" customHeight="1" x14ac:dyDescent="0.25"/>
    <row r="443" spans="6:8" ht="9" customHeight="1" x14ac:dyDescent="0.25"/>
    <row r="448" spans="6:8" ht="15" customHeight="1" x14ac:dyDescent="0.25"/>
    <row r="450" spans="6:8" ht="15.75" customHeight="1" x14ac:dyDescent="0.25"/>
    <row r="451" spans="6:8" ht="15.75" customHeight="1" x14ac:dyDescent="0.25"/>
    <row r="452" spans="6:8" ht="15" customHeight="1" x14ac:dyDescent="0.25"/>
    <row r="461" spans="6:8" x14ac:dyDescent="0.25">
      <c r="F461" s="12"/>
      <c r="G461" s="12"/>
      <c r="H461" s="12"/>
    </row>
    <row r="462" spans="6:8" x14ac:dyDescent="0.25">
      <c r="F462" s="12"/>
      <c r="G462" s="12"/>
      <c r="H462" s="12"/>
    </row>
    <row r="463" spans="6:8" ht="15.75" customHeight="1" x14ac:dyDescent="0.25">
      <c r="F463" s="12"/>
      <c r="G463" s="12"/>
      <c r="H463" s="12"/>
    </row>
    <row r="464" spans="6:8" x14ac:dyDescent="0.25">
      <c r="F464" s="12"/>
      <c r="G464" s="12"/>
      <c r="H464" s="12"/>
    </row>
    <row r="465" spans="6:8" x14ac:dyDescent="0.25">
      <c r="F465" s="12"/>
      <c r="G465" s="12"/>
      <c r="H465" s="12"/>
    </row>
    <row r="466" spans="6:8" x14ac:dyDescent="0.25">
      <c r="F466" s="12"/>
      <c r="G466" s="12"/>
      <c r="H466" s="12"/>
    </row>
    <row r="467" spans="6:8" x14ac:dyDescent="0.25">
      <c r="F467" s="12"/>
      <c r="G467" s="12"/>
      <c r="H467" s="12"/>
    </row>
    <row r="468" spans="6:8" x14ac:dyDescent="0.25">
      <c r="F468" s="12"/>
      <c r="G468" s="12"/>
      <c r="H468" s="12"/>
    </row>
    <row r="469" spans="6:8" ht="15" customHeight="1" x14ac:dyDescent="0.25">
      <c r="F469" s="12"/>
      <c r="G469" s="12"/>
      <c r="H469" s="12"/>
    </row>
    <row r="470" spans="6:8" x14ac:dyDescent="0.25">
      <c r="F470" s="12"/>
      <c r="G470" s="12"/>
      <c r="H470" s="12"/>
    </row>
    <row r="471" spans="6:8" x14ac:dyDescent="0.25">
      <c r="F471" s="12"/>
      <c r="G471" s="12"/>
      <c r="H471" s="12"/>
    </row>
    <row r="472" spans="6:8" x14ac:dyDescent="0.25">
      <c r="F472" s="12"/>
      <c r="G472" s="12"/>
      <c r="H472" s="12"/>
    </row>
    <row r="473" spans="6:8" ht="25.5" customHeight="1" x14ac:dyDescent="0.25">
      <c r="F473" s="12"/>
      <c r="G473" s="12"/>
      <c r="H473" s="12"/>
    </row>
    <row r="474" spans="6:8" ht="24" customHeight="1" x14ac:dyDescent="0.25">
      <c r="F474" s="12"/>
      <c r="G474" s="12"/>
      <c r="H474" s="12"/>
    </row>
    <row r="475" spans="6:8" ht="21" customHeight="1" x14ac:dyDescent="0.25">
      <c r="F475" s="12"/>
      <c r="G475" s="12"/>
      <c r="H475" s="12"/>
    </row>
    <row r="476" spans="6:8" x14ac:dyDescent="0.25">
      <c r="F476" s="12"/>
      <c r="G476" s="12"/>
      <c r="H476" s="12"/>
    </row>
    <row r="477" spans="6:8" ht="15.75" customHeight="1" x14ac:dyDescent="0.25">
      <c r="F477" s="12"/>
      <c r="G477" s="12"/>
      <c r="H477" s="12"/>
    </row>
    <row r="478" spans="6:8" ht="15.75" customHeight="1" x14ac:dyDescent="0.25">
      <c r="F478" s="12"/>
      <c r="G478" s="12"/>
      <c r="H478" s="12"/>
    </row>
    <row r="479" spans="6:8" ht="17.25" customHeight="1" x14ac:dyDescent="0.25">
      <c r="F479" s="12"/>
      <c r="G479" s="12"/>
      <c r="H479" s="12"/>
    </row>
    <row r="480" spans="6:8" x14ac:dyDescent="0.25">
      <c r="F480" s="12"/>
      <c r="G480" s="12"/>
      <c r="H480" s="12"/>
    </row>
    <row r="481" spans="6:9" ht="12.75" customHeight="1" x14ac:dyDescent="0.25">
      <c r="F481" s="12"/>
      <c r="G481" s="12"/>
      <c r="H481" s="12"/>
    </row>
    <row r="482" spans="6:9" ht="9" customHeight="1" x14ac:dyDescent="0.25">
      <c r="F482" s="12"/>
      <c r="G482" s="12"/>
      <c r="H482" s="12"/>
    </row>
    <row r="483" spans="6:9" x14ac:dyDescent="0.25">
      <c r="F483" s="12"/>
      <c r="G483" s="12"/>
      <c r="H483" s="12"/>
    </row>
    <row r="484" spans="6:9" ht="15.75" customHeight="1" x14ac:dyDescent="0.25">
      <c r="F484" s="12"/>
      <c r="G484" s="12"/>
      <c r="H484" s="12"/>
    </row>
    <row r="485" spans="6:9" x14ac:dyDescent="0.25">
      <c r="F485" s="12"/>
      <c r="G485" s="12"/>
      <c r="H485" s="12"/>
    </row>
    <row r="486" spans="6:9" x14ac:dyDescent="0.25">
      <c r="F486" s="12"/>
      <c r="G486" s="12"/>
      <c r="H486" s="12"/>
      <c r="I486" s="12"/>
    </row>
    <row r="487" spans="6:9" x14ac:dyDescent="0.25">
      <c r="F487" s="12"/>
      <c r="G487" s="12"/>
      <c r="H487" s="12"/>
    </row>
    <row r="488" spans="6:9" x14ac:dyDescent="0.25">
      <c r="F488" s="12"/>
      <c r="G488" s="12"/>
      <c r="H488" s="12"/>
    </row>
    <row r="489" spans="6:9" x14ac:dyDescent="0.25">
      <c r="F489" s="12"/>
      <c r="G489" s="12"/>
      <c r="H489" s="12"/>
    </row>
    <row r="490" spans="6:9" ht="12.75" customHeight="1" x14ac:dyDescent="0.25">
      <c r="F490" s="12"/>
      <c r="G490" s="12"/>
      <c r="H490" s="12"/>
    </row>
    <row r="491" spans="6:9" ht="9" customHeight="1" x14ac:dyDescent="0.25">
      <c r="F491" s="12"/>
      <c r="G491" s="12"/>
      <c r="H491" s="12"/>
    </row>
    <row r="492" spans="6:9" x14ac:dyDescent="0.25">
      <c r="F492" s="12"/>
      <c r="G492" s="12"/>
      <c r="H492" s="12"/>
    </row>
    <row r="493" spans="6:9" x14ac:dyDescent="0.25">
      <c r="F493" s="12"/>
      <c r="G493" s="12"/>
      <c r="H493" s="12"/>
    </row>
    <row r="494" spans="6:9" x14ac:dyDescent="0.25">
      <c r="F494" s="12"/>
      <c r="G494" s="12"/>
      <c r="H494" s="12"/>
    </row>
    <row r="495" spans="6:9" x14ac:dyDescent="0.25">
      <c r="F495" s="12"/>
      <c r="G495" s="12"/>
      <c r="H495" s="12"/>
    </row>
    <row r="496" spans="6:9" x14ac:dyDescent="0.25">
      <c r="F496" s="12"/>
      <c r="G496" s="12"/>
      <c r="H496" s="12"/>
    </row>
    <row r="497" spans="6:9" ht="23.25" customHeight="1" x14ac:dyDescent="0.25">
      <c r="F497" s="12"/>
      <c r="G497" s="12"/>
      <c r="H497" s="12"/>
    </row>
    <row r="498" spans="6:9" x14ac:dyDescent="0.25">
      <c r="F498" s="12"/>
      <c r="G498" s="12"/>
      <c r="H498" s="12"/>
    </row>
    <row r="499" spans="6:9" x14ac:dyDescent="0.25">
      <c r="F499" s="12"/>
      <c r="G499" s="12"/>
      <c r="H499" s="12"/>
    </row>
    <row r="500" spans="6:9" ht="17.25" customHeight="1" x14ac:dyDescent="0.25">
      <c r="F500" s="12"/>
      <c r="G500" s="12"/>
      <c r="H500" s="12"/>
    </row>
    <row r="501" spans="6:9" x14ac:dyDescent="0.25">
      <c r="F501" s="12"/>
      <c r="G501" s="12"/>
      <c r="H501" s="12"/>
    </row>
    <row r="502" spans="6:9" ht="22.5" customHeight="1" x14ac:dyDescent="0.25">
      <c r="F502" s="12"/>
      <c r="G502" s="12"/>
      <c r="H502" s="12"/>
    </row>
    <row r="503" spans="6:9" ht="15.75" customHeight="1" x14ac:dyDescent="0.25">
      <c r="F503" s="12"/>
      <c r="G503" s="12"/>
      <c r="H503" s="12"/>
    </row>
    <row r="504" spans="6:9" x14ac:dyDescent="0.25">
      <c r="F504" s="12"/>
      <c r="G504" s="12"/>
      <c r="H504" s="12"/>
    </row>
    <row r="505" spans="6:9" x14ac:dyDescent="0.25">
      <c r="F505" s="12"/>
      <c r="G505" s="12"/>
      <c r="H505" s="12"/>
    </row>
    <row r="506" spans="6:9" x14ac:dyDescent="0.25">
      <c r="F506" s="12"/>
      <c r="G506" s="12"/>
      <c r="H506" s="12"/>
    </row>
    <row r="507" spans="6:9" x14ac:dyDescent="0.25">
      <c r="F507" s="12"/>
      <c r="G507" s="12"/>
      <c r="H507" s="12"/>
      <c r="I507" s="12"/>
    </row>
    <row r="508" spans="6:9" x14ac:dyDescent="0.25">
      <c r="F508" s="12"/>
      <c r="G508" s="12"/>
      <c r="H508" s="12"/>
      <c r="I508" s="12"/>
    </row>
    <row r="509" spans="6:9" x14ac:dyDescent="0.25">
      <c r="F509" s="12"/>
      <c r="G509" s="12"/>
      <c r="H509" s="12"/>
      <c r="I509" s="12"/>
    </row>
    <row r="510" spans="6:9" x14ac:dyDescent="0.25">
      <c r="F510" s="12"/>
      <c r="G510" s="12"/>
      <c r="H510" s="12"/>
      <c r="I510" s="12"/>
    </row>
    <row r="511" spans="6:9" x14ac:dyDescent="0.25">
      <c r="F511" s="12"/>
      <c r="G511" s="12"/>
      <c r="H511" s="12"/>
      <c r="I511" s="12"/>
    </row>
    <row r="512" spans="6:9" ht="21" customHeight="1" x14ac:dyDescent="0.25">
      <c r="F512" s="12"/>
      <c r="G512" s="12"/>
      <c r="H512" s="12"/>
      <c r="I512" s="12"/>
    </row>
    <row r="513" spans="6:9" x14ac:dyDescent="0.25">
      <c r="F513" s="12"/>
      <c r="G513" s="12"/>
      <c r="H513" s="12"/>
      <c r="I513" s="12"/>
    </row>
    <row r="514" spans="6:9" x14ac:dyDescent="0.25">
      <c r="F514" s="12"/>
      <c r="G514" s="12"/>
      <c r="H514" s="12"/>
      <c r="I514" s="12"/>
    </row>
    <row r="515" spans="6:9" x14ac:dyDescent="0.25">
      <c r="F515" s="12"/>
      <c r="G515" s="12"/>
      <c r="H515" s="12"/>
      <c r="I515" s="12"/>
    </row>
    <row r="516" spans="6:9" x14ac:dyDescent="0.25">
      <c r="F516" s="12"/>
      <c r="G516" s="12"/>
      <c r="H516" s="12"/>
      <c r="I516" s="12"/>
    </row>
    <row r="517" spans="6:9" x14ac:dyDescent="0.25">
      <c r="F517" s="12"/>
      <c r="G517" s="12"/>
      <c r="H517" s="12"/>
      <c r="I517" s="12"/>
    </row>
    <row r="518" spans="6:9" x14ac:dyDescent="0.25">
      <c r="F518" s="12"/>
      <c r="G518" s="12"/>
      <c r="H518" s="12"/>
      <c r="I518" s="12"/>
    </row>
    <row r="519" spans="6:9" x14ac:dyDescent="0.25">
      <c r="F519" s="12"/>
      <c r="G519" s="12"/>
      <c r="H519" s="12"/>
      <c r="I519" s="12"/>
    </row>
    <row r="520" spans="6:9" x14ac:dyDescent="0.25">
      <c r="F520" s="12"/>
      <c r="G520" s="12"/>
      <c r="H520" s="12"/>
      <c r="I520" s="12"/>
    </row>
    <row r="521" spans="6:9" x14ac:dyDescent="0.25">
      <c r="F521" s="12"/>
      <c r="G521" s="12"/>
      <c r="H521" s="12"/>
      <c r="I521" s="12"/>
    </row>
    <row r="522" spans="6:9" ht="23.25" customHeight="1" x14ac:dyDescent="0.25">
      <c r="F522" s="12"/>
      <c r="G522" s="12"/>
      <c r="H522" s="12"/>
      <c r="I522" s="12"/>
    </row>
    <row r="523" spans="6:9" x14ac:dyDescent="0.25">
      <c r="F523" s="12"/>
      <c r="G523" s="12"/>
      <c r="H523" s="12"/>
      <c r="I523" s="12"/>
    </row>
    <row r="524" spans="6:9" ht="15" customHeight="1" x14ac:dyDescent="0.25">
      <c r="F524" s="12"/>
      <c r="G524" s="12"/>
      <c r="H524" s="12"/>
      <c r="I524" s="12"/>
    </row>
    <row r="525" spans="6:9" x14ac:dyDescent="0.25">
      <c r="F525" s="12"/>
      <c r="G525" s="12"/>
      <c r="H525" s="12"/>
      <c r="I525" s="12"/>
    </row>
    <row r="526" spans="6:9" x14ac:dyDescent="0.25">
      <c r="F526" s="12"/>
      <c r="G526" s="12"/>
      <c r="H526" s="12"/>
      <c r="I526" s="12"/>
    </row>
    <row r="527" spans="6:9" x14ac:dyDescent="0.25">
      <c r="F527" s="12"/>
      <c r="G527" s="12"/>
      <c r="H527" s="12"/>
      <c r="I527" s="12"/>
    </row>
    <row r="528" spans="6:9" ht="15" customHeight="1" x14ac:dyDescent="0.25">
      <c r="F528" s="12"/>
      <c r="G528" s="12"/>
      <c r="H528" s="12"/>
      <c r="I528" s="12"/>
    </row>
    <row r="529" spans="6:9" x14ac:dyDescent="0.25">
      <c r="F529" s="12"/>
      <c r="G529" s="12"/>
      <c r="H529" s="12"/>
      <c r="I529" s="12"/>
    </row>
    <row r="530" spans="6:9" x14ac:dyDescent="0.25">
      <c r="F530" s="12"/>
      <c r="G530" s="12"/>
      <c r="H530" s="12"/>
      <c r="I530" s="12"/>
    </row>
    <row r="531" spans="6:9" x14ac:dyDescent="0.25">
      <c r="F531" s="12"/>
      <c r="G531" s="12"/>
      <c r="H531" s="12"/>
      <c r="I531" s="12"/>
    </row>
    <row r="532" spans="6:9" x14ac:dyDescent="0.25">
      <c r="F532" s="12"/>
      <c r="G532" s="12"/>
      <c r="H532" s="12"/>
      <c r="I532" s="12"/>
    </row>
    <row r="533" spans="6:9" x14ac:dyDescent="0.25">
      <c r="F533" s="12"/>
      <c r="G533" s="12"/>
      <c r="H533" s="12"/>
      <c r="I533" s="12"/>
    </row>
    <row r="534" spans="6:9" ht="23.25" customHeight="1" x14ac:dyDescent="0.25">
      <c r="F534" s="12"/>
      <c r="G534" s="12"/>
      <c r="H534" s="12"/>
      <c r="I534" s="12"/>
    </row>
    <row r="535" spans="6:9" x14ac:dyDescent="0.25">
      <c r="F535" s="12"/>
      <c r="G535" s="12"/>
      <c r="H535" s="12"/>
      <c r="I535" s="12"/>
    </row>
    <row r="536" spans="6:9" x14ac:dyDescent="0.25">
      <c r="F536" s="12"/>
      <c r="G536" s="12"/>
      <c r="H536" s="12"/>
      <c r="I536" s="12"/>
    </row>
    <row r="537" spans="6:9" x14ac:dyDescent="0.25">
      <c r="F537" s="12"/>
      <c r="G537" s="12"/>
      <c r="H537" s="12"/>
      <c r="I537" s="12"/>
    </row>
    <row r="538" spans="6:9" x14ac:dyDescent="0.25">
      <c r="F538" s="12"/>
      <c r="G538" s="12"/>
      <c r="H538" s="12"/>
      <c r="I538" s="12"/>
    </row>
    <row r="539" spans="6:9" x14ac:dyDescent="0.25">
      <c r="F539" s="12"/>
      <c r="G539" s="12"/>
      <c r="H539" s="12"/>
      <c r="I539" s="12"/>
    </row>
    <row r="540" spans="6:9" x14ac:dyDescent="0.25">
      <c r="F540" s="12"/>
      <c r="G540" s="12"/>
      <c r="H540" s="12"/>
      <c r="I540" s="12"/>
    </row>
    <row r="541" spans="6:9" x14ac:dyDescent="0.25">
      <c r="F541" s="12"/>
      <c r="G541" s="12"/>
      <c r="H541" s="12"/>
      <c r="I541" s="12"/>
    </row>
    <row r="542" spans="6:9" x14ac:dyDescent="0.25">
      <c r="F542" s="12"/>
      <c r="G542" s="12"/>
      <c r="H542" s="12"/>
      <c r="I542" s="12"/>
    </row>
    <row r="543" spans="6:9" x14ac:dyDescent="0.25">
      <c r="F543" s="12"/>
      <c r="G543" s="12"/>
      <c r="H543" s="12"/>
      <c r="I543" s="12"/>
    </row>
    <row r="544" spans="6:9" ht="15.75" customHeight="1" x14ac:dyDescent="0.25">
      <c r="F544" s="12"/>
      <c r="G544" s="12"/>
      <c r="H544" s="12"/>
      <c r="I544" s="12"/>
    </row>
    <row r="545" spans="6:9" x14ac:dyDescent="0.25">
      <c r="F545" s="12"/>
      <c r="G545" s="12"/>
      <c r="H545" s="12"/>
      <c r="I545" s="12"/>
    </row>
    <row r="546" spans="6:9" x14ac:dyDescent="0.25">
      <c r="F546" s="12"/>
      <c r="G546" s="12"/>
      <c r="H546" s="12"/>
      <c r="I546" s="12"/>
    </row>
    <row r="547" spans="6:9" x14ac:dyDescent="0.25">
      <c r="F547" s="12"/>
      <c r="G547" s="12"/>
      <c r="H547" s="12"/>
      <c r="I547" s="12"/>
    </row>
    <row r="548" spans="6:9" x14ac:dyDescent="0.25">
      <c r="F548" s="12"/>
      <c r="G548" s="12"/>
      <c r="H548" s="12"/>
      <c r="I548" s="12"/>
    </row>
    <row r="549" spans="6:9" x14ac:dyDescent="0.25">
      <c r="F549" s="12"/>
      <c r="G549" s="12"/>
      <c r="H549" s="12"/>
      <c r="I549" s="12"/>
    </row>
    <row r="550" spans="6:9" ht="15" customHeight="1" x14ac:dyDescent="0.25">
      <c r="F550" s="12"/>
      <c r="G550" s="12"/>
      <c r="H550" s="12"/>
      <c r="I550" s="12"/>
    </row>
    <row r="551" spans="6:9" x14ac:dyDescent="0.25">
      <c r="F551" s="12"/>
      <c r="G551" s="12"/>
      <c r="H551" s="12"/>
      <c r="I551" s="12"/>
    </row>
    <row r="552" spans="6:9" x14ac:dyDescent="0.25">
      <c r="F552" s="12"/>
      <c r="G552" s="12"/>
      <c r="H552" s="12"/>
      <c r="I552" s="12"/>
    </row>
    <row r="553" spans="6:9" x14ac:dyDescent="0.25">
      <c r="F553" s="12"/>
      <c r="G553" s="12"/>
      <c r="H553" s="12"/>
      <c r="I553" s="12"/>
    </row>
    <row r="554" spans="6:9" x14ac:dyDescent="0.25">
      <c r="F554" s="12"/>
      <c r="G554" s="12"/>
      <c r="H554" s="12"/>
      <c r="I554" s="12"/>
    </row>
    <row r="555" spans="6:9" x14ac:dyDescent="0.25">
      <c r="F555" s="12"/>
      <c r="G555" s="12"/>
      <c r="H555" s="12"/>
      <c r="I555" s="12"/>
    </row>
    <row r="556" spans="6:9" x14ac:dyDescent="0.25">
      <c r="F556" s="12"/>
      <c r="G556" s="12"/>
      <c r="H556" s="12"/>
      <c r="I556" s="12"/>
    </row>
    <row r="557" spans="6:9" x14ac:dyDescent="0.25">
      <c r="F557" s="12"/>
      <c r="G557" s="12"/>
      <c r="H557" s="12"/>
      <c r="I557" s="12"/>
    </row>
    <row r="558" spans="6:9" x14ac:dyDescent="0.25">
      <c r="F558" s="12"/>
      <c r="G558" s="12"/>
      <c r="H558" s="12"/>
      <c r="I558" s="12"/>
    </row>
    <row r="559" spans="6:9" x14ac:dyDescent="0.25">
      <c r="F559" s="12"/>
      <c r="G559" s="12"/>
      <c r="H559" s="12"/>
      <c r="I559" s="12"/>
    </row>
    <row r="560" spans="6:9" x14ac:dyDescent="0.25">
      <c r="F560" s="12"/>
      <c r="G560" s="12"/>
      <c r="H560" s="12"/>
      <c r="I560" s="12"/>
    </row>
    <row r="561" spans="6:9" ht="15" customHeight="1" x14ac:dyDescent="0.25">
      <c r="F561" s="12"/>
      <c r="G561" s="12"/>
      <c r="H561" s="12"/>
      <c r="I561" s="12"/>
    </row>
    <row r="562" spans="6:9" ht="27.75" customHeight="1" x14ac:dyDescent="0.25">
      <c r="F562" s="12"/>
      <c r="G562" s="12"/>
      <c r="H562" s="12"/>
      <c r="I562" s="12"/>
    </row>
    <row r="563" spans="6:9" ht="27.75" customHeight="1" x14ac:dyDescent="0.25">
      <c r="F563" s="12"/>
      <c r="G563" s="12"/>
      <c r="H563" s="12"/>
      <c r="I563" s="12"/>
    </row>
    <row r="564" spans="6:9" x14ac:dyDescent="0.25">
      <c r="F564" s="12"/>
      <c r="G564" s="12"/>
      <c r="H564" s="12"/>
      <c r="I564" s="12"/>
    </row>
    <row r="565" spans="6:9" x14ac:dyDescent="0.25">
      <c r="F565" s="12"/>
      <c r="G565" s="12"/>
      <c r="H565" s="12"/>
      <c r="I565" s="12"/>
    </row>
    <row r="566" spans="6:9" x14ac:dyDescent="0.25">
      <c r="F566" s="12"/>
      <c r="G566" s="12"/>
      <c r="H566" s="12"/>
      <c r="I566" s="12"/>
    </row>
    <row r="567" spans="6:9" x14ac:dyDescent="0.25">
      <c r="F567" s="12"/>
      <c r="G567" s="12"/>
      <c r="H567" s="12"/>
      <c r="I567" s="12"/>
    </row>
    <row r="568" spans="6:9" x14ac:dyDescent="0.25">
      <c r="F568" s="12"/>
      <c r="G568" s="12"/>
      <c r="H568" s="12"/>
      <c r="I568" s="12"/>
    </row>
    <row r="569" spans="6:9" x14ac:dyDescent="0.25">
      <c r="F569" s="12"/>
      <c r="G569" s="12"/>
      <c r="H569" s="12"/>
      <c r="I569" s="12"/>
    </row>
    <row r="570" spans="6:9" x14ac:dyDescent="0.25">
      <c r="F570" s="12"/>
      <c r="G570" s="12"/>
      <c r="H570" s="12"/>
      <c r="I570" s="12"/>
    </row>
    <row r="571" spans="6:9" ht="15.75" customHeight="1" x14ac:dyDescent="0.25">
      <c r="F571" s="12"/>
      <c r="G571" s="12"/>
      <c r="H571" s="12"/>
      <c r="I571" s="12"/>
    </row>
    <row r="572" spans="6:9" ht="15.75" customHeight="1" x14ac:dyDescent="0.25">
      <c r="F572" s="12"/>
      <c r="G572" s="12"/>
      <c r="H572" s="12"/>
      <c r="I572" s="12"/>
    </row>
    <row r="573" spans="6:9" x14ac:dyDescent="0.25">
      <c r="F573" s="12"/>
      <c r="G573" s="12"/>
      <c r="H573" s="12"/>
      <c r="I573" s="12"/>
    </row>
    <row r="574" spans="6:9" ht="15.75" customHeight="1" x14ac:dyDescent="0.25">
      <c r="F574" s="12"/>
      <c r="G574" s="12"/>
      <c r="H574" s="12"/>
      <c r="I574" s="12"/>
    </row>
    <row r="575" spans="6:9" x14ac:dyDescent="0.25">
      <c r="I575" s="12"/>
    </row>
    <row r="576" spans="6:9" x14ac:dyDescent="0.25">
      <c r="I576" s="12"/>
    </row>
    <row r="577" spans="9:9" x14ac:dyDescent="0.25">
      <c r="I577" s="12"/>
    </row>
    <row r="578" spans="9:9" x14ac:dyDescent="0.25">
      <c r="I578" s="12"/>
    </row>
    <row r="579" spans="9:9" x14ac:dyDescent="0.25">
      <c r="I579" s="12"/>
    </row>
    <row r="580" spans="9:9" x14ac:dyDescent="0.25">
      <c r="I580" s="12"/>
    </row>
    <row r="581" spans="9:9" x14ac:dyDescent="0.25">
      <c r="I581" s="12"/>
    </row>
    <row r="582" spans="9:9" x14ac:dyDescent="0.25">
      <c r="I582" s="12"/>
    </row>
    <row r="583" spans="9:9" x14ac:dyDescent="0.25">
      <c r="I583" s="12"/>
    </row>
    <row r="584" spans="9:9" ht="15.75" customHeight="1" x14ac:dyDescent="0.25">
      <c r="I584" s="12"/>
    </row>
    <row r="585" spans="9:9" ht="75" customHeight="1" x14ac:dyDescent="0.25">
      <c r="I585" s="12"/>
    </row>
    <row r="586" spans="9:9" x14ac:dyDescent="0.25">
      <c r="I586" s="12"/>
    </row>
    <row r="587" spans="9:9" x14ac:dyDescent="0.25">
      <c r="I587" s="12"/>
    </row>
    <row r="588" spans="9:9" x14ac:dyDescent="0.25">
      <c r="I588" s="12"/>
    </row>
    <row r="589" spans="9:9" x14ac:dyDescent="0.25">
      <c r="I589" s="12"/>
    </row>
    <row r="590" spans="9:9" x14ac:dyDescent="0.25">
      <c r="I590" s="12"/>
    </row>
    <row r="591" spans="9:9" x14ac:dyDescent="0.25">
      <c r="I591" s="12"/>
    </row>
    <row r="592" spans="9:9" x14ac:dyDescent="0.25">
      <c r="I592" s="12"/>
    </row>
    <row r="593" spans="9:9" x14ac:dyDescent="0.25">
      <c r="I593" s="12"/>
    </row>
    <row r="594" spans="9:9" x14ac:dyDescent="0.25">
      <c r="I594" s="12"/>
    </row>
    <row r="595" spans="9:9" x14ac:dyDescent="0.25">
      <c r="I595" s="12"/>
    </row>
    <row r="596" spans="9:9" x14ac:dyDescent="0.25">
      <c r="I596" s="12"/>
    </row>
    <row r="597" spans="9:9" x14ac:dyDescent="0.25">
      <c r="I597" s="12"/>
    </row>
    <row r="598" spans="9:9" ht="15.75" customHeight="1" x14ac:dyDescent="0.25">
      <c r="I598" s="12"/>
    </row>
    <row r="599" spans="9:9" ht="15" customHeight="1" x14ac:dyDescent="0.25">
      <c r="I599" s="12"/>
    </row>
    <row r="600" spans="9:9" x14ac:dyDescent="0.25">
      <c r="I600" s="12"/>
    </row>
    <row r="601" spans="9:9" x14ac:dyDescent="0.25">
      <c r="I601" s="12"/>
    </row>
    <row r="602" spans="9:9" x14ac:dyDescent="0.25">
      <c r="I602" s="12"/>
    </row>
    <row r="603" spans="9:9" x14ac:dyDescent="0.25">
      <c r="I603" s="12"/>
    </row>
    <row r="604" spans="9:9" x14ac:dyDescent="0.25">
      <c r="I604" s="12"/>
    </row>
    <row r="605" spans="9:9" x14ac:dyDescent="0.25">
      <c r="I605" s="12"/>
    </row>
    <row r="606" spans="9:9" x14ac:dyDescent="0.25">
      <c r="I606" s="12"/>
    </row>
    <row r="607" spans="9:9" x14ac:dyDescent="0.25">
      <c r="I607" s="12"/>
    </row>
    <row r="608" spans="9:9" x14ac:dyDescent="0.25">
      <c r="I608" s="12"/>
    </row>
    <row r="609" spans="9:9" ht="15" customHeight="1" x14ac:dyDescent="0.25">
      <c r="I609" s="12"/>
    </row>
    <row r="610" spans="9:9" ht="16.5" customHeight="1" x14ac:dyDescent="0.25">
      <c r="I610" s="12"/>
    </row>
    <row r="611" spans="9:9" x14ac:dyDescent="0.25">
      <c r="I611" s="12"/>
    </row>
    <row r="612" spans="9:9" x14ac:dyDescent="0.25">
      <c r="I612" s="12"/>
    </row>
    <row r="613" spans="9:9" x14ac:dyDescent="0.25">
      <c r="I613" s="12"/>
    </row>
    <row r="614" spans="9:9" x14ac:dyDescent="0.25">
      <c r="I614" s="12"/>
    </row>
    <row r="615" spans="9:9" x14ac:dyDescent="0.25">
      <c r="I615" s="12"/>
    </row>
    <row r="624" spans="9:9" ht="12.75" customHeight="1" x14ac:dyDescent="0.25"/>
    <row r="625" spans="6:8" ht="9" customHeight="1" x14ac:dyDescent="0.25"/>
    <row r="633" spans="6:8" x14ac:dyDescent="0.25">
      <c r="F633" s="12"/>
      <c r="G633" s="12"/>
      <c r="H633" s="12"/>
    </row>
    <row r="645" spans="6:8" ht="15.75" customHeight="1" x14ac:dyDescent="0.25"/>
    <row r="651" spans="6:8" ht="15" customHeight="1" x14ac:dyDescent="0.25"/>
    <row r="654" spans="6:8" x14ac:dyDescent="0.25">
      <c r="F654" s="12"/>
      <c r="G654" s="12"/>
      <c r="H654" s="12"/>
    </row>
    <row r="667" ht="27" customHeight="1" x14ac:dyDescent="0.25"/>
    <row r="668" ht="35.25" customHeight="1" x14ac:dyDescent="0.25"/>
    <row r="669" ht="55.5" customHeight="1" x14ac:dyDescent="0.25"/>
    <row r="670" ht="22.5" customHeight="1" x14ac:dyDescent="0.25"/>
    <row r="674" spans="9:9" x14ac:dyDescent="0.25">
      <c r="I674" s="12"/>
    </row>
    <row r="675" spans="9:9" ht="15" customHeight="1" x14ac:dyDescent="0.25"/>
    <row r="678" spans="9:9" ht="12.75" customHeight="1" x14ac:dyDescent="0.25"/>
    <row r="679" spans="9:9" ht="9" customHeight="1" x14ac:dyDescent="0.25"/>
    <row r="688" spans="9:9" ht="17.25" customHeight="1" x14ac:dyDescent="0.25"/>
    <row r="690" spans="9:9" ht="12.75" customHeight="1" x14ac:dyDescent="0.25"/>
    <row r="691" spans="9:9" ht="9" customHeight="1" x14ac:dyDescent="0.25"/>
    <row r="695" spans="9:9" x14ac:dyDescent="0.25">
      <c r="I695" s="12"/>
    </row>
    <row r="699" spans="9:9" ht="12.75" customHeight="1" x14ac:dyDescent="0.25"/>
    <row r="700" spans="9:9" ht="9" customHeight="1" x14ac:dyDescent="0.25"/>
    <row r="708" ht="66" customHeight="1" x14ac:dyDescent="0.25"/>
    <row r="709" ht="15.75" customHeight="1" x14ac:dyDescent="0.25"/>
    <row r="717" ht="15.75" customHeight="1" x14ac:dyDescent="0.25"/>
    <row r="718" ht="15.75" customHeight="1" x14ac:dyDescent="0.25"/>
    <row r="730" ht="15.75" customHeight="1" x14ac:dyDescent="0.25"/>
    <row r="760" ht="27" customHeight="1" x14ac:dyDescent="0.25"/>
    <row r="788" ht="15" customHeight="1" x14ac:dyDescent="0.25"/>
    <row r="790" ht="19.5" customHeight="1" x14ac:dyDescent="0.25"/>
    <row r="795" ht="27.75" customHeight="1" x14ac:dyDescent="0.25"/>
    <row r="796" ht="33" customHeight="1" x14ac:dyDescent="0.25"/>
    <row r="797" ht="28.5" customHeight="1" x14ac:dyDescent="0.25"/>
    <row r="798" ht="48" customHeight="1" x14ac:dyDescent="0.25"/>
    <row r="799" ht="34.5" customHeight="1" x14ac:dyDescent="0.25"/>
    <row r="800" ht="66" customHeight="1" x14ac:dyDescent="0.25"/>
    <row r="801" ht="49.5" customHeight="1" x14ac:dyDescent="0.25"/>
    <row r="802" ht="47.25" customHeight="1" x14ac:dyDescent="0.25"/>
  </sheetData>
  <mergeCells count="121">
    <mergeCell ref="B349:E349"/>
    <mergeCell ref="B350:E350"/>
    <mergeCell ref="B351:E351"/>
    <mergeCell ref="B352:E352"/>
    <mergeCell ref="A344:A346"/>
    <mergeCell ref="B344:E346"/>
    <mergeCell ref="A397:A399"/>
    <mergeCell ref="B397:E399"/>
    <mergeCell ref="A353:A354"/>
    <mergeCell ref="A361:E361"/>
    <mergeCell ref="A362:A363"/>
    <mergeCell ref="A367:A369"/>
    <mergeCell ref="B367:E369"/>
    <mergeCell ref="A348:E348"/>
    <mergeCell ref="A330:A331"/>
    <mergeCell ref="A338:E338"/>
    <mergeCell ref="A339:A340"/>
    <mergeCell ref="A284:A285"/>
    <mergeCell ref="A292:E292"/>
    <mergeCell ref="A293:A294"/>
    <mergeCell ref="A298:A300"/>
    <mergeCell ref="B298:E300"/>
    <mergeCell ref="A301:E301"/>
    <mergeCell ref="A302:E302"/>
    <mergeCell ref="B303:E303"/>
    <mergeCell ref="B304:E304"/>
    <mergeCell ref="B305:E305"/>
    <mergeCell ref="B306:E306"/>
    <mergeCell ref="A307:A308"/>
    <mergeCell ref="A315:E315"/>
    <mergeCell ref="A316:A317"/>
    <mergeCell ref="A321:A323"/>
    <mergeCell ref="B321:E323"/>
    <mergeCell ref="A325:E325"/>
    <mergeCell ref="B326:E326"/>
    <mergeCell ref="B327:E327"/>
    <mergeCell ref="B328:E328"/>
    <mergeCell ref="B329:E329"/>
    <mergeCell ref="B281:E281"/>
    <mergeCell ref="B282:E282"/>
    <mergeCell ref="B283:E283"/>
    <mergeCell ref="B194:E194"/>
    <mergeCell ref="B195:E195"/>
    <mergeCell ref="B196:E196"/>
    <mergeCell ref="A197:A198"/>
    <mergeCell ref="A205:A206"/>
    <mergeCell ref="A207:E207"/>
    <mergeCell ref="A208:A209"/>
    <mergeCell ref="A232:A234"/>
    <mergeCell ref="B232:E234"/>
    <mergeCell ref="B236:E236"/>
    <mergeCell ref="B237:E237"/>
    <mergeCell ref="B238:E238"/>
    <mergeCell ref="A239:A240"/>
    <mergeCell ref="A247:A248"/>
    <mergeCell ref="A249:E249"/>
    <mergeCell ref="A250:A251"/>
    <mergeCell ref="A274:A276"/>
    <mergeCell ref="B274:E276"/>
    <mergeCell ref="A278:E278"/>
    <mergeCell ref="A279:E279"/>
    <mergeCell ref="B280:E280"/>
    <mergeCell ref="A190:E190"/>
    <mergeCell ref="A191:E191"/>
    <mergeCell ref="A192:A193"/>
    <mergeCell ref="B114:E114"/>
    <mergeCell ref="B115:E115"/>
    <mergeCell ref="B116:E116"/>
    <mergeCell ref="B117:E117"/>
    <mergeCell ref="A118:A119"/>
    <mergeCell ref="A126:E126"/>
    <mergeCell ref="A127:A128"/>
    <mergeCell ref="A132:A134"/>
    <mergeCell ref="B132:E134"/>
    <mergeCell ref="B138:E138"/>
    <mergeCell ref="A142:E142"/>
    <mergeCell ref="A143:E143"/>
    <mergeCell ref="B144:E144"/>
    <mergeCell ref="B145:E145"/>
    <mergeCell ref="B146:E146"/>
    <mergeCell ref="A147:A148"/>
    <mergeCell ref="A155:E155"/>
    <mergeCell ref="A156:A157"/>
    <mergeCell ref="A180:A182"/>
    <mergeCell ref="B180:E182"/>
    <mergeCell ref="B186:E186"/>
    <mergeCell ref="A112:E112"/>
    <mergeCell ref="A113:E113"/>
    <mergeCell ref="A36:A37"/>
    <mergeCell ref="A44:E44"/>
    <mergeCell ref="A45:A46"/>
    <mergeCell ref="A15:E17"/>
    <mergeCell ref="B18:E18"/>
    <mergeCell ref="A19:A20"/>
    <mergeCell ref="B28:E28"/>
    <mergeCell ref="A31:E31"/>
    <mergeCell ref="A32:E32"/>
    <mergeCell ref="B34:E34"/>
    <mergeCell ref="B35:E35"/>
    <mergeCell ref="A69:A71"/>
    <mergeCell ref="B69:E71"/>
    <mergeCell ref="B73:E73"/>
    <mergeCell ref="B74:E74"/>
    <mergeCell ref="B75:E75"/>
    <mergeCell ref="A76:A77"/>
    <mergeCell ref="A84:E84"/>
    <mergeCell ref="A85:A86"/>
    <mergeCell ref="A109:A111"/>
    <mergeCell ref="B109:E111"/>
    <mergeCell ref="B13:E13"/>
    <mergeCell ref="A14:E14"/>
    <mergeCell ref="B33:E33"/>
    <mergeCell ref="B3:E3"/>
    <mergeCell ref="B4:E4"/>
    <mergeCell ref="B5:E5"/>
    <mergeCell ref="C6:E6"/>
    <mergeCell ref="C7:E7"/>
    <mergeCell ref="A8:E8"/>
    <mergeCell ref="A9:E9"/>
    <mergeCell ref="B11:E11"/>
    <mergeCell ref="B12:E12"/>
  </mergeCell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E431"/>
  <sheetViews>
    <sheetView view="pageBreakPreview" topLeftCell="A406" zoomScale="60" zoomScaleNormal="120" workbookViewId="0">
      <selection activeCell="O429" sqref="O429"/>
    </sheetView>
  </sheetViews>
  <sheetFormatPr defaultRowHeight="15" x14ac:dyDescent="0.25"/>
  <cols>
    <col min="1" max="1" width="22.140625" customWidth="1"/>
    <col min="2" max="2" width="17.28515625" customWidth="1"/>
    <col min="3" max="3" width="12.85546875" customWidth="1"/>
    <col min="4" max="4" width="19" customWidth="1"/>
    <col min="5" max="5" width="16.5703125" customWidth="1"/>
  </cols>
  <sheetData>
    <row r="1" spans="1:5" ht="15.75" x14ac:dyDescent="0.25">
      <c r="A1" s="375" t="s">
        <v>898</v>
      </c>
      <c r="B1" s="188"/>
      <c r="C1" s="188"/>
      <c r="D1" s="188"/>
    </row>
    <row r="3" spans="1:5" ht="15.75" thickBot="1" x14ac:dyDescent="0.3"/>
    <row r="4" spans="1:5" ht="48" thickBot="1" x14ac:dyDescent="0.3">
      <c r="A4" s="168" t="s">
        <v>897</v>
      </c>
      <c r="B4" s="1430" t="s">
        <v>1143</v>
      </c>
      <c r="C4" s="1431"/>
      <c r="D4" s="1431"/>
      <c r="E4" s="1658"/>
    </row>
    <row r="5" spans="1:5" ht="32.25" thickBot="1" x14ac:dyDescent="0.3">
      <c r="A5" s="36" t="s">
        <v>895</v>
      </c>
      <c r="B5" s="1432" t="s">
        <v>1142</v>
      </c>
      <c r="C5" s="1433"/>
      <c r="D5" s="1433"/>
      <c r="E5" s="1659"/>
    </row>
    <row r="6" spans="1:5" ht="32.25" thickBot="1" x14ac:dyDescent="0.3">
      <c r="A6" s="36" t="s">
        <v>893</v>
      </c>
      <c r="B6" s="1419" t="s">
        <v>1141</v>
      </c>
      <c r="C6" s="1420"/>
      <c r="D6" s="1420"/>
      <c r="E6" s="1421"/>
    </row>
    <row r="7" spans="1:5" ht="32.25" thickBot="1" x14ac:dyDescent="0.3">
      <c r="A7" s="36" t="s">
        <v>891</v>
      </c>
      <c r="B7" s="167" t="s">
        <v>3</v>
      </c>
      <c r="C7" s="1512" t="s">
        <v>7</v>
      </c>
      <c r="D7" s="1093"/>
      <c r="E7" s="1094"/>
    </row>
    <row r="8" spans="1:5" ht="117" customHeight="1" thickBot="1" x14ac:dyDescent="0.3">
      <c r="A8" s="36" t="s">
        <v>1140</v>
      </c>
      <c r="B8" s="166">
        <v>8220</v>
      </c>
      <c r="C8" s="1419" t="s">
        <v>1139</v>
      </c>
      <c r="D8" s="1420"/>
      <c r="E8" s="1421"/>
    </row>
    <row r="9" spans="1:5" ht="48" thickBot="1" x14ac:dyDescent="0.3">
      <c r="A9" s="36" t="s">
        <v>927</v>
      </c>
      <c r="B9" s="166"/>
      <c r="C9" s="1419"/>
      <c r="D9" s="1420"/>
      <c r="E9" s="1421"/>
    </row>
    <row r="10" spans="1:5" x14ac:dyDescent="0.25">
      <c r="A10" s="1247" t="s">
        <v>926</v>
      </c>
      <c r="B10" s="1247"/>
      <c r="C10" s="1247"/>
      <c r="D10" s="1247"/>
      <c r="E10" s="1247"/>
    </row>
    <row r="11" spans="1:5" ht="15.75" thickBot="1" x14ac:dyDescent="0.3"/>
    <row r="12" spans="1:5" ht="24.75" customHeight="1" thickBot="1" x14ac:dyDescent="0.3">
      <c r="A12" s="2" t="s">
        <v>2</v>
      </c>
      <c r="B12" s="1263" t="s">
        <v>1138</v>
      </c>
      <c r="C12" s="1263"/>
      <c r="D12" s="1263"/>
      <c r="E12" s="1263"/>
    </row>
    <row r="13" spans="1:5" ht="24.75" customHeight="1" thickBot="1" x14ac:dyDescent="0.3">
      <c r="A13" s="2" t="s">
        <v>3</v>
      </c>
      <c r="B13" s="1087" t="s">
        <v>655</v>
      </c>
      <c r="C13" s="1088"/>
      <c r="D13" s="1088"/>
      <c r="E13" s="1089"/>
    </row>
    <row r="14" spans="1:5" ht="24.75" customHeight="1" thickBot="1" x14ac:dyDescent="0.3">
      <c r="A14" s="2" t="s">
        <v>5</v>
      </c>
      <c r="B14" s="1265" t="s">
        <v>6</v>
      </c>
      <c r="C14" s="1095"/>
      <c r="D14" s="1095"/>
      <c r="E14" s="1096"/>
    </row>
    <row r="15" spans="1:5" ht="24.75" customHeight="1" thickBot="1" x14ac:dyDescent="0.3">
      <c r="A15" s="1666" t="s">
        <v>7</v>
      </c>
      <c r="B15" s="1667"/>
      <c r="C15" s="1667"/>
      <c r="D15" s="1667"/>
      <c r="E15" s="1668"/>
    </row>
    <row r="16" spans="1:5" x14ac:dyDescent="0.25">
      <c r="A16" s="1336" t="s">
        <v>1137</v>
      </c>
      <c r="B16" s="1337"/>
      <c r="C16" s="1337"/>
      <c r="D16" s="1337"/>
      <c r="E16" s="1338"/>
    </row>
    <row r="17" spans="1:5" x14ac:dyDescent="0.25">
      <c r="A17" s="1339"/>
      <c r="B17" s="1340"/>
      <c r="C17" s="1340"/>
      <c r="D17" s="1340"/>
      <c r="E17" s="1341"/>
    </row>
    <row r="18" spans="1:5" ht="32.25" customHeight="1" thickBot="1" x14ac:dyDescent="0.3">
      <c r="A18" s="1342"/>
      <c r="B18" s="1343"/>
      <c r="C18" s="1343"/>
      <c r="D18" s="1343"/>
      <c r="E18" s="1344"/>
    </row>
    <row r="19" spans="1:5" ht="52.5" customHeight="1" thickBot="1" x14ac:dyDescent="0.3">
      <c r="A19" s="3" t="s">
        <v>8</v>
      </c>
      <c r="B19" s="1351" t="s">
        <v>1136</v>
      </c>
      <c r="C19" s="1352"/>
      <c r="D19" s="1352"/>
      <c r="E19" s="1353"/>
    </row>
    <row r="20" spans="1:5" x14ac:dyDescent="0.25">
      <c r="A20" s="1250" t="s">
        <v>102</v>
      </c>
      <c r="B20" s="245">
        <v>2018</v>
      </c>
      <c r="C20" s="245">
        <v>2019</v>
      </c>
      <c r="D20" s="245">
        <v>2020</v>
      </c>
      <c r="E20" s="245">
        <v>2021</v>
      </c>
    </row>
    <row r="21" spans="1:5" ht="15.75" thickBot="1" x14ac:dyDescent="0.3">
      <c r="A21" s="1251"/>
      <c r="B21" s="244" t="s">
        <v>10</v>
      </c>
      <c r="C21" s="244" t="s">
        <v>11</v>
      </c>
      <c r="D21" s="244" t="s">
        <v>11</v>
      </c>
      <c r="E21" s="244" t="s">
        <v>11</v>
      </c>
    </row>
    <row r="22" spans="1:5" ht="24.75" customHeight="1" thickBot="1" x14ac:dyDescent="0.3">
      <c r="A22" s="374" t="s">
        <v>1133</v>
      </c>
      <c r="B22" s="4" t="s">
        <v>112</v>
      </c>
      <c r="C22" s="4" t="s">
        <v>113</v>
      </c>
      <c r="D22" s="4" t="s">
        <v>113</v>
      </c>
      <c r="E22" s="4" t="s">
        <v>113</v>
      </c>
    </row>
    <row r="23" spans="1:5" ht="24.75" customHeight="1" thickBot="1" x14ac:dyDescent="0.3">
      <c r="A23" s="373" t="s">
        <v>1132</v>
      </c>
      <c r="B23" s="4" t="s">
        <v>112</v>
      </c>
      <c r="C23" s="4" t="s">
        <v>113</v>
      </c>
      <c r="D23" s="4" t="s">
        <v>113</v>
      </c>
      <c r="E23" s="4" t="s">
        <v>113</v>
      </c>
    </row>
    <row r="24" spans="1:5" ht="24.75" customHeight="1" thickBot="1" x14ac:dyDescent="0.3">
      <c r="A24" s="5" t="s">
        <v>111</v>
      </c>
      <c r="B24" s="4" t="s">
        <v>112</v>
      </c>
      <c r="C24" s="4" t="s">
        <v>113</v>
      </c>
      <c r="D24" s="4" t="s">
        <v>113</v>
      </c>
      <c r="E24" s="4" t="s">
        <v>113</v>
      </c>
    </row>
    <row r="25" spans="1:5" ht="54" customHeight="1" thickBot="1" x14ac:dyDescent="0.3">
      <c r="A25" s="6" t="s">
        <v>12</v>
      </c>
      <c r="B25" s="1272" t="s">
        <v>1135</v>
      </c>
      <c r="C25" s="1270"/>
      <c r="D25" s="1270"/>
      <c r="E25" s="1305"/>
    </row>
    <row r="26" spans="1:5" ht="24.75" customHeight="1" thickBot="1" x14ac:dyDescent="0.3">
      <c r="A26" s="1245" t="s">
        <v>1134</v>
      </c>
      <c r="B26" s="1246"/>
      <c r="C26" s="1246"/>
      <c r="D26" s="1246"/>
      <c r="E26" s="1298"/>
    </row>
    <row r="27" spans="1:5" ht="24.75" customHeight="1" thickBot="1" x14ac:dyDescent="0.3">
      <c r="A27" s="374" t="s">
        <v>1133</v>
      </c>
      <c r="B27" s="4" t="s">
        <v>112</v>
      </c>
      <c r="C27" s="4" t="s">
        <v>113</v>
      </c>
      <c r="D27" s="4" t="s">
        <v>113</v>
      </c>
      <c r="E27" s="4" t="s">
        <v>113</v>
      </c>
    </row>
    <row r="28" spans="1:5" ht="24.75" customHeight="1" thickBot="1" x14ac:dyDescent="0.3">
      <c r="A28" s="373" t="s">
        <v>1132</v>
      </c>
      <c r="B28" s="4" t="s">
        <v>112</v>
      </c>
      <c r="C28" s="4" t="s">
        <v>113</v>
      </c>
      <c r="D28" s="4" t="s">
        <v>113</v>
      </c>
      <c r="E28" s="4" t="s">
        <v>113</v>
      </c>
    </row>
    <row r="29" spans="1:5" ht="24.75" customHeight="1" thickBot="1" x14ac:dyDescent="0.3">
      <c r="A29" s="5" t="s">
        <v>111</v>
      </c>
      <c r="B29" s="4" t="s">
        <v>112</v>
      </c>
      <c r="C29" s="4" t="s">
        <v>113</v>
      </c>
      <c r="D29" s="4" t="s">
        <v>113</v>
      </c>
      <c r="E29" s="4" t="s">
        <v>113</v>
      </c>
    </row>
    <row r="30" spans="1:5" ht="24.75" customHeight="1" thickBot="1" x14ac:dyDescent="0.3">
      <c r="A30" s="1273" t="s">
        <v>1131</v>
      </c>
      <c r="B30" s="1274"/>
      <c r="C30" s="1274"/>
      <c r="D30" s="1274"/>
      <c r="E30" s="1299"/>
    </row>
    <row r="31" spans="1:5" ht="24.75" customHeight="1" thickBot="1" x14ac:dyDescent="0.3">
      <c r="A31" s="1275" t="s">
        <v>104</v>
      </c>
      <c r="B31" s="1276"/>
      <c r="C31" s="1276"/>
      <c r="D31" s="1276"/>
      <c r="E31" s="1317"/>
    </row>
    <row r="32" spans="1:5" ht="24.75" customHeight="1" thickBot="1" x14ac:dyDescent="0.3">
      <c r="A32" s="7" t="s">
        <v>1130</v>
      </c>
      <c r="B32" s="1330" t="s">
        <v>1129</v>
      </c>
      <c r="C32" s="1331"/>
      <c r="D32" s="1331"/>
      <c r="E32" s="1332"/>
    </row>
    <row r="33" spans="1:5" ht="71.25" customHeight="1" thickBot="1" x14ac:dyDescent="0.3">
      <c r="A33" s="5" t="s">
        <v>17</v>
      </c>
      <c r="B33" s="1663" t="s">
        <v>1128</v>
      </c>
      <c r="C33" s="1664"/>
      <c r="D33" s="1664"/>
      <c r="E33" s="1665"/>
    </row>
    <row r="34" spans="1:5" ht="24.75" customHeight="1" thickBot="1" x14ac:dyDescent="0.3">
      <c r="A34" s="5" t="s">
        <v>18</v>
      </c>
      <c r="B34" s="1248" t="s">
        <v>1085</v>
      </c>
      <c r="C34" s="1249"/>
      <c r="D34" s="1249"/>
      <c r="E34" s="1316"/>
    </row>
    <row r="35" spans="1:5" x14ac:dyDescent="0.25">
      <c r="A35" s="1250"/>
      <c r="B35" s="8">
        <v>2018</v>
      </c>
      <c r="C35" s="8">
        <v>2019</v>
      </c>
      <c r="D35" s="8">
        <v>2020</v>
      </c>
      <c r="E35" s="8">
        <v>2021</v>
      </c>
    </row>
    <row r="36" spans="1:5" ht="15.75" thickBot="1" x14ac:dyDescent="0.3">
      <c r="A36" s="1251"/>
      <c r="B36" s="9" t="s">
        <v>10</v>
      </c>
      <c r="C36" s="9" t="s">
        <v>11</v>
      </c>
      <c r="D36" s="9" t="s">
        <v>11</v>
      </c>
      <c r="E36" s="9" t="s">
        <v>11</v>
      </c>
    </row>
    <row r="37" spans="1:5" ht="24.75" customHeight="1" thickBot="1" x14ac:dyDescent="0.3">
      <c r="A37" s="5" t="s">
        <v>19</v>
      </c>
      <c r="B37" s="10">
        <v>7</v>
      </c>
      <c r="C37" s="10">
        <v>7</v>
      </c>
      <c r="D37" s="10">
        <v>7</v>
      </c>
      <c r="E37" s="10">
        <v>7</v>
      </c>
    </row>
    <row r="38" spans="1:5" ht="24.75" customHeight="1" thickBot="1" x14ac:dyDescent="0.3">
      <c r="A38" s="5" t="s">
        <v>20</v>
      </c>
      <c r="B38" s="10">
        <v>52500</v>
      </c>
      <c r="C38" s="10">
        <v>52500</v>
      </c>
      <c r="D38" s="10">
        <v>52500</v>
      </c>
      <c r="E38" s="10">
        <v>52500</v>
      </c>
    </row>
    <row r="39" spans="1:5" ht="24.75" customHeight="1" thickBot="1" x14ac:dyDescent="0.3">
      <c r="A39" s="5" t="s">
        <v>21</v>
      </c>
      <c r="B39" s="10">
        <f>B38/B37</f>
        <v>7500</v>
      </c>
      <c r="C39" s="10">
        <f>C38/C37</f>
        <v>7500</v>
      </c>
      <c r="D39" s="10">
        <f>D38/D37</f>
        <v>7500</v>
      </c>
      <c r="E39" s="10">
        <f>E38/E37</f>
        <v>7500</v>
      </c>
    </row>
    <row r="40" spans="1:5" ht="24.75" customHeight="1" thickBot="1" x14ac:dyDescent="0.3">
      <c r="A40" s="5" t="s">
        <v>22</v>
      </c>
      <c r="B40" s="225" t="s">
        <v>23</v>
      </c>
      <c r="C40" s="11">
        <f t="shared" ref="C40:E42" si="0">C37/B37-1</f>
        <v>0</v>
      </c>
      <c r="D40" s="11">
        <f t="shared" si="0"/>
        <v>0</v>
      </c>
      <c r="E40" s="11">
        <f t="shared" si="0"/>
        <v>0</v>
      </c>
    </row>
    <row r="41" spans="1:5" ht="24.75" customHeight="1" thickBot="1" x14ac:dyDescent="0.3">
      <c r="A41" s="5" t="s">
        <v>24</v>
      </c>
      <c r="B41" s="225" t="s">
        <v>23</v>
      </c>
      <c r="C41" s="11">
        <f t="shared" si="0"/>
        <v>0</v>
      </c>
      <c r="D41" s="11">
        <f t="shared" si="0"/>
        <v>0</v>
      </c>
      <c r="E41" s="11">
        <f t="shared" si="0"/>
        <v>0</v>
      </c>
    </row>
    <row r="42" spans="1:5" ht="24.75" customHeight="1" thickBot="1" x14ac:dyDescent="0.3">
      <c r="A42" s="5" t="s">
        <v>25</v>
      </c>
      <c r="B42" s="225" t="s">
        <v>23</v>
      </c>
      <c r="C42" s="11">
        <f t="shared" si="0"/>
        <v>0</v>
      </c>
      <c r="D42" s="11">
        <f t="shared" si="0"/>
        <v>0</v>
      </c>
      <c r="E42" s="11">
        <f t="shared" si="0"/>
        <v>0</v>
      </c>
    </row>
    <row r="43" spans="1:5" ht="24.75" customHeight="1" thickBot="1" x14ac:dyDescent="0.3">
      <c r="A43" s="1252" t="s">
        <v>633</v>
      </c>
      <c r="B43" s="1253"/>
      <c r="C43" s="1253"/>
      <c r="D43" s="1253"/>
      <c r="E43" s="1300"/>
    </row>
    <row r="44" spans="1:5" x14ac:dyDescent="0.25">
      <c r="A44" s="1250"/>
      <c r="B44" s="8">
        <v>2018</v>
      </c>
      <c r="C44" s="8">
        <v>2019</v>
      </c>
      <c r="D44" s="8">
        <v>2020</v>
      </c>
      <c r="E44" s="8">
        <v>2021</v>
      </c>
    </row>
    <row r="45" spans="1:5" ht="15.75" thickBot="1" x14ac:dyDescent="0.3">
      <c r="A45" s="1251"/>
      <c r="B45" s="9" t="s">
        <v>10</v>
      </c>
      <c r="C45" s="9" t="s">
        <v>11</v>
      </c>
      <c r="D45" s="9" t="s">
        <v>11</v>
      </c>
      <c r="E45" s="9" t="s">
        <v>11</v>
      </c>
    </row>
    <row r="46" spans="1:5" ht="24.75" customHeight="1" thickBot="1" x14ac:dyDescent="0.3">
      <c r="A46" s="13" t="s">
        <v>26</v>
      </c>
      <c r="B46" s="14">
        <v>2920</v>
      </c>
      <c r="C46" s="14">
        <v>2920</v>
      </c>
      <c r="D46" s="14">
        <v>2920</v>
      </c>
      <c r="E46" s="14">
        <v>2920</v>
      </c>
    </row>
    <row r="47" spans="1:5" ht="24.75" customHeight="1" thickBot="1" x14ac:dyDescent="0.3">
      <c r="A47" s="13" t="s">
        <v>28</v>
      </c>
      <c r="B47" s="14">
        <v>477</v>
      </c>
      <c r="C47" s="14">
        <v>477</v>
      </c>
      <c r="D47" s="14">
        <v>477</v>
      </c>
      <c r="E47" s="14">
        <v>477</v>
      </c>
    </row>
    <row r="48" spans="1:5" ht="24.75" customHeight="1" thickBot="1" x14ac:dyDescent="0.3">
      <c r="A48" s="13" t="s">
        <v>30</v>
      </c>
      <c r="B48" s="15">
        <v>1462</v>
      </c>
      <c r="C48" s="15">
        <v>1462</v>
      </c>
      <c r="D48" s="15">
        <v>1462</v>
      </c>
      <c r="E48" s="15">
        <v>1462</v>
      </c>
    </row>
    <row r="49" spans="1:5" ht="24.75" customHeight="1" thickBot="1" x14ac:dyDescent="0.3">
      <c r="A49" s="13" t="s">
        <v>32</v>
      </c>
      <c r="B49" s="15"/>
      <c r="C49" s="14"/>
      <c r="D49" s="14"/>
      <c r="E49" s="14"/>
    </row>
    <row r="50" spans="1:5" ht="24.75" customHeight="1" thickBot="1" x14ac:dyDescent="0.3">
      <c r="A50" s="13" t="s">
        <v>34</v>
      </c>
      <c r="B50" s="15">
        <v>47641</v>
      </c>
      <c r="C50" s="15">
        <v>47641</v>
      </c>
      <c r="D50" s="15">
        <v>47641</v>
      </c>
      <c r="E50" s="15">
        <v>47641</v>
      </c>
    </row>
    <row r="51" spans="1:5" ht="24.75" customHeight="1" thickBot="1" x14ac:dyDescent="0.3">
      <c r="A51" s="13" t="s">
        <v>36</v>
      </c>
      <c r="B51" s="15"/>
      <c r="C51" s="14"/>
      <c r="D51" s="14"/>
      <c r="E51" s="14"/>
    </row>
    <row r="52" spans="1:5" ht="24.75" customHeight="1" thickBot="1" x14ac:dyDescent="0.3">
      <c r="A52" s="13" t="s">
        <v>38</v>
      </c>
      <c r="B52" s="15"/>
      <c r="C52" s="14"/>
      <c r="D52" s="14"/>
      <c r="E52" s="14"/>
    </row>
    <row r="53" spans="1:5" ht="24.75" customHeight="1" thickBot="1" x14ac:dyDescent="0.3">
      <c r="A53" s="184" t="s">
        <v>40</v>
      </c>
      <c r="B53" s="15">
        <f>B52+B51+B50+B49+B48+B47+B46</f>
        <v>52500</v>
      </c>
      <c r="C53" s="15">
        <f>C52+C51+C50+C49+C48+C47+C46</f>
        <v>52500</v>
      </c>
      <c r="D53" s="15">
        <f>D52+D51+D50+D49+D48+D47+D46</f>
        <v>52500</v>
      </c>
      <c r="E53" s="15">
        <f>E52+E51+E50+E49+E48+E47+E46</f>
        <v>52500</v>
      </c>
    </row>
    <row r="54" spans="1:5" ht="24.75" customHeight="1" thickBot="1" x14ac:dyDescent="0.3">
      <c r="A54" s="17" t="s">
        <v>41</v>
      </c>
      <c r="B54" s="18">
        <f>IF(B53-B38=0,0,"Error")</f>
        <v>0</v>
      </c>
      <c r="C54" s="18">
        <f>IF(C53-C38=0,0,"Error")</f>
        <v>0</v>
      </c>
      <c r="D54" s="18">
        <f>IF(D53-D38=0,0,"Error")</f>
        <v>0</v>
      </c>
      <c r="E54" s="18">
        <f>IF(E53-E38=0,0,"Error")</f>
        <v>0</v>
      </c>
    </row>
    <row r="55" spans="1:5" ht="24.75" customHeight="1" thickBot="1" x14ac:dyDescent="0.3">
      <c r="A55" s="7" t="s">
        <v>1127</v>
      </c>
      <c r="B55" s="1243" t="s">
        <v>1126</v>
      </c>
      <c r="C55" s="1244"/>
      <c r="D55" s="1244"/>
      <c r="E55" s="1315"/>
    </row>
    <row r="56" spans="1:5" ht="42" customHeight="1" thickBot="1" x14ac:dyDescent="0.3">
      <c r="A56" s="5" t="s">
        <v>17</v>
      </c>
      <c r="B56" s="1663" t="s">
        <v>1125</v>
      </c>
      <c r="C56" s="1664"/>
      <c r="D56" s="1664"/>
      <c r="E56" s="1665"/>
    </row>
    <row r="57" spans="1:5" ht="24.75" customHeight="1" thickBot="1" x14ac:dyDescent="0.3">
      <c r="A57" s="5" t="s">
        <v>18</v>
      </c>
      <c r="B57" s="1248" t="s">
        <v>1085</v>
      </c>
      <c r="C57" s="1249"/>
      <c r="D57" s="1249"/>
      <c r="E57" s="1316"/>
    </row>
    <row r="58" spans="1:5" ht="24.75" customHeight="1" thickBot="1" x14ac:dyDescent="0.3">
      <c r="A58" s="5" t="s">
        <v>19</v>
      </c>
      <c r="B58" s="10">
        <v>3</v>
      </c>
      <c r="C58" s="10">
        <v>3</v>
      </c>
      <c r="D58" s="10">
        <v>3</v>
      </c>
      <c r="E58" s="10">
        <v>3</v>
      </c>
    </row>
    <row r="59" spans="1:5" x14ac:dyDescent="0.25">
      <c r="A59" s="1250"/>
      <c r="B59" s="8">
        <v>2018</v>
      </c>
      <c r="C59" s="8">
        <v>2019</v>
      </c>
      <c r="D59" s="8">
        <v>2020</v>
      </c>
      <c r="E59" s="8">
        <v>2021</v>
      </c>
    </row>
    <row r="60" spans="1:5" ht="15.75" thickBot="1" x14ac:dyDescent="0.3">
      <c r="A60" s="1251"/>
      <c r="B60" s="9" t="s">
        <v>10</v>
      </c>
      <c r="C60" s="9" t="s">
        <v>11</v>
      </c>
      <c r="D60" s="9" t="s">
        <v>11</v>
      </c>
      <c r="E60" s="9" t="s">
        <v>11</v>
      </c>
    </row>
    <row r="61" spans="1:5" ht="24.75" customHeight="1" thickBot="1" x14ac:dyDescent="0.3">
      <c r="A61" s="5" t="s">
        <v>20</v>
      </c>
      <c r="B61" s="10">
        <v>32739</v>
      </c>
      <c r="C61" s="10">
        <v>32739</v>
      </c>
      <c r="D61" s="10">
        <v>32739</v>
      </c>
      <c r="E61" s="10">
        <v>32739</v>
      </c>
    </row>
    <row r="62" spans="1:5" ht="24.75" customHeight="1" thickBot="1" x14ac:dyDescent="0.3">
      <c r="A62" s="5" t="s">
        <v>21</v>
      </c>
      <c r="B62" s="10">
        <f>B61/B58</f>
        <v>10913</v>
      </c>
      <c r="C62" s="10">
        <f>C61/C58</f>
        <v>10913</v>
      </c>
      <c r="D62" s="10">
        <f>D61/D58</f>
        <v>10913</v>
      </c>
      <c r="E62" s="10">
        <f>E61/E58</f>
        <v>10913</v>
      </c>
    </row>
    <row r="63" spans="1:5" ht="24.75" customHeight="1" thickBot="1" x14ac:dyDescent="0.3">
      <c r="A63" s="5" t="s">
        <v>22</v>
      </c>
      <c r="B63" s="225"/>
      <c r="C63" s="11">
        <f>C58/B58-1</f>
        <v>0</v>
      </c>
      <c r="D63" s="11">
        <f>D58/C58-1</f>
        <v>0</v>
      </c>
      <c r="E63" s="11">
        <f>E58/D58-1</f>
        <v>0</v>
      </c>
    </row>
    <row r="64" spans="1:5" ht="24.75" customHeight="1" thickBot="1" x14ac:dyDescent="0.3">
      <c r="A64" s="5" t="s">
        <v>24</v>
      </c>
      <c r="B64" s="225"/>
      <c r="C64" s="11">
        <f t="shared" ref="C64:E65" si="1">C61/B61-1</f>
        <v>0</v>
      </c>
      <c r="D64" s="11">
        <f t="shared" si="1"/>
        <v>0</v>
      </c>
      <c r="E64" s="11">
        <f t="shared" si="1"/>
        <v>0</v>
      </c>
    </row>
    <row r="65" spans="1:5" ht="24.75" customHeight="1" thickBot="1" x14ac:dyDescent="0.3">
      <c r="A65" s="5" t="s">
        <v>25</v>
      </c>
      <c r="B65" s="225"/>
      <c r="C65" s="11">
        <f t="shared" si="1"/>
        <v>0</v>
      </c>
      <c r="D65" s="11">
        <f t="shared" si="1"/>
        <v>0</v>
      </c>
      <c r="E65" s="11">
        <f t="shared" si="1"/>
        <v>0</v>
      </c>
    </row>
    <row r="66" spans="1:5" ht="24.75" customHeight="1" thickBot="1" x14ac:dyDescent="0.3">
      <c r="A66" s="1252" t="s">
        <v>1124</v>
      </c>
      <c r="B66" s="1253"/>
      <c r="C66" s="1253"/>
      <c r="D66" s="1253"/>
      <c r="E66" s="1300"/>
    </row>
    <row r="67" spans="1:5" x14ac:dyDescent="0.25">
      <c r="A67" s="1250"/>
      <c r="B67" s="8">
        <v>2018</v>
      </c>
      <c r="C67" s="8">
        <v>2019</v>
      </c>
      <c r="D67" s="8">
        <v>2020</v>
      </c>
      <c r="E67" s="8">
        <v>2021</v>
      </c>
    </row>
    <row r="68" spans="1:5" ht="15.75" thickBot="1" x14ac:dyDescent="0.3">
      <c r="A68" s="1251"/>
      <c r="B68" s="9" t="s">
        <v>10</v>
      </c>
      <c r="C68" s="9" t="s">
        <v>11</v>
      </c>
      <c r="D68" s="9" t="s">
        <v>11</v>
      </c>
      <c r="E68" s="9" t="s">
        <v>11</v>
      </c>
    </row>
    <row r="69" spans="1:5" ht="24.75" customHeight="1" thickBot="1" x14ac:dyDescent="0.3">
      <c r="A69" s="13" t="s">
        <v>26</v>
      </c>
      <c r="B69" s="14">
        <v>1838</v>
      </c>
      <c r="C69" s="14">
        <v>1838</v>
      </c>
      <c r="D69" s="14">
        <v>1838</v>
      </c>
      <c r="E69" s="14">
        <v>1838</v>
      </c>
    </row>
    <row r="70" spans="1:5" ht="24.75" customHeight="1" thickBot="1" x14ac:dyDescent="0.3">
      <c r="A70" s="13" t="s">
        <v>28</v>
      </c>
      <c r="B70" s="14">
        <v>300</v>
      </c>
      <c r="C70" s="14">
        <v>300</v>
      </c>
      <c r="D70" s="14">
        <v>300</v>
      </c>
      <c r="E70" s="14">
        <v>300</v>
      </c>
    </row>
    <row r="71" spans="1:5" ht="24.75" customHeight="1" thickBot="1" x14ac:dyDescent="0.3">
      <c r="A71" s="13" t="s">
        <v>30</v>
      </c>
      <c r="B71" s="15">
        <v>920</v>
      </c>
      <c r="C71" s="15">
        <v>920</v>
      </c>
      <c r="D71" s="15">
        <v>920</v>
      </c>
      <c r="E71" s="15">
        <v>920</v>
      </c>
    </row>
    <row r="72" spans="1:5" ht="24.75" customHeight="1" thickBot="1" x14ac:dyDescent="0.3">
      <c r="A72" s="13" t="s">
        <v>32</v>
      </c>
      <c r="B72" s="15"/>
      <c r="C72" s="14"/>
      <c r="D72" s="14"/>
      <c r="E72" s="14"/>
    </row>
    <row r="73" spans="1:5" ht="24.75" customHeight="1" thickBot="1" x14ac:dyDescent="0.3">
      <c r="A73" s="13" t="s">
        <v>34</v>
      </c>
      <c r="B73" s="15">
        <v>29681</v>
      </c>
      <c r="C73" s="15">
        <v>29681</v>
      </c>
      <c r="D73" s="15">
        <v>29681</v>
      </c>
      <c r="E73" s="15">
        <v>29681</v>
      </c>
    </row>
    <row r="74" spans="1:5" ht="24.75" customHeight="1" thickBot="1" x14ac:dyDescent="0.3">
      <c r="A74" s="13" t="s">
        <v>36</v>
      </c>
      <c r="B74" s="15"/>
      <c r="C74" s="14"/>
      <c r="D74" s="14"/>
      <c r="E74" s="14"/>
    </row>
    <row r="75" spans="1:5" ht="24.75" customHeight="1" thickBot="1" x14ac:dyDescent="0.3">
      <c r="A75" s="13" t="s">
        <v>38</v>
      </c>
      <c r="B75" s="15"/>
      <c r="C75" s="14"/>
      <c r="D75" s="14"/>
      <c r="E75" s="14"/>
    </row>
    <row r="76" spans="1:5" ht="24.75" customHeight="1" thickBot="1" x14ac:dyDescent="0.3">
      <c r="A76" s="368" t="s">
        <v>43</v>
      </c>
      <c r="B76" s="15">
        <f>B75+B74+B73+B72+B71+B70+B69</f>
        <v>32739</v>
      </c>
      <c r="C76" s="15">
        <f>C75+C74+C73+C72+C71+C70+C69</f>
        <v>32739</v>
      </c>
      <c r="D76" s="15">
        <f>D75+D74+D73+D72+D71+D70+D69</f>
        <v>32739</v>
      </c>
      <c r="E76" s="15">
        <f>E75+E74+E73+E72+E71+E70+E69</f>
        <v>32739</v>
      </c>
    </row>
    <row r="77" spans="1:5" ht="24.75" customHeight="1" thickBot="1" x14ac:dyDescent="0.3">
      <c r="A77" s="17" t="s">
        <v>41</v>
      </c>
      <c r="B77" s="18">
        <f>IF(B76-B61=0,0,"Error")</f>
        <v>0</v>
      </c>
      <c r="C77" s="18">
        <f>IF(C76-C61=0,0,"Error")</f>
        <v>0</v>
      </c>
      <c r="D77" s="18">
        <f>IF(D76-D61=0,0,"Error")</f>
        <v>0</v>
      </c>
      <c r="E77" s="18">
        <f>IF(E76-E61=0,0,"Error")</f>
        <v>0</v>
      </c>
    </row>
    <row r="78" spans="1:5" ht="24.75" customHeight="1" thickBot="1" x14ac:dyDescent="0.3">
      <c r="A78" s="213" t="s">
        <v>1123</v>
      </c>
      <c r="B78" s="1330" t="s">
        <v>1122</v>
      </c>
      <c r="C78" s="1331"/>
      <c r="D78" s="1331"/>
      <c r="E78" s="1332"/>
    </row>
    <row r="79" spans="1:5" ht="37.5" customHeight="1" thickBot="1" x14ac:dyDescent="0.3">
      <c r="A79" s="5" t="s">
        <v>17</v>
      </c>
      <c r="B79" s="1663" t="s">
        <v>1121</v>
      </c>
      <c r="C79" s="1664"/>
      <c r="D79" s="1664"/>
      <c r="E79" s="1665"/>
    </row>
    <row r="80" spans="1:5" ht="24.75" customHeight="1" thickBot="1" x14ac:dyDescent="0.3">
      <c r="A80" s="5" t="s">
        <v>18</v>
      </c>
      <c r="B80" s="1248" t="s">
        <v>1085</v>
      </c>
      <c r="C80" s="1249"/>
      <c r="D80" s="1249"/>
      <c r="E80" s="1316"/>
    </row>
    <row r="81" spans="1:5" ht="24.75" customHeight="1" thickBot="1" x14ac:dyDescent="0.3">
      <c r="A81" s="5" t="s">
        <v>19</v>
      </c>
      <c r="B81" s="10">
        <v>5</v>
      </c>
      <c r="C81" s="10">
        <v>5</v>
      </c>
      <c r="D81" s="10">
        <v>5</v>
      </c>
      <c r="E81" s="10">
        <v>5</v>
      </c>
    </row>
    <row r="82" spans="1:5" x14ac:dyDescent="0.25">
      <c r="A82" s="1250"/>
      <c r="B82" s="8">
        <v>2018</v>
      </c>
      <c r="C82" s="8">
        <v>2019</v>
      </c>
      <c r="D82" s="8">
        <v>2020</v>
      </c>
      <c r="E82" s="8">
        <v>2021</v>
      </c>
    </row>
    <row r="83" spans="1:5" ht="15.75" thickBot="1" x14ac:dyDescent="0.3">
      <c r="A83" s="1251"/>
      <c r="B83" s="9" t="s">
        <v>10</v>
      </c>
      <c r="C83" s="9" t="s">
        <v>11</v>
      </c>
      <c r="D83" s="9" t="s">
        <v>11</v>
      </c>
      <c r="E83" s="9" t="s">
        <v>11</v>
      </c>
    </row>
    <row r="84" spans="1:5" ht="24.75" customHeight="1" thickBot="1" x14ac:dyDescent="0.3">
      <c r="A84" s="5" t="s">
        <v>20</v>
      </c>
      <c r="B84" s="10">
        <v>9931</v>
      </c>
      <c r="C84" s="10">
        <v>9931</v>
      </c>
      <c r="D84" s="10">
        <v>9931</v>
      </c>
      <c r="E84" s="10">
        <v>9931</v>
      </c>
    </row>
    <row r="85" spans="1:5" ht="24.75" customHeight="1" thickBot="1" x14ac:dyDescent="0.3">
      <c r="A85" s="5" t="s">
        <v>21</v>
      </c>
      <c r="B85" s="10">
        <f>B84/B81</f>
        <v>1986.2</v>
      </c>
      <c r="C85" s="10">
        <f>C84/C81</f>
        <v>1986.2</v>
      </c>
      <c r="D85" s="10">
        <f>D84/D81</f>
        <v>1986.2</v>
      </c>
      <c r="E85" s="10">
        <f>E84/E81</f>
        <v>1986.2</v>
      </c>
    </row>
    <row r="86" spans="1:5" ht="24.75" customHeight="1" thickBot="1" x14ac:dyDescent="0.3">
      <c r="A86" s="5" t="s">
        <v>22</v>
      </c>
      <c r="B86" s="225"/>
      <c r="C86" s="11">
        <f>C81/B81-1</f>
        <v>0</v>
      </c>
      <c r="D86" s="11">
        <f>D81/C81-1</f>
        <v>0</v>
      </c>
      <c r="E86" s="11">
        <f>E81/D81-1</f>
        <v>0</v>
      </c>
    </row>
    <row r="87" spans="1:5" ht="24.75" customHeight="1" thickBot="1" x14ac:dyDescent="0.3">
      <c r="A87" s="5" t="s">
        <v>24</v>
      </c>
      <c r="B87" s="225"/>
      <c r="C87" s="11">
        <f t="shared" ref="C87:E88" si="2">C84/B84-1</f>
        <v>0</v>
      </c>
      <c r="D87" s="11">
        <f t="shared" si="2"/>
        <v>0</v>
      </c>
      <c r="E87" s="11">
        <f t="shared" si="2"/>
        <v>0</v>
      </c>
    </row>
    <row r="88" spans="1:5" ht="24.75" customHeight="1" thickBot="1" x14ac:dyDescent="0.3">
      <c r="A88" s="5" t="s">
        <v>25</v>
      </c>
      <c r="B88" s="225"/>
      <c r="C88" s="11">
        <f t="shared" si="2"/>
        <v>0</v>
      </c>
      <c r="D88" s="11">
        <f t="shared" si="2"/>
        <v>0</v>
      </c>
      <c r="E88" s="11">
        <f t="shared" si="2"/>
        <v>0</v>
      </c>
    </row>
    <row r="89" spans="1:5" ht="24.75" customHeight="1" thickBot="1" x14ac:dyDescent="0.3">
      <c r="A89" s="1252" t="s">
        <v>1120</v>
      </c>
      <c r="B89" s="1253"/>
      <c r="C89" s="1253"/>
      <c r="D89" s="1253"/>
      <c r="E89" s="1300"/>
    </row>
    <row r="90" spans="1:5" x14ac:dyDescent="0.25">
      <c r="A90" s="1250"/>
      <c r="B90" s="8">
        <v>2018</v>
      </c>
      <c r="C90" s="8">
        <v>2019</v>
      </c>
      <c r="D90" s="8">
        <v>2020</v>
      </c>
      <c r="E90" s="8">
        <v>2021</v>
      </c>
    </row>
    <row r="91" spans="1:5" ht="15.75" thickBot="1" x14ac:dyDescent="0.3">
      <c r="A91" s="1251"/>
      <c r="B91" s="9" t="s">
        <v>10</v>
      </c>
      <c r="C91" s="9" t="s">
        <v>11</v>
      </c>
      <c r="D91" s="9" t="s">
        <v>11</v>
      </c>
      <c r="E91" s="9" t="s">
        <v>11</v>
      </c>
    </row>
    <row r="92" spans="1:5" ht="24.75" customHeight="1" thickBot="1" x14ac:dyDescent="0.3">
      <c r="A92" s="13" t="s">
        <v>26</v>
      </c>
      <c r="B92" s="14">
        <v>560</v>
      </c>
      <c r="C92" s="14">
        <v>560</v>
      </c>
      <c r="D92" s="14">
        <v>560</v>
      </c>
      <c r="E92" s="14">
        <v>560</v>
      </c>
    </row>
    <row r="93" spans="1:5" ht="24.75" customHeight="1" thickBot="1" x14ac:dyDescent="0.3">
      <c r="A93" s="13" t="s">
        <v>28</v>
      </c>
      <c r="B93" s="14">
        <v>91</v>
      </c>
      <c r="C93" s="14">
        <v>91</v>
      </c>
      <c r="D93" s="14">
        <v>91</v>
      </c>
      <c r="E93" s="14">
        <v>91</v>
      </c>
    </row>
    <row r="94" spans="1:5" ht="24.75" customHeight="1" thickBot="1" x14ac:dyDescent="0.3">
      <c r="A94" s="13" t="s">
        <v>30</v>
      </c>
      <c r="B94" s="15">
        <v>280</v>
      </c>
      <c r="C94" s="15">
        <v>280</v>
      </c>
      <c r="D94" s="15">
        <v>280</v>
      </c>
      <c r="E94" s="15">
        <v>280</v>
      </c>
    </row>
    <row r="95" spans="1:5" ht="24.75" customHeight="1" thickBot="1" x14ac:dyDescent="0.3">
      <c r="A95" s="13" t="s">
        <v>32</v>
      </c>
      <c r="B95" s="15"/>
      <c r="C95" s="14"/>
      <c r="D95" s="14"/>
      <c r="E95" s="14"/>
    </row>
    <row r="96" spans="1:5" ht="24.75" customHeight="1" thickBot="1" x14ac:dyDescent="0.3">
      <c r="A96" s="13" t="s">
        <v>34</v>
      </c>
      <c r="B96" s="15">
        <v>9000</v>
      </c>
      <c r="C96" s="15">
        <v>9000</v>
      </c>
      <c r="D96" s="15">
        <v>9000</v>
      </c>
      <c r="E96" s="15">
        <v>9000</v>
      </c>
    </row>
    <row r="97" spans="1:5" ht="24.75" customHeight="1" thickBot="1" x14ac:dyDescent="0.3">
      <c r="A97" s="13" t="s">
        <v>36</v>
      </c>
      <c r="B97" s="15"/>
      <c r="C97" s="14"/>
      <c r="D97" s="14"/>
      <c r="E97" s="14"/>
    </row>
    <row r="98" spans="1:5" ht="24.75" customHeight="1" thickBot="1" x14ac:dyDescent="0.3">
      <c r="A98" s="13" t="s">
        <v>38</v>
      </c>
      <c r="B98" s="15"/>
      <c r="C98" s="14"/>
      <c r="D98" s="14"/>
      <c r="E98" s="14"/>
    </row>
    <row r="99" spans="1:5" ht="24.75" customHeight="1" thickBot="1" x14ac:dyDescent="0.3">
      <c r="A99" s="368" t="s">
        <v>52</v>
      </c>
      <c r="B99" s="15">
        <f>B98+B97+B96+B95+B94+B93+B92</f>
        <v>9931</v>
      </c>
      <c r="C99" s="15">
        <f>C98+C97+C96+C95+C94+C93+C92</f>
        <v>9931</v>
      </c>
      <c r="D99" s="15">
        <f>D98+D97+D96+D95+D94+D93+D92</f>
        <v>9931</v>
      </c>
      <c r="E99" s="15">
        <f>E98+E97+E96+E95+E94+E93+E92</f>
        <v>9931</v>
      </c>
    </row>
    <row r="100" spans="1:5" ht="24.75" customHeight="1" thickBot="1" x14ac:dyDescent="0.3">
      <c r="A100" s="17" t="s">
        <v>41</v>
      </c>
      <c r="B100" s="18">
        <f>IF(B99-B84=0,0,"Error")</f>
        <v>0</v>
      </c>
      <c r="C100" s="18">
        <f>IF(C99-C84=0,0,"Error")</f>
        <v>0</v>
      </c>
      <c r="D100" s="18">
        <f>IF(D99-D84=0,0,"Error")</f>
        <v>0</v>
      </c>
      <c r="E100" s="18">
        <f>IF(E99-E84=0,0,"Error")</f>
        <v>0</v>
      </c>
    </row>
    <row r="101" spans="1:5" ht="24.75" customHeight="1" thickBot="1" x14ac:dyDescent="0.3">
      <c r="A101" s="213" t="s">
        <v>1119</v>
      </c>
      <c r="B101" s="1330" t="s">
        <v>1118</v>
      </c>
      <c r="C101" s="1331"/>
      <c r="D101" s="1331"/>
      <c r="E101" s="1332"/>
    </row>
    <row r="102" spans="1:5" ht="57" customHeight="1" thickBot="1" x14ac:dyDescent="0.3">
      <c r="A102" s="5" t="s">
        <v>17</v>
      </c>
      <c r="B102" s="1663" t="s">
        <v>1117</v>
      </c>
      <c r="C102" s="1664"/>
      <c r="D102" s="1664"/>
      <c r="E102" s="1665"/>
    </row>
    <row r="103" spans="1:5" ht="24.75" customHeight="1" thickBot="1" x14ac:dyDescent="0.3">
      <c r="A103" s="5" t="s">
        <v>18</v>
      </c>
      <c r="B103" s="1248" t="s">
        <v>1085</v>
      </c>
      <c r="C103" s="1249"/>
      <c r="D103" s="1249"/>
      <c r="E103" s="1316"/>
    </row>
    <row r="104" spans="1:5" ht="24.75" customHeight="1" thickBot="1" x14ac:dyDescent="0.3">
      <c r="A104" s="5" t="s">
        <v>19</v>
      </c>
      <c r="B104" s="10">
        <v>5</v>
      </c>
      <c r="C104" s="10">
        <v>5</v>
      </c>
      <c r="D104" s="10">
        <v>5</v>
      </c>
      <c r="E104" s="10">
        <v>5</v>
      </c>
    </row>
    <row r="105" spans="1:5" x14ac:dyDescent="0.25">
      <c r="A105" s="1250"/>
      <c r="B105" s="8">
        <v>2018</v>
      </c>
      <c r="C105" s="8">
        <v>2019</v>
      </c>
      <c r="D105" s="8">
        <v>2020</v>
      </c>
      <c r="E105" s="8">
        <v>2021</v>
      </c>
    </row>
    <row r="106" spans="1:5" ht="15.75" thickBot="1" x14ac:dyDescent="0.3">
      <c r="A106" s="1251"/>
      <c r="B106" s="9" t="s">
        <v>10</v>
      </c>
      <c r="C106" s="9" t="s">
        <v>11</v>
      </c>
      <c r="D106" s="9" t="s">
        <v>11</v>
      </c>
      <c r="E106" s="9" t="s">
        <v>11</v>
      </c>
    </row>
    <row r="107" spans="1:5" ht="24.75" customHeight="1" thickBot="1" x14ac:dyDescent="0.3">
      <c r="A107" s="5" t="s">
        <v>20</v>
      </c>
      <c r="B107" s="10">
        <v>3717</v>
      </c>
      <c r="C107" s="10">
        <v>3717</v>
      </c>
      <c r="D107" s="10">
        <v>3717</v>
      </c>
      <c r="E107" s="10">
        <v>3717</v>
      </c>
    </row>
    <row r="108" spans="1:5" ht="24.75" customHeight="1" thickBot="1" x14ac:dyDescent="0.3">
      <c r="A108" s="5" t="s">
        <v>21</v>
      </c>
      <c r="B108" s="10">
        <f>B107/B104</f>
        <v>743.4</v>
      </c>
      <c r="C108" s="10">
        <f>C107/C104</f>
        <v>743.4</v>
      </c>
      <c r="D108" s="10">
        <f>D107/D104</f>
        <v>743.4</v>
      </c>
      <c r="E108" s="10">
        <f>E107/E104</f>
        <v>743.4</v>
      </c>
    </row>
    <row r="109" spans="1:5" ht="24.75" customHeight="1" thickBot="1" x14ac:dyDescent="0.3">
      <c r="A109" s="5" t="s">
        <v>22</v>
      </c>
      <c r="B109" s="225"/>
      <c r="C109" s="11">
        <f>C104/B104-1</f>
        <v>0</v>
      </c>
      <c r="D109" s="11">
        <f>D104/C104-1</f>
        <v>0</v>
      </c>
      <c r="E109" s="11">
        <f>E104/D104-1</f>
        <v>0</v>
      </c>
    </row>
    <row r="110" spans="1:5" ht="24.75" customHeight="1" thickBot="1" x14ac:dyDescent="0.3">
      <c r="A110" s="5" t="s">
        <v>24</v>
      </c>
      <c r="B110" s="225"/>
      <c r="C110" s="11">
        <f t="shared" ref="C110:E111" si="3">C107/B107-1</f>
        <v>0</v>
      </c>
      <c r="D110" s="11">
        <f t="shared" si="3"/>
        <v>0</v>
      </c>
      <c r="E110" s="11">
        <f t="shared" si="3"/>
        <v>0</v>
      </c>
    </row>
    <row r="111" spans="1:5" ht="24.75" customHeight="1" thickBot="1" x14ac:dyDescent="0.3">
      <c r="A111" s="5" t="s">
        <v>25</v>
      </c>
      <c r="B111" s="225"/>
      <c r="C111" s="11">
        <f t="shared" si="3"/>
        <v>0</v>
      </c>
      <c r="D111" s="11">
        <f t="shared" si="3"/>
        <v>0</v>
      </c>
      <c r="E111" s="11">
        <f t="shared" si="3"/>
        <v>0</v>
      </c>
    </row>
    <row r="112" spans="1:5" ht="24.75" customHeight="1" thickBot="1" x14ac:dyDescent="0.3">
      <c r="A112" s="1252" t="s">
        <v>1116</v>
      </c>
      <c r="B112" s="1253"/>
      <c r="C112" s="1253"/>
      <c r="D112" s="1253"/>
      <c r="E112" s="1300"/>
    </row>
    <row r="113" spans="1:5" x14ac:dyDescent="0.25">
      <c r="A113" s="1250"/>
      <c r="B113" s="8">
        <v>2018</v>
      </c>
      <c r="C113" s="8">
        <v>2019</v>
      </c>
      <c r="D113" s="8">
        <v>2020</v>
      </c>
      <c r="E113" s="8">
        <v>2021</v>
      </c>
    </row>
    <row r="114" spans="1:5" ht="15.75" thickBot="1" x14ac:dyDescent="0.3">
      <c r="A114" s="1251"/>
      <c r="B114" s="9" t="s">
        <v>10</v>
      </c>
      <c r="C114" s="9" t="s">
        <v>11</v>
      </c>
      <c r="D114" s="9" t="s">
        <v>11</v>
      </c>
      <c r="E114" s="9" t="s">
        <v>11</v>
      </c>
    </row>
    <row r="115" spans="1:5" ht="24.75" customHeight="1" thickBot="1" x14ac:dyDescent="0.3">
      <c r="A115" s="13" t="s">
        <v>26</v>
      </c>
      <c r="B115" s="14">
        <v>208</v>
      </c>
      <c r="C115" s="14">
        <v>208</v>
      </c>
      <c r="D115" s="14">
        <v>208</v>
      </c>
      <c r="E115" s="14">
        <v>208</v>
      </c>
    </row>
    <row r="116" spans="1:5" ht="24.75" customHeight="1" thickBot="1" x14ac:dyDescent="0.3">
      <c r="A116" s="13" t="s">
        <v>28</v>
      </c>
      <c r="B116" s="14">
        <v>34</v>
      </c>
      <c r="C116" s="14">
        <v>34</v>
      </c>
      <c r="D116" s="14">
        <v>34</v>
      </c>
      <c r="E116" s="14">
        <v>34</v>
      </c>
    </row>
    <row r="117" spans="1:5" ht="24.75" customHeight="1" thickBot="1" x14ac:dyDescent="0.3">
      <c r="A117" s="13" t="s">
        <v>30</v>
      </c>
      <c r="B117" s="15">
        <v>103</v>
      </c>
      <c r="C117" s="15">
        <v>103</v>
      </c>
      <c r="D117" s="15">
        <v>103</v>
      </c>
      <c r="E117" s="15">
        <v>103</v>
      </c>
    </row>
    <row r="118" spans="1:5" ht="24.75" customHeight="1" thickBot="1" x14ac:dyDescent="0.3">
      <c r="A118" s="13" t="s">
        <v>32</v>
      </c>
      <c r="B118" s="15"/>
      <c r="C118" s="14"/>
      <c r="D118" s="14"/>
      <c r="E118" s="14"/>
    </row>
    <row r="119" spans="1:5" ht="24.75" customHeight="1" thickBot="1" x14ac:dyDescent="0.3">
      <c r="A119" s="13" t="s">
        <v>34</v>
      </c>
      <c r="B119" s="15">
        <v>3372</v>
      </c>
      <c r="C119" s="15">
        <v>3372</v>
      </c>
      <c r="D119" s="15">
        <v>3372</v>
      </c>
      <c r="E119" s="15">
        <v>3372</v>
      </c>
    </row>
    <row r="120" spans="1:5" ht="24.75" customHeight="1" thickBot="1" x14ac:dyDescent="0.3">
      <c r="A120" s="13" t="s">
        <v>36</v>
      </c>
      <c r="B120" s="15"/>
      <c r="C120" s="14"/>
      <c r="D120" s="14"/>
      <c r="E120" s="14"/>
    </row>
    <row r="121" spans="1:5" ht="24.75" customHeight="1" thickBot="1" x14ac:dyDescent="0.3">
      <c r="A121" s="13" t="s">
        <v>38</v>
      </c>
      <c r="B121" s="15"/>
      <c r="C121" s="14"/>
      <c r="D121" s="14"/>
      <c r="E121" s="14"/>
    </row>
    <row r="122" spans="1:5" ht="24.75" customHeight="1" thickBot="1" x14ac:dyDescent="0.3">
      <c r="A122" s="368" t="s">
        <v>54</v>
      </c>
      <c r="B122" s="15">
        <f>B121+B120+B119+B118+B117+B116+B115</f>
        <v>3717</v>
      </c>
      <c r="C122" s="15">
        <f>C121+C120+C119+C118+C117+C116+C115</f>
        <v>3717</v>
      </c>
      <c r="D122" s="15">
        <f>D121+D120+D119+D118+D117+D116+D115</f>
        <v>3717</v>
      </c>
      <c r="E122" s="15">
        <f>E121+E120+E119+E118+E117+E116+E115</f>
        <v>3717</v>
      </c>
    </row>
    <row r="123" spans="1:5" ht="24.75" customHeight="1" thickBot="1" x14ac:dyDescent="0.3">
      <c r="A123" s="17" t="s">
        <v>41</v>
      </c>
      <c r="B123" s="18">
        <f>IF(B122-B107=0,0,"Error")</f>
        <v>0</v>
      </c>
      <c r="C123" s="18">
        <f>IF(C122-C107=0,0,"Error")</f>
        <v>0</v>
      </c>
      <c r="D123" s="18">
        <f>IF(D122-D107=0,0,"Error")</f>
        <v>0</v>
      </c>
      <c r="E123" s="18">
        <f>IF(E122-E107=0,0,"Error")</f>
        <v>0</v>
      </c>
    </row>
    <row r="124" spans="1:5" ht="24.75" customHeight="1" thickBot="1" x14ac:dyDescent="0.3">
      <c r="A124" s="213" t="s">
        <v>1115</v>
      </c>
      <c r="B124" s="1330" t="s">
        <v>1114</v>
      </c>
      <c r="C124" s="1331"/>
      <c r="D124" s="1331"/>
      <c r="E124" s="1332"/>
    </row>
    <row r="125" spans="1:5" ht="56.25" customHeight="1" thickBot="1" x14ac:dyDescent="0.3">
      <c r="A125" s="5" t="s">
        <v>17</v>
      </c>
      <c r="B125" s="1663" t="s">
        <v>1113</v>
      </c>
      <c r="C125" s="1664"/>
      <c r="D125" s="1664"/>
      <c r="E125" s="1665"/>
    </row>
    <row r="126" spans="1:5" ht="24.75" customHeight="1" thickBot="1" x14ac:dyDescent="0.3">
      <c r="A126" s="5" t="s">
        <v>18</v>
      </c>
      <c r="B126" s="1248" t="s">
        <v>1085</v>
      </c>
      <c r="C126" s="1249"/>
      <c r="D126" s="1249"/>
      <c r="E126" s="1316"/>
    </row>
    <row r="127" spans="1:5" ht="24.75" customHeight="1" thickBot="1" x14ac:dyDescent="0.3">
      <c r="A127" s="5" t="s">
        <v>19</v>
      </c>
      <c r="B127" s="10">
        <v>2</v>
      </c>
      <c r="C127" s="10">
        <v>2</v>
      </c>
      <c r="D127" s="10">
        <v>2</v>
      </c>
      <c r="E127" s="10">
        <v>2</v>
      </c>
    </row>
    <row r="128" spans="1:5" x14ac:dyDescent="0.25">
      <c r="A128" s="1250"/>
      <c r="B128" s="8">
        <v>2018</v>
      </c>
      <c r="C128" s="8">
        <v>2019</v>
      </c>
      <c r="D128" s="8">
        <v>2020</v>
      </c>
      <c r="E128" s="8">
        <v>2021</v>
      </c>
    </row>
    <row r="129" spans="1:5" ht="15.75" thickBot="1" x14ac:dyDescent="0.3">
      <c r="A129" s="1251"/>
      <c r="B129" s="9" t="s">
        <v>10</v>
      </c>
      <c r="C129" s="9" t="s">
        <v>11</v>
      </c>
      <c r="D129" s="9" t="s">
        <v>11</v>
      </c>
      <c r="E129" s="9" t="s">
        <v>11</v>
      </c>
    </row>
    <row r="130" spans="1:5" ht="24.75" customHeight="1" thickBot="1" x14ac:dyDescent="0.3">
      <c r="A130" s="5" t="s">
        <v>20</v>
      </c>
      <c r="B130" s="10">
        <v>552</v>
      </c>
      <c r="C130" s="10">
        <v>552</v>
      </c>
      <c r="D130" s="10">
        <v>552</v>
      </c>
      <c r="E130" s="10">
        <v>552</v>
      </c>
    </row>
    <row r="131" spans="1:5" ht="24.75" customHeight="1" thickBot="1" x14ac:dyDescent="0.3">
      <c r="A131" s="5" t="s">
        <v>21</v>
      </c>
      <c r="B131" s="10">
        <f>B130/B127</f>
        <v>276</v>
      </c>
      <c r="C131" s="10">
        <f>C130/C127</f>
        <v>276</v>
      </c>
      <c r="D131" s="10">
        <f>D130/D127</f>
        <v>276</v>
      </c>
      <c r="E131" s="10">
        <f>E130/E127</f>
        <v>276</v>
      </c>
    </row>
    <row r="132" spans="1:5" ht="24.75" customHeight="1" thickBot="1" x14ac:dyDescent="0.3">
      <c r="A132" s="5" t="s">
        <v>22</v>
      </c>
      <c r="B132" s="225"/>
      <c r="C132" s="11">
        <f>C127/B127-1</f>
        <v>0</v>
      </c>
      <c r="D132" s="11">
        <f>D127/C127-1</f>
        <v>0</v>
      </c>
      <c r="E132" s="11">
        <f>E127/D127-1</f>
        <v>0</v>
      </c>
    </row>
    <row r="133" spans="1:5" ht="24.75" customHeight="1" thickBot="1" x14ac:dyDescent="0.3">
      <c r="A133" s="5" t="s">
        <v>24</v>
      </c>
      <c r="B133" s="225"/>
      <c r="C133" s="11">
        <f t="shared" ref="C133:E134" si="4">C130/B130-1</f>
        <v>0</v>
      </c>
      <c r="D133" s="11">
        <f t="shared" si="4"/>
        <v>0</v>
      </c>
      <c r="E133" s="11">
        <f t="shared" si="4"/>
        <v>0</v>
      </c>
    </row>
    <row r="134" spans="1:5" ht="24.75" customHeight="1" thickBot="1" x14ac:dyDescent="0.3">
      <c r="A134" s="5" t="s">
        <v>25</v>
      </c>
      <c r="B134" s="225"/>
      <c r="C134" s="11">
        <f t="shared" si="4"/>
        <v>0</v>
      </c>
      <c r="D134" s="11">
        <f t="shared" si="4"/>
        <v>0</v>
      </c>
      <c r="E134" s="11">
        <f t="shared" si="4"/>
        <v>0</v>
      </c>
    </row>
    <row r="135" spans="1:5" ht="24.75" customHeight="1" thickBot="1" x14ac:dyDescent="0.3">
      <c r="A135" s="1252" t="s">
        <v>1112</v>
      </c>
      <c r="B135" s="1253"/>
      <c r="C135" s="1253"/>
      <c r="D135" s="1253"/>
      <c r="E135" s="1300"/>
    </row>
    <row r="136" spans="1:5" x14ac:dyDescent="0.25">
      <c r="A136" s="1250"/>
      <c r="B136" s="8">
        <v>2018</v>
      </c>
      <c r="C136" s="8">
        <v>2019</v>
      </c>
      <c r="D136" s="8">
        <v>2020</v>
      </c>
      <c r="E136" s="8">
        <v>2021</v>
      </c>
    </row>
    <row r="137" spans="1:5" ht="15.75" thickBot="1" x14ac:dyDescent="0.3">
      <c r="A137" s="1251"/>
      <c r="B137" s="9" t="s">
        <v>10</v>
      </c>
      <c r="C137" s="9" t="s">
        <v>11</v>
      </c>
      <c r="D137" s="9" t="s">
        <v>11</v>
      </c>
      <c r="E137" s="9" t="s">
        <v>11</v>
      </c>
    </row>
    <row r="138" spans="1:5" ht="24.75" customHeight="1" thickBot="1" x14ac:dyDescent="0.3">
      <c r="A138" s="13" t="s">
        <v>26</v>
      </c>
      <c r="B138" s="14">
        <v>31</v>
      </c>
      <c r="C138" s="14">
        <v>31</v>
      </c>
      <c r="D138" s="14">
        <v>31</v>
      </c>
      <c r="E138" s="14">
        <v>31</v>
      </c>
    </row>
    <row r="139" spans="1:5" ht="24.75" customHeight="1" thickBot="1" x14ac:dyDescent="0.3">
      <c r="A139" s="13" t="s">
        <v>28</v>
      </c>
      <c r="B139" s="14">
        <v>5</v>
      </c>
      <c r="C139" s="14">
        <v>5</v>
      </c>
      <c r="D139" s="14">
        <v>5</v>
      </c>
      <c r="E139" s="14">
        <v>5</v>
      </c>
    </row>
    <row r="140" spans="1:5" ht="24.75" customHeight="1" thickBot="1" x14ac:dyDescent="0.3">
      <c r="A140" s="13" t="s">
        <v>30</v>
      </c>
      <c r="B140" s="15">
        <v>16</v>
      </c>
      <c r="C140" s="15">
        <v>16</v>
      </c>
      <c r="D140" s="15">
        <v>16</v>
      </c>
      <c r="E140" s="15">
        <v>16</v>
      </c>
    </row>
    <row r="141" spans="1:5" ht="24.75" customHeight="1" thickBot="1" x14ac:dyDescent="0.3">
      <c r="A141" s="13" t="s">
        <v>32</v>
      </c>
      <c r="B141" s="15"/>
      <c r="C141" s="14"/>
      <c r="D141" s="14"/>
      <c r="E141" s="14"/>
    </row>
    <row r="142" spans="1:5" ht="24.75" customHeight="1" thickBot="1" x14ac:dyDescent="0.3">
      <c r="A142" s="13" t="s">
        <v>34</v>
      </c>
      <c r="B142" s="15">
        <v>500</v>
      </c>
      <c r="C142" s="15">
        <v>500</v>
      </c>
      <c r="D142" s="15">
        <v>500</v>
      </c>
      <c r="E142" s="15">
        <v>500</v>
      </c>
    </row>
    <row r="143" spans="1:5" ht="24.75" customHeight="1" thickBot="1" x14ac:dyDescent="0.3">
      <c r="A143" s="13" t="s">
        <v>36</v>
      </c>
      <c r="B143" s="15"/>
      <c r="C143" s="14"/>
      <c r="D143" s="14"/>
      <c r="E143" s="14"/>
    </row>
    <row r="144" spans="1:5" ht="24.75" customHeight="1" thickBot="1" x14ac:dyDescent="0.3">
      <c r="A144" s="13" t="s">
        <v>38</v>
      </c>
      <c r="B144" s="15"/>
      <c r="C144" s="14"/>
      <c r="D144" s="14"/>
      <c r="E144" s="14"/>
    </row>
    <row r="145" spans="1:5" ht="24.75" customHeight="1" thickBot="1" x14ac:dyDescent="0.3">
      <c r="A145" s="368" t="s">
        <v>117</v>
      </c>
      <c r="B145" s="15">
        <f>B144+B143+B142+B141+B140+B139+B138</f>
        <v>552</v>
      </c>
      <c r="C145" s="15">
        <f>C144+C143+C142+C141+C140+C139+C138</f>
        <v>552</v>
      </c>
      <c r="D145" s="15">
        <f>D144+D143+D142+D141+D140+D139+D138</f>
        <v>552</v>
      </c>
      <c r="E145" s="15">
        <f>E144+E143+E142+E141+E140+E139+E138</f>
        <v>552</v>
      </c>
    </row>
    <row r="146" spans="1:5" ht="24.75" customHeight="1" thickBot="1" x14ac:dyDescent="0.3">
      <c r="A146" s="17" t="s">
        <v>41</v>
      </c>
      <c r="B146" s="18">
        <f>IF(B145-B130=0,0,"Error")</f>
        <v>0</v>
      </c>
      <c r="C146" s="18">
        <f>IF(C145-C130=0,0,"Error")</f>
        <v>0</v>
      </c>
      <c r="D146" s="18">
        <f>IF(D145-D130=0,0,"Error")</f>
        <v>0</v>
      </c>
      <c r="E146" s="18">
        <f>IF(E145-E130=0,0,"Error")</f>
        <v>0</v>
      </c>
    </row>
    <row r="147" spans="1:5" ht="24.75" customHeight="1" thickBot="1" x14ac:dyDescent="0.3">
      <c r="A147" s="213" t="s">
        <v>1111</v>
      </c>
      <c r="B147" s="372" t="s">
        <v>1110</v>
      </c>
      <c r="C147" s="372"/>
      <c r="D147" s="372"/>
      <c r="E147" s="224"/>
    </row>
    <row r="148" spans="1:5" ht="77.25" customHeight="1" thickBot="1" x14ac:dyDescent="0.3">
      <c r="A148" s="5" t="s">
        <v>17</v>
      </c>
      <c r="B148" s="1663" t="s">
        <v>1109</v>
      </c>
      <c r="C148" s="1664"/>
      <c r="D148" s="1664"/>
      <c r="E148" s="1665"/>
    </row>
    <row r="149" spans="1:5" ht="24.75" customHeight="1" thickBot="1" x14ac:dyDescent="0.3">
      <c r="A149" s="5" t="s">
        <v>18</v>
      </c>
      <c r="B149" s="1248" t="s">
        <v>1085</v>
      </c>
      <c r="C149" s="1249"/>
      <c r="D149" s="1249"/>
      <c r="E149" s="1316"/>
    </row>
    <row r="150" spans="1:5" ht="24.75" customHeight="1" thickBot="1" x14ac:dyDescent="0.3">
      <c r="A150" s="5" t="s">
        <v>19</v>
      </c>
      <c r="B150" s="10">
        <v>5</v>
      </c>
      <c r="C150" s="10">
        <v>5</v>
      </c>
      <c r="D150" s="10">
        <v>5</v>
      </c>
      <c r="E150" s="10">
        <v>5</v>
      </c>
    </row>
    <row r="151" spans="1:5" x14ac:dyDescent="0.25">
      <c r="A151" s="1250"/>
      <c r="B151" s="8">
        <v>2018</v>
      </c>
      <c r="C151" s="8">
        <v>2019</v>
      </c>
      <c r="D151" s="8">
        <v>2020</v>
      </c>
      <c r="E151" s="8">
        <v>2021</v>
      </c>
    </row>
    <row r="152" spans="1:5" ht="15.75" thickBot="1" x14ac:dyDescent="0.3">
      <c r="A152" s="1251"/>
      <c r="B152" s="9" t="s">
        <v>10</v>
      </c>
      <c r="C152" s="9" t="s">
        <v>11</v>
      </c>
      <c r="D152" s="9" t="s">
        <v>11</v>
      </c>
      <c r="E152" s="9" t="s">
        <v>11</v>
      </c>
    </row>
    <row r="153" spans="1:5" ht="24.75" customHeight="1" thickBot="1" x14ac:dyDescent="0.3">
      <c r="A153" s="5" t="s">
        <v>20</v>
      </c>
      <c r="B153" s="10">
        <v>14900</v>
      </c>
      <c r="C153" s="10">
        <v>14900</v>
      </c>
      <c r="D153" s="10">
        <v>14900</v>
      </c>
      <c r="E153" s="10">
        <v>14900</v>
      </c>
    </row>
    <row r="154" spans="1:5" ht="24.75" customHeight="1" thickBot="1" x14ac:dyDescent="0.3">
      <c r="A154" s="5" t="s">
        <v>21</v>
      </c>
      <c r="B154" s="10">
        <f>B153/B150</f>
        <v>2980</v>
      </c>
      <c r="C154" s="10">
        <f>C153/C150</f>
        <v>2980</v>
      </c>
      <c r="D154" s="10">
        <f>D153/D150</f>
        <v>2980</v>
      </c>
      <c r="E154" s="10">
        <f>E153/E150</f>
        <v>2980</v>
      </c>
    </row>
    <row r="155" spans="1:5" ht="24.75" customHeight="1" thickBot="1" x14ac:dyDescent="0.3">
      <c r="A155" s="5" t="s">
        <v>22</v>
      </c>
      <c r="B155" s="225"/>
      <c r="C155" s="11">
        <f>C150/B150-1</f>
        <v>0</v>
      </c>
      <c r="D155" s="11">
        <f>D150/C150-1</f>
        <v>0</v>
      </c>
      <c r="E155" s="11">
        <f>E150/D150-1</f>
        <v>0</v>
      </c>
    </row>
    <row r="156" spans="1:5" ht="24.75" customHeight="1" thickBot="1" x14ac:dyDescent="0.3">
      <c r="A156" s="5" t="s">
        <v>24</v>
      </c>
      <c r="B156" s="225"/>
      <c r="C156" s="11">
        <f t="shared" ref="C156:E157" si="5">C153/B153-1</f>
        <v>0</v>
      </c>
      <c r="D156" s="11">
        <f t="shared" si="5"/>
        <v>0</v>
      </c>
      <c r="E156" s="11">
        <f t="shared" si="5"/>
        <v>0</v>
      </c>
    </row>
    <row r="157" spans="1:5" ht="24.75" customHeight="1" thickBot="1" x14ac:dyDescent="0.3">
      <c r="A157" s="5" t="s">
        <v>25</v>
      </c>
      <c r="B157" s="225"/>
      <c r="C157" s="11">
        <f t="shared" si="5"/>
        <v>0</v>
      </c>
      <c r="D157" s="11">
        <f t="shared" si="5"/>
        <v>0</v>
      </c>
      <c r="E157" s="11">
        <f t="shared" si="5"/>
        <v>0</v>
      </c>
    </row>
    <row r="158" spans="1:5" ht="24.75" customHeight="1" thickBot="1" x14ac:dyDescent="0.3">
      <c r="A158" s="1252" t="s">
        <v>1108</v>
      </c>
      <c r="B158" s="1253"/>
      <c r="C158" s="1253"/>
      <c r="D158" s="1253"/>
      <c r="E158" s="1300"/>
    </row>
    <row r="159" spans="1:5" x14ac:dyDescent="0.25">
      <c r="A159" s="1250"/>
      <c r="B159" s="8">
        <v>2018</v>
      </c>
      <c r="C159" s="8">
        <v>2019</v>
      </c>
      <c r="D159" s="8">
        <v>2020</v>
      </c>
      <c r="E159" s="8">
        <v>2021</v>
      </c>
    </row>
    <row r="160" spans="1:5" ht="15.75" thickBot="1" x14ac:dyDescent="0.3">
      <c r="A160" s="1251"/>
      <c r="B160" s="9" t="s">
        <v>10</v>
      </c>
      <c r="C160" s="9" t="s">
        <v>11</v>
      </c>
      <c r="D160" s="9" t="s">
        <v>11</v>
      </c>
      <c r="E160" s="9" t="s">
        <v>11</v>
      </c>
    </row>
    <row r="161" spans="1:5" ht="24.75" customHeight="1" thickBot="1" x14ac:dyDescent="0.3">
      <c r="A161" s="13" t="s">
        <v>26</v>
      </c>
      <c r="B161" s="14">
        <v>799</v>
      </c>
      <c r="C161" s="14">
        <v>799</v>
      </c>
      <c r="D161" s="14">
        <v>799</v>
      </c>
      <c r="E161" s="14">
        <v>799</v>
      </c>
    </row>
    <row r="162" spans="1:5" ht="24.75" customHeight="1" thickBot="1" x14ac:dyDescent="0.3">
      <c r="A162" s="13" t="s">
        <v>28</v>
      </c>
      <c r="B162" s="14">
        <v>131</v>
      </c>
      <c r="C162" s="14">
        <v>131</v>
      </c>
      <c r="D162" s="14">
        <v>131</v>
      </c>
      <c r="E162" s="14">
        <v>131</v>
      </c>
    </row>
    <row r="163" spans="1:5" ht="24.75" customHeight="1" thickBot="1" x14ac:dyDescent="0.3">
      <c r="A163" s="13" t="s">
        <v>30</v>
      </c>
      <c r="B163" s="15">
        <v>400</v>
      </c>
      <c r="C163" s="15">
        <v>400</v>
      </c>
      <c r="D163" s="15">
        <v>400</v>
      </c>
      <c r="E163" s="15">
        <v>400</v>
      </c>
    </row>
    <row r="164" spans="1:5" ht="24.75" customHeight="1" thickBot="1" x14ac:dyDescent="0.3">
      <c r="A164" s="13" t="s">
        <v>32</v>
      </c>
      <c r="B164" s="15"/>
      <c r="C164" s="14"/>
      <c r="D164" s="14"/>
      <c r="E164" s="14"/>
    </row>
    <row r="165" spans="1:5" ht="24.75" customHeight="1" thickBot="1" x14ac:dyDescent="0.3">
      <c r="A165" s="13" t="s">
        <v>34</v>
      </c>
      <c r="B165" s="15">
        <v>13570</v>
      </c>
      <c r="C165" s="15">
        <v>13570</v>
      </c>
      <c r="D165" s="15">
        <v>13570</v>
      </c>
      <c r="E165" s="15">
        <v>13570</v>
      </c>
    </row>
    <row r="166" spans="1:5" ht="24.75" customHeight="1" thickBot="1" x14ac:dyDescent="0.3">
      <c r="A166" s="13" t="s">
        <v>36</v>
      </c>
      <c r="B166" s="15"/>
      <c r="C166" s="14"/>
      <c r="D166" s="14"/>
      <c r="E166" s="14"/>
    </row>
    <row r="167" spans="1:5" ht="24.75" customHeight="1" thickBot="1" x14ac:dyDescent="0.3">
      <c r="A167" s="13" t="s">
        <v>38</v>
      </c>
      <c r="B167" s="15"/>
      <c r="C167" s="14"/>
      <c r="D167" s="14"/>
      <c r="E167" s="14"/>
    </row>
    <row r="168" spans="1:5" ht="24.75" customHeight="1" thickBot="1" x14ac:dyDescent="0.3">
      <c r="A168" s="368" t="s">
        <v>625</v>
      </c>
      <c r="B168" s="15">
        <f>B167+B166+B165+B164+B163+B162+B161</f>
        <v>14900</v>
      </c>
      <c r="C168" s="15">
        <f>C167+C166+C165+C164+C163+C162+C161</f>
        <v>14900</v>
      </c>
      <c r="D168" s="15">
        <f>D167+D166+D165+D164+D163+D162+D161</f>
        <v>14900</v>
      </c>
      <c r="E168" s="15">
        <f>E167+E166+E165+E164+E163+E162+E161</f>
        <v>14900</v>
      </c>
    </row>
    <row r="169" spans="1:5" ht="24.75" customHeight="1" thickBot="1" x14ac:dyDescent="0.3">
      <c r="A169" s="17" t="s">
        <v>41</v>
      </c>
      <c r="B169" s="18">
        <f>IF(B168-B153=0,0,"Error")</f>
        <v>0</v>
      </c>
      <c r="C169" s="18">
        <f>IF(C168-C153=0,0,"Error")</f>
        <v>0</v>
      </c>
      <c r="D169" s="18">
        <f>IF(D168-D153=0,0,"Error")</f>
        <v>0</v>
      </c>
      <c r="E169" s="18">
        <f>IF(E168-E153=0,0,"Error")</f>
        <v>0</v>
      </c>
    </row>
    <row r="170" spans="1:5" ht="24.75" customHeight="1" thickBot="1" x14ac:dyDescent="0.3">
      <c r="A170" s="213" t="s">
        <v>1107</v>
      </c>
      <c r="B170" s="1243" t="s">
        <v>1106</v>
      </c>
      <c r="C170" s="1244"/>
      <c r="D170" s="1244"/>
      <c r="E170" s="1315"/>
    </row>
    <row r="171" spans="1:5" ht="24.75" customHeight="1" thickBot="1" x14ac:dyDescent="0.3">
      <c r="A171" s="5" t="s">
        <v>17</v>
      </c>
      <c r="B171" s="1245" t="s">
        <v>1105</v>
      </c>
      <c r="C171" s="1246"/>
      <c r="D171" s="1246"/>
      <c r="E171" s="1298"/>
    </row>
    <row r="172" spans="1:5" ht="47.25" customHeight="1" thickBot="1" x14ac:dyDescent="0.3">
      <c r="A172" s="5" t="s">
        <v>18</v>
      </c>
      <c r="B172" s="1663" t="s">
        <v>1104</v>
      </c>
      <c r="C172" s="1664"/>
      <c r="D172" s="1664"/>
      <c r="E172" s="1665"/>
    </row>
    <row r="173" spans="1:5" ht="24.75" customHeight="1" thickBot="1" x14ac:dyDescent="0.3">
      <c r="A173" s="5" t="s">
        <v>19</v>
      </c>
      <c r="B173" s="10">
        <v>7</v>
      </c>
      <c r="C173" s="10">
        <v>7</v>
      </c>
      <c r="D173" s="10">
        <v>7</v>
      </c>
      <c r="E173" s="10">
        <v>7</v>
      </c>
    </row>
    <row r="174" spans="1:5" x14ac:dyDescent="0.25">
      <c r="A174" s="1250"/>
      <c r="B174" s="8">
        <v>2018</v>
      </c>
      <c r="C174" s="8">
        <v>2019</v>
      </c>
      <c r="D174" s="8">
        <v>2020</v>
      </c>
      <c r="E174" s="8">
        <v>2021</v>
      </c>
    </row>
    <row r="175" spans="1:5" ht="15.75" thickBot="1" x14ac:dyDescent="0.3">
      <c r="A175" s="1251"/>
      <c r="B175" s="9" t="s">
        <v>10</v>
      </c>
      <c r="C175" s="9" t="s">
        <v>11</v>
      </c>
      <c r="D175" s="9" t="s">
        <v>11</v>
      </c>
      <c r="E175" s="9" t="s">
        <v>11</v>
      </c>
    </row>
    <row r="176" spans="1:5" ht="24.75" customHeight="1" thickBot="1" x14ac:dyDescent="0.3">
      <c r="A176" s="5" t="s">
        <v>20</v>
      </c>
      <c r="B176" s="10">
        <v>5363</v>
      </c>
      <c r="C176" s="10">
        <v>5363</v>
      </c>
      <c r="D176" s="10">
        <v>5363</v>
      </c>
      <c r="E176" s="10">
        <v>5363</v>
      </c>
    </row>
    <row r="177" spans="1:5" ht="24.75" customHeight="1" thickBot="1" x14ac:dyDescent="0.3">
      <c r="A177" s="5" t="s">
        <v>21</v>
      </c>
      <c r="B177" s="10">
        <f>B176/B173</f>
        <v>766.14285714285711</v>
      </c>
      <c r="C177" s="10">
        <f>C176/C173</f>
        <v>766.14285714285711</v>
      </c>
      <c r="D177" s="10">
        <f>D176/D173</f>
        <v>766.14285714285711</v>
      </c>
      <c r="E177" s="10">
        <f>E176/E173</f>
        <v>766.14285714285711</v>
      </c>
    </row>
    <row r="178" spans="1:5" ht="24.75" customHeight="1" thickBot="1" x14ac:dyDescent="0.3">
      <c r="A178" s="5" t="s">
        <v>22</v>
      </c>
      <c r="B178" s="225"/>
      <c r="C178" s="11">
        <f>C173/B173-1</f>
        <v>0</v>
      </c>
      <c r="D178" s="11">
        <f>D173/C173-1</f>
        <v>0</v>
      </c>
      <c r="E178" s="11">
        <f>E173/D173-1</f>
        <v>0</v>
      </c>
    </row>
    <row r="179" spans="1:5" ht="24.75" customHeight="1" thickBot="1" x14ac:dyDescent="0.3">
      <c r="A179" s="5" t="s">
        <v>24</v>
      </c>
      <c r="B179" s="225"/>
      <c r="C179" s="11">
        <f t="shared" ref="C179:E180" si="6">C176/B176-1</f>
        <v>0</v>
      </c>
      <c r="D179" s="11">
        <f t="shared" si="6"/>
        <v>0</v>
      </c>
      <c r="E179" s="11">
        <f t="shared" si="6"/>
        <v>0</v>
      </c>
    </row>
    <row r="180" spans="1:5" ht="24.75" customHeight="1" thickBot="1" x14ac:dyDescent="0.3">
      <c r="A180" s="5" t="s">
        <v>25</v>
      </c>
      <c r="B180" s="225"/>
      <c r="C180" s="11">
        <f t="shared" si="6"/>
        <v>0</v>
      </c>
      <c r="D180" s="11">
        <f t="shared" si="6"/>
        <v>0</v>
      </c>
      <c r="E180" s="11">
        <f t="shared" si="6"/>
        <v>0</v>
      </c>
    </row>
    <row r="181" spans="1:5" ht="24.75" customHeight="1" thickBot="1" x14ac:dyDescent="0.3">
      <c r="A181" s="1252" t="s">
        <v>1103</v>
      </c>
      <c r="B181" s="1253"/>
      <c r="C181" s="1253"/>
      <c r="D181" s="1253"/>
      <c r="E181" s="1300"/>
    </row>
    <row r="182" spans="1:5" x14ac:dyDescent="0.25">
      <c r="A182" s="1250"/>
      <c r="B182" s="8">
        <v>2018</v>
      </c>
      <c r="C182" s="8">
        <v>2019</v>
      </c>
      <c r="D182" s="8">
        <v>2020</v>
      </c>
      <c r="E182" s="8">
        <v>2021</v>
      </c>
    </row>
    <row r="183" spans="1:5" ht="15.75" thickBot="1" x14ac:dyDescent="0.3">
      <c r="A183" s="1251"/>
      <c r="B183" s="9" t="s">
        <v>10</v>
      </c>
      <c r="C183" s="9" t="s">
        <v>11</v>
      </c>
      <c r="D183" s="9" t="s">
        <v>11</v>
      </c>
      <c r="E183" s="9" t="s">
        <v>11</v>
      </c>
    </row>
    <row r="184" spans="1:5" ht="24.75" customHeight="1" thickBot="1" x14ac:dyDescent="0.3">
      <c r="A184" s="13" t="s">
        <v>26</v>
      </c>
      <c r="B184" s="14">
        <v>300</v>
      </c>
      <c r="C184" s="14">
        <v>300</v>
      </c>
      <c r="D184" s="14">
        <v>300</v>
      </c>
      <c r="E184" s="14">
        <v>300</v>
      </c>
    </row>
    <row r="185" spans="1:5" ht="24.75" customHeight="1" thickBot="1" x14ac:dyDescent="0.3">
      <c r="A185" s="13" t="s">
        <v>28</v>
      </c>
      <c r="B185" s="14">
        <v>49</v>
      </c>
      <c r="C185" s="14">
        <v>49</v>
      </c>
      <c r="D185" s="14">
        <v>49</v>
      </c>
      <c r="E185" s="14">
        <v>49</v>
      </c>
    </row>
    <row r="186" spans="1:5" ht="24.75" customHeight="1" thickBot="1" x14ac:dyDescent="0.3">
      <c r="A186" s="13" t="s">
        <v>30</v>
      </c>
      <c r="B186" s="15">
        <v>150</v>
      </c>
      <c r="C186" s="15">
        <v>150</v>
      </c>
      <c r="D186" s="15">
        <v>150</v>
      </c>
      <c r="E186" s="15">
        <v>150</v>
      </c>
    </row>
    <row r="187" spans="1:5" ht="24.75" customHeight="1" thickBot="1" x14ac:dyDescent="0.3">
      <c r="A187" s="13" t="s">
        <v>32</v>
      </c>
      <c r="B187" s="15"/>
      <c r="C187" s="14"/>
      <c r="D187" s="14"/>
      <c r="E187" s="14"/>
    </row>
    <row r="188" spans="1:5" ht="24.75" customHeight="1" thickBot="1" x14ac:dyDescent="0.3">
      <c r="A188" s="13" t="s">
        <v>34</v>
      </c>
      <c r="B188" s="15">
        <v>4864</v>
      </c>
      <c r="C188" s="15">
        <v>4864</v>
      </c>
      <c r="D188" s="15">
        <v>4864</v>
      </c>
      <c r="E188" s="15">
        <v>4864</v>
      </c>
    </row>
    <row r="189" spans="1:5" ht="24.75" customHeight="1" thickBot="1" x14ac:dyDescent="0.3">
      <c r="A189" s="13" t="s">
        <v>36</v>
      </c>
      <c r="B189" s="15"/>
      <c r="C189" s="14"/>
      <c r="D189" s="14"/>
      <c r="E189" s="14"/>
    </row>
    <row r="190" spans="1:5" ht="24.75" customHeight="1" thickBot="1" x14ac:dyDescent="0.3">
      <c r="A190" s="13" t="s">
        <v>38</v>
      </c>
      <c r="B190" s="15"/>
      <c r="C190" s="14"/>
      <c r="D190" s="14"/>
      <c r="E190" s="14"/>
    </row>
    <row r="191" spans="1:5" ht="24.75" customHeight="1" thickBot="1" x14ac:dyDescent="0.3">
      <c r="A191" s="368" t="s">
        <v>632</v>
      </c>
      <c r="B191" s="15">
        <f>B190+B189+B188+B187+B186+B185+B184</f>
        <v>5363</v>
      </c>
      <c r="C191" s="15">
        <f>C190+C189+C188+C187+C186+C185+C184</f>
        <v>5363</v>
      </c>
      <c r="D191" s="15">
        <f>D190+D189+D188+D187+D186+D185+D184</f>
        <v>5363</v>
      </c>
      <c r="E191" s="15">
        <f>E190+E189+E188+E187+E186+E185+E184</f>
        <v>5363</v>
      </c>
    </row>
    <row r="192" spans="1:5" ht="24.75" customHeight="1" thickBot="1" x14ac:dyDescent="0.3">
      <c r="A192" s="17" t="s">
        <v>41</v>
      </c>
      <c r="B192" s="18">
        <f>IF(B191-B176=0,0,"Error")</f>
        <v>0</v>
      </c>
      <c r="C192" s="18">
        <f>IF(C191-C176=0,0,"Error")</f>
        <v>0</v>
      </c>
      <c r="D192" s="18">
        <f>IF(D191-D176=0,0,"Error")</f>
        <v>0</v>
      </c>
      <c r="E192" s="18">
        <f>IF(E191-E176=0,0,"Error")</f>
        <v>0</v>
      </c>
    </row>
    <row r="193" spans="1:5" ht="24.75" customHeight="1" thickBot="1" x14ac:dyDescent="0.3">
      <c r="A193" s="213" t="s">
        <v>1102</v>
      </c>
      <c r="B193" s="1243" t="s">
        <v>1101</v>
      </c>
      <c r="C193" s="1244"/>
      <c r="D193" s="1244"/>
      <c r="E193" s="1315"/>
    </row>
    <row r="194" spans="1:5" ht="54.75" customHeight="1" thickBot="1" x14ac:dyDescent="0.3">
      <c r="A194" s="5" t="s">
        <v>17</v>
      </c>
      <c r="B194" s="1663" t="s">
        <v>1100</v>
      </c>
      <c r="C194" s="1664"/>
      <c r="D194" s="1664"/>
      <c r="E194" s="1665"/>
    </row>
    <row r="195" spans="1:5" ht="24.75" customHeight="1" thickBot="1" x14ac:dyDescent="0.3">
      <c r="A195" s="5" t="s">
        <v>18</v>
      </c>
      <c r="B195" s="1248" t="s">
        <v>1085</v>
      </c>
      <c r="C195" s="1249"/>
      <c r="D195" s="1249"/>
      <c r="E195" s="1316"/>
    </row>
    <row r="196" spans="1:5" ht="24.75" customHeight="1" thickBot="1" x14ac:dyDescent="0.3">
      <c r="A196" s="5" t="s">
        <v>19</v>
      </c>
      <c r="B196" s="10">
        <v>5</v>
      </c>
      <c r="C196" s="10">
        <v>6</v>
      </c>
      <c r="D196" s="10">
        <v>6</v>
      </c>
      <c r="E196" s="10">
        <v>6</v>
      </c>
    </row>
    <row r="197" spans="1:5" x14ac:dyDescent="0.25">
      <c r="A197" s="1250"/>
      <c r="B197" s="8">
        <v>2018</v>
      </c>
      <c r="C197" s="8">
        <v>2019</v>
      </c>
      <c r="D197" s="8">
        <v>2020</v>
      </c>
      <c r="E197" s="8">
        <v>2021</v>
      </c>
    </row>
    <row r="198" spans="1:5" ht="15.75" thickBot="1" x14ac:dyDescent="0.3">
      <c r="A198" s="1251"/>
      <c r="B198" s="9" t="s">
        <v>10</v>
      </c>
      <c r="C198" s="9" t="s">
        <v>11</v>
      </c>
      <c r="D198" s="9" t="s">
        <v>11</v>
      </c>
      <c r="E198" s="9" t="s">
        <v>11</v>
      </c>
    </row>
    <row r="199" spans="1:5" ht="24.75" customHeight="1" thickBot="1" x14ac:dyDescent="0.3">
      <c r="A199" s="5" t="s">
        <v>20</v>
      </c>
      <c r="B199" s="10">
        <v>1206</v>
      </c>
      <c r="C199" s="10">
        <v>2206</v>
      </c>
      <c r="D199" s="10">
        <v>2206</v>
      </c>
      <c r="E199" s="10">
        <v>2206</v>
      </c>
    </row>
    <row r="200" spans="1:5" ht="24.75" customHeight="1" thickBot="1" x14ac:dyDescent="0.3">
      <c r="A200" s="5" t="s">
        <v>21</v>
      </c>
      <c r="B200" s="10">
        <v>242</v>
      </c>
      <c r="C200" s="10">
        <v>242</v>
      </c>
      <c r="D200" s="10">
        <v>242</v>
      </c>
      <c r="E200" s="10">
        <v>242</v>
      </c>
    </row>
    <row r="201" spans="1:5" ht="24.75" customHeight="1" thickBot="1" x14ac:dyDescent="0.3">
      <c r="A201" s="5" t="s">
        <v>22</v>
      </c>
      <c r="B201" s="225"/>
      <c r="C201" s="11">
        <f>C196/B196-1</f>
        <v>0.19999999999999996</v>
      </c>
      <c r="D201" s="11">
        <f>D196/C196-1</f>
        <v>0</v>
      </c>
      <c r="E201" s="11">
        <f>E196/D196-1</f>
        <v>0</v>
      </c>
    </row>
    <row r="202" spans="1:5" ht="24.75" customHeight="1" thickBot="1" x14ac:dyDescent="0.3">
      <c r="A202" s="5" t="s">
        <v>24</v>
      </c>
      <c r="B202" s="225"/>
      <c r="C202" s="11">
        <f t="shared" ref="C202:E203" si="7">C199/B199-1</f>
        <v>0.82918739635157546</v>
      </c>
      <c r="D202" s="11">
        <f t="shared" si="7"/>
        <v>0</v>
      </c>
      <c r="E202" s="11">
        <f t="shared" si="7"/>
        <v>0</v>
      </c>
    </row>
    <row r="203" spans="1:5" ht="24.75" customHeight="1" thickBot="1" x14ac:dyDescent="0.3">
      <c r="A203" s="5" t="s">
        <v>25</v>
      </c>
      <c r="B203" s="225"/>
      <c r="C203" s="11">
        <f t="shared" si="7"/>
        <v>0</v>
      </c>
      <c r="D203" s="11">
        <f t="shared" si="7"/>
        <v>0</v>
      </c>
      <c r="E203" s="11">
        <f t="shared" si="7"/>
        <v>0</v>
      </c>
    </row>
    <row r="204" spans="1:5" ht="24.75" customHeight="1" thickBot="1" x14ac:dyDescent="0.3">
      <c r="A204" s="1252" t="s">
        <v>1099</v>
      </c>
      <c r="B204" s="1253"/>
      <c r="C204" s="1253"/>
      <c r="D204" s="1253"/>
      <c r="E204" s="1300"/>
    </row>
    <row r="205" spans="1:5" x14ac:dyDescent="0.25">
      <c r="A205" s="1250"/>
      <c r="B205" s="8">
        <v>2018</v>
      </c>
      <c r="C205" s="8">
        <v>2019</v>
      </c>
      <c r="D205" s="8">
        <v>2020</v>
      </c>
      <c r="E205" s="8">
        <v>2021</v>
      </c>
    </row>
    <row r="206" spans="1:5" ht="15.75" thickBot="1" x14ac:dyDescent="0.3">
      <c r="A206" s="1251"/>
      <c r="B206" s="9" t="s">
        <v>10</v>
      </c>
      <c r="C206" s="9" t="s">
        <v>11</v>
      </c>
      <c r="D206" s="9" t="s">
        <v>11</v>
      </c>
      <c r="E206" s="9" t="s">
        <v>11</v>
      </c>
    </row>
    <row r="207" spans="1:5" ht="24.75" customHeight="1" thickBot="1" x14ac:dyDescent="0.3">
      <c r="A207" s="13" t="s">
        <v>26</v>
      </c>
      <c r="B207" s="14">
        <v>69</v>
      </c>
      <c r="C207" s="14">
        <v>69</v>
      </c>
      <c r="D207" s="14">
        <v>69</v>
      </c>
      <c r="E207" s="371">
        <v>69</v>
      </c>
    </row>
    <row r="208" spans="1:5" ht="24.75" customHeight="1" thickBot="1" x14ac:dyDescent="0.3">
      <c r="A208" s="13" t="s">
        <v>28</v>
      </c>
      <c r="B208" s="14">
        <v>11</v>
      </c>
      <c r="C208" s="14">
        <v>11</v>
      </c>
      <c r="D208" s="370">
        <v>11</v>
      </c>
      <c r="E208" s="369">
        <v>11</v>
      </c>
    </row>
    <row r="209" spans="1:5" ht="24.75" customHeight="1" thickBot="1" x14ac:dyDescent="0.3">
      <c r="A209" s="13" t="s">
        <v>30</v>
      </c>
      <c r="B209" s="15">
        <v>34</v>
      </c>
      <c r="C209" s="15">
        <v>34</v>
      </c>
      <c r="D209" s="15">
        <v>34</v>
      </c>
      <c r="E209" s="15">
        <v>34</v>
      </c>
    </row>
    <row r="210" spans="1:5" ht="24.75" customHeight="1" thickBot="1" x14ac:dyDescent="0.3">
      <c r="A210" s="13" t="s">
        <v>32</v>
      </c>
      <c r="B210" s="15"/>
      <c r="C210" s="14"/>
      <c r="D210" s="14"/>
      <c r="E210" s="14"/>
    </row>
    <row r="211" spans="1:5" ht="24.75" customHeight="1" thickBot="1" x14ac:dyDescent="0.3">
      <c r="A211" s="13" t="s">
        <v>34</v>
      </c>
      <c r="B211" s="15">
        <v>1092</v>
      </c>
      <c r="C211" s="15">
        <v>2092</v>
      </c>
      <c r="D211" s="15">
        <v>2092</v>
      </c>
      <c r="E211" s="15">
        <v>2092</v>
      </c>
    </row>
    <row r="212" spans="1:5" ht="24.75" customHeight="1" thickBot="1" x14ac:dyDescent="0.3">
      <c r="A212" s="13" t="s">
        <v>36</v>
      </c>
      <c r="B212" s="15"/>
      <c r="C212" s="14"/>
      <c r="D212" s="14"/>
      <c r="E212" s="14"/>
    </row>
    <row r="213" spans="1:5" ht="24.75" customHeight="1" thickBot="1" x14ac:dyDescent="0.3">
      <c r="A213" s="13" t="s">
        <v>38</v>
      </c>
      <c r="B213" s="15"/>
      <c r="C213" s="14"/>
      <c r="D213" s="14"/>
      <c r="E213" s="14"/>
    </row>
    <row r="214" spans="1:5" ht="24.75" customHeight="1" thickBot="1" x14ac:dyDescent="0.3">
      <c r="A214" s="368" t="s">
        <v>586</v>
      </c>
      <c r="B214" s="15">
        <f>B213+B212+B211+B210+B209+B208+B207</f>
        <v>1206</v>
      </c>
      <c r="C214" s="15">
        <f>C213+C212+C211+C210+C209+C208+C207</f>
        <v>2206</v>
      </c>
      <c r="D214" s="15">
        <f>D213+D212+D211+D210+D209+D208+D207</f>
        <v>2206</v>
      </c>
      <c r="E214" s="15">
        <f>E213+E212+E211+E210+E209+E208+E207</f>
        <v>2206</v>
      </c>
    </row>
    <row r="215" spans="1:5" ht="24.75" customHeight="1" thickBot="1" x14ac:dyDescent="0.3">
      <c r="A215" s="17" t="s">
        <v>41</v>
      </c>
      <c r="B215" s="18">
        <f>IF(B214-B199=0,0,"Error")</f>
        <v>0</v>
      </c>
      <c r="C215" s="18">
        <f>IF(C214-C199=0,0,"Error")</f>
        <v>0</v>
      </c>
      <c r="D215" s="18">
        <f>IF(D214-D199=0,0,"Error")</f>
        <v>0</v>
      </c>
      <c r="E215" s="18">
        <f>IF(E214-E199=0,0,"Error")</f>
        <v>0</v>
      </c>
    </row>
    <row r="216" spans="1:5" ht="24.75" customHeight="1" thickBot="1" x14ac:dyDescent="0.3">
      <c r="A216" s="213" t="s">
        <v>1098</v>
      </c>
      <c r="B216" s="1243" t="s">
        <v>1097</v>
      </c>
      <c r="C216" s="1244"/>
      <c r="D216" s="1244"/>
      <c r="E216" s="1315"/>
    </row>
    <row r="217" spans="1:5" ht="60.75" customHeight="1" thickBot="1" x14ac:dyDescent="0.3">
      <c r="A217" s="5" t="s">
        <v>17</v>
      </c>
      <c r="B217" s="1663" t="s">
        <v>1096</v>
      </c>
      <c r="C217" s="1664"/>
      <c r="D217" s="1664"/>
      <c r="E217" s="1665"/>
    </row>
    <row r="218" spans="1:5" ht="24.75" customHeight="1" thickBot="1" x14ac:dyDescent="0.3">
      <c r="A218" s="5" t="s">
        <v>18</v>
      </c>
      <c r="B218" s="1248" t="s">
        <v>1085</v>
      </c>
      <c r="C218" s="1249"/>
      <c r="D218" s="1249"/>
      <c r="E218" s="1316"/>
    </row>
    <row r="219" spans="1:5" ht="24.75" customHeight="1" thickBot="1" x14ac:dyDescent="0.3">
      <c r="A219" s="5" t="s">
        <v>19</v>
      </c>
      <c r="B219" s="10">
        <v>7</v>
      </c>
      <c r="C219" s="10">
        <v>7</v>
      </c>
      <c r="D219" s="10">
        <v>7</v>
      </c>
      <c r="E219" s="10">
        <v>7</v>
      </c>
    </row>
    <row r="220" spans="1:5" x14ac:dyDescent="0.25">
      <c r="A220" s="1250"/>
      <c r="B220" s="8">
        <v>2018</v>
      </c>
      <c r="C220" s="8">
        <v>2019</v>
      </c>
      <c r="D220" s="8">
        <v>2020</v>
      </c>
      <c r="E220" s="8">
        <v>2021</v>
      </c>
    </row>
    <row r="221" spans="1:5" ht="15.75" thickBot="1" x14ac:dyDescent="0.3">
      <c r="A221" s="1251"/>
      <c r="B221" s="9" t="s">
        <v>10</v>
      </c>
      <c r="C221" s="9" t="s">
        <v>11</v>
      </c>
      <c r="D221" s="9" t="s">
        <v>11</v>
      </c>
      <c r="E221" s="9" t="s">
        <v>11</v>
      </c>
    </row>
    <row r="222" spans="1:5" ht="24.75" customHeight="1" thickBot="1" x14ac:dyDescent="0.3">
      <c r="A222" s="5" t="s">
        <v>20</v>
      </c>
      <c r="B222" s="10">
        <v>5512</v>
      </c>
      <c r="C222" s="10">
        <v>5512</v>
      </c>
      <c r="D222" s="10">
        <v>5512</v>
      </c>
      <c r="E222" s="10">
        <v>5512</v>
      </c>
    </row>
    <row r="223" spans="1:5" ht="24.75" customHeight="1" thickBot="1" x14ac:dyDescent="0.3">
      <c r="A223" s="5" t="s">
        <v>21</v>
      </c>
      <c r="B223" s="10">
        <f>B222/B219</f>
        <v>787.42857142857144</v>
      </c>
      <c r="C223" s="10">
        <f>C222/C219</f>
        <v>787.42857142857144</v>
      </c>
      <c r="D223" s="10">
        <f>D222/D219</f>
        <v>787.42857142857144</v>
      </c>
      <c r="E223" s="10">
        <f>E222/E219</f>
        <v>787.42857142857144</v>
      </c>
    </row>
    <row r="224" spans="1:5" ht="24.75" customHeight="1" thickBot="1" x14ac:dyDescent="0.3">
      <c r="A224" s="5" t="s">
        <v>22</v>
      </c>
      <c r="B224" s="225"/>
      <c r="C224" s="11">
        <f>C219/B219-1</f>
        <v>0</v>
      </c>
      <c r="D224" s="11">
        <f>D219/C219-1</f>
        <v>0</v>
      </c>
      <c r="E224" s="11">
        <f>E219/D219-1</f>
        <v>0</v>
      </c>
    </row>
    <row r="225" spans="1:5" ht="24.75" customHeight="1" thickBot="1" x14ac:dyDescent="0.3">
      <c r="A225" s="5" t="s">
        <v>24</v>
      </c>
      <c r="B225" s="225"/>
      <c r="C225" s="11">
        <f t="shared" ref="C225:E226" si="8">C222/B222-1</f>
        <v>0</v>
      </c>
      <c r="D225" s="11">
        <f t="shared" si="8"/>
        <v>0</v>
      </c>
      <c r="E225" s="11">
        <f t="shared" si="8"/>
        <v>0</v>
      </c>
    </row>
    <row r="226" spans="1:5" ht="24.75" customHeight="1" thickBot="1" x14ac:dyDescent="0.3">
      <c r="A226" s="5" t="s">
        <v>25</v>
      </c>
      <c r="B226" s="225"/>
      <c r="C226" s="11">
        <f t="shared" si="8"/>
        <v>0</v>
      </c>
      <c r="D226" s="11">
        <f t="shared" si="8"/>
        <v>0</v>
      </c>
      <c r="E226" s="11">
        <f t="shared" si="8"/>
        <v>0</v>
      </c>
    </row>
    <row r="227" spans="1:5" ht="24.75" customHeight="1" thickBot="1" x14ac:dyDescent="0.3">
      <c r="A227" s="1252" t="s">
        <v>1095</v>
      </c>
      <c r="B227" s="1253"/>
      <c r="C227" s="1253"/>
      <c r="D227" s="1253"/>
      <c r="E227" s="1300"/>
    </row>
    <row r="228" spans="1:5" x14ac:dyDescent="0.25">
      <c r="A228" s="1250"/>
      <c r="B228" s="8">
        <v>2018</v>
      </c>
      <c r="C228" s="8">
        <v>2019</v>
      </c>
      <c r="D228" s="8">
        <v>2020</v>
      </c>
      <c r="E228" s="8">
        <v>2021</v>
      </c>
    </row>
    <row r="229" spans="1:5" ht="15.75" thickBot="1" x14ac:dyDescent="0.3">
      <c r="A229" s="1251"/>
      <c r="B229" s="9" t="s">
        <v>10</v>
      </c>
      <c r="C229" s="9" t="s">
        <v>11</v>
      </c>
      <c r="D229" s="9" t="s">
        <v>11</v>
      </c>
      <c r="E229" s="9" t="s">
        <v>11</v>
      </c>
    </row>
    <row r="230" spans="1:5" ht="24.75" customHeight="1" thickBot="1" x14ac:dyDescent="0.3">
      <c r="A230" s="13" t="s">
        <v>26</v>
      </c>
      <c r="B230" s="14">
        <v>308</v>
      </c>
      <c r="C230" s="14">
        <v>308</v>
      </c>
      <c r="D230" s="14">
        <v>308</v>
      </c>
      <c r="E230" s="14">
        <v>308</v>
      </c>
    </row>
    <row r="231" spans="1:5" ht="24.75" customHeight="1" thickBot="1" x14ac:dyDescent="0.3">
      <c r="A231" s="13" t="s">
        <v>28</v>
      </c>
      <c r="B231" s="14">
        <v>50</v>
      </c>
      <c r="C231" s="14">
        <v>50</v>
      </c>
      <c r="D231" s="14">
        <v>50</v>
      </c>
      <c r="E231" s="14">
        <v>50</v>
      </c>
    </row>
    <row r="232" spans="1:5" ht="24.75" customHeight="1" thickBot="1" x14ac:dyDescent="0.3">
      <c r="A232" s="13" t="s">
        <v>30</v>
      </c>
      <c r="B232" s="15">
        <v>154</v>
      </c>
      <c r="C232" s="15">
        <v>154</v>
      </c>
      <c r="D232" s="15">
        <v>154</v>
      </c>
      <c r="E232" s="15">
        <v>154</v>
      </c>
    </row>
    <row r="233" spans="1:5" ht="24.75" customHeight="1" thickBot="1" x14ac:dyDescent="0.3">
      <c r="A233" s="13" t="s">
        <v>32</v>
      </c>
      <c r="B233" s="15"/>
      <c r="C233" s="14"/>
      <c r="D233" s="14"/>
      <c r="E233" s="14"/>
    </row>
    <row r="234" spans="1:5" ht="24.75" customHeight="1" thickBot="1" x14ac:dyDescent="0.3">
      <c r="A234" s="13" t="s">
        <v>34</v>
      </c>
      <c r="B234" s="15">
        <v>5000</v>
      </c>
      <c r="C234" s="15">
        <v>5000</v>
      </c>
      <c r="D234" s="15">
        <v>5000</v>
      </c>
      <c r="E234" s="15">
        <v>5000</v>
      </c>
    </row>
    <row r="235" spans="1:5" ht="24.75" customHeight="1" thickBot="1" x14ac:dyDescent="0.3">
      <c r="A235" s="13" t="s">
        <v>36</v>
      </c>
      <c r="B235" s="15"/>
      <c r="C235" s="14"/>
      <c r="D235" s="14"/>
      <c r="E235" s="14"/>
    </row>
    <row r="236" spans="1:5" ht="24.75" customHeight="1" thickBot="1" x14ac:dyDescent="0.3">
      <c r="A236" s="13" t="s">
        <v>38</v>
      </c>
      <c r="B236" s="15"/>
      <c r="C236" s="14"/>
      <c r="D236" s="14"/>
      <c r="E236" s="14"/>
    </row>
    <row r="237" spans="1:5" ht="24.75" customHeight="1" thickBot="1" x14ac:dyDescent="0.3">
      <c r="A237" s="368" t="s">
        <v>1094</v>
      </c>
      <c r="B237" s="15">
        <f>B236+B235+B234+B233+B232+B231+B230</f>
        <v>5512</v>
      </c>
      <c r="C237" s="15">
        <f>C236+C235+C234+C233+C232+C231+C230</f>
        <v>5512</v>
      </c>
      <c r="D237" s="15">
        <f>D236+D235+D234+D233+D232+D231+D230</f>
        <v>5512</v>
      </c>
      <c r="E237" s="15">
        <f>E236+E235+E234+E233+E232+E231+E230</f>
        <v>5512</v>
      </c>
    </row>
    <row r="238" spans="1:5" ht="24.75" customHeight="1" thickBot="1" x14ac:dyDescent="0.3">
      <c r="A238" s="17" t="s">
        <v>41</v>
      </c>
      <c r="B238" s="18">
        <f>IF(B237-B222=0,0,"Error")</f>
        <v>0</v>
      </c>
      <c r="C238" s="18">
        <f>IF(C237-C222=0,0,"Error")</f>
        <v>0</v>
      </c>
      <c r="D238" s="18">
        <f>IF(D237-D222=0,0,"Error")</f>
        <v>0</v>
      </c>
      <c r="E238" s="18">
        <f>IF(E237-E222=0,0,"Error")</f>
        <v>0</v>
      </c>
    </row>
    <row r="239" spans="1:5" ht="24.75" customHeight="1" thickBot="1" x14ac:dyDescent="0.3">
      <c r="A239" s="213" t="s">
        <v>1093</v>
      </c>
      <c r="B239" s="1243" t="s">
        <v>1092</v>
      </c>
      <c r="C239" s="1244"/>
      <c r="D239" s="1244"/>
      <c r="E239" s="1315"/>
    </row>
    <row r="240" spans="1:5" ht="94.5" customHeight="1" thickBot="1" x14ac:dyDescent="0.3">
      <c r="A240" s="5" t="s">
        <v>17</v>
      </c>
      <c r="B240" s="1663" t="s">
        <v>1091</v>
      </c>
      <c r="C240" s="1664"/>
      <c r="D240" s="1664"/>
      <c r="E240" s="1665"/>
    </row>
    <row r="241" spans="1:5" ht="24.75" customHeight="1" thickBot="1" x14ac:dyDescent="0.3">
      <c r="A241" s="5" t="s">
        <v>18</v>
      </c>
      <c r="B241" s="1248" t="s">
        <v>1085</v>
      </c>
      <c r="C241" s="1249"/>
      <c r="D241" s="1249"/>
      <c r="E241" s="1316"/>
    </row>
    <row r="242" spans="1:5" ht="24.75" customHeight="1" thickBot="1" x14ac:dyDescent="0.3">
      <c r="A242" s="5" t="s">
        <v>19</v>
      </c>
      <c r="B242" s="10">
        <v>3</v>
      </c>
      <c r="C242" s="10">
        <v>3</v>
      </c>
      <c r="D242" s="10">
        <v>3</v>
      </c>
      <c r="E242" s="10">
        <v>3</v>
      </c>
    </row>
    <row r="243" spans="1:5" x14ac:dyDescent="0.25">
      <c r="A243" s="1250"/>
      <c r="B243" s="8">
        <v>2018</v>
      </c>
      <c r="C243" s="8">
        <v>2019</v>
      </c>
      <c r="D243" s="8">
        <v>2020</v>
      </c>
      <c r="E243" s="8">
        <v>2021</v>
      </c>
    </row>
    <row r="244" spans="1:5" ht="15.75" thickBot="1" x14ac:dyDescent="0.3">
      <c r="A244" s="1251"/>
      <c r="B244" s="9" t="s">
        <v>10</v>
      </c>
      <c r="C244" s="9" t="s">
        <v>11</v>
      </c>
      <c r="D244" s="9" t="s">
        <v>11</v>
      </c>
      <c r="E244" s="9" t="s">
        <v>11</v>
      </c>
    </row>
    <row r="245" spans="1:5" ht="24.75" customHeight="1" thickBot="1" x14ac:dyDescent="0.3">
      <c r="A245" s="5" t="s">
        <v>20</v>
      </c>
      <c r="B245" s="10">
        <v>7047</v>
      </c>
      <c r="C245" s="10">
        <v>7047</v>
      </c>
      <c r="D245" s="10">
        <v>7047</v>
      </c>
      <c r="E245" s="10">
        <v>7047</v>
      </c>
    </row>
    <row r="246" spans="1:5" ht="24.75" customHeight="1" thickBot="1" x14ac:dyDescent="0.3">
      <c r="A246" s="5" t="s">
        <v>21</v>
      </c>
      <c r="B246" s="10">
        <f>B245/B242</f>
        <v>2349</v>
      </c>
      <c r="C246" s="10">
        <f>C245/C242</f>
        <v>2349</v>
      </c>
      <c r="D246" s="10">
        <f>D245/D242</f>
        <v>2349</v>
      </c>
      <c r="E246" s="10">
        <f>E245/E242</f>
        <v>2349</v>
      </c>
    </row>
    <row r="247" spans="1:5" ht="24.75" customHeight="1" thickBot="1" x14ac:dyDescent="0.3">
      <c r="A247" s="5" t="s">
        <v>22</v>
      </c>
      <c r="B247" s="225"/>
      <c r="C247" s="11">
        <f>C242/B242-1</f>
        <v>0</v>
      </c>
      <c r="D247" s="11">
        <f>D242/C242-1</f>
        <v>0</v>
      </c>
      <c r="E247" s="11">
        <f>E242/D242-1</f>
        <v>0</v>
      </c>
    </row>
    <row r="248" spans="1:5" ht="24.75" customHeight="1" thickBot="1" x14ac:dyDescent="0.3">
      <c r="A248" s="5" t="s">
        <v>24</v>
      </c>
      <c r="B248" s="225"/>
      <c r="C248" s="11">
        <f t="shared" ref="C248:E249" si="9">C245/B245-1</f>
        <v>0</v>
      </c>
      <c r="D248" s="11">
        <f t="shared" si="9"/>
        <v>0</v>
      </c>
      <c r="E248" s="11">
        <f t="shared" si="9"/>
        <v>0</v>
      </c>
    </row>
    <row r="249" spans="1:5" ht="24.75" customHeight="1" thickBot="1" x14ac:dyDescent="0.3">
      <c r="A249" s="5" t="s">
        <v>25</v>
      </c>
      <c r="B249" s="225"/>
      <c r="C249" s="11">
        <f t="shared" si="9"/>
        <v>0</v>
      </c>
      <c r="D249" s="11">
        <f t="shared" si="9"/>
        <v>0</v>
      </c>
      <c r="E249" s="11">
        <f t="shared" si="9"/>
        <v>0</v>
      </c>
    </row>
    <row r="250" spans="1:5" ht="24.75" customHeight="1" thickBot="1" x14ac:dyDescent="0.3">
      <c r="A250" s="1252" t="s">
        <v>1090</v>
      </c>
      <c r="B250" s="1253"/>
      <c r="C250" s="1253"/>
      <c r="D250" s="1253"/>
      <c r="E250" s="1300"/>
    </row>
    <row r="251" spans="1:5" x14ac:dyDescent="0.25">
      <c r="A251" s="1250"/>
      <c r="B251" s="8">
        <v>2018</v>
      </c>
      <c r="C251" s="8">
        <v>2019</v>
      </c>
      <c r="D251" s="8">
        <v>2020</v>
      </c>
      <c r="E251" s="8">
        <v>2021</v>
      </c>
    </row>
    <row r="252" spans="1:5" ht="15.75" thickBot="1" x14ac:dyDescent="0.3">
      <c r="A252" s="1251"/>
      <c r="B252" s="9" t="s">
        <v>10</v>
      </c>
      <c r="C252" s="9" t="s">
        <v>11</v>
      </c>
      <c r="D252" s="9" t="s">
        <v>11</v>
      </c>
      <c r="E252" s="9" t="s">
        <v>11</v>
      </c>
    </row>
    <row r="253" spans="1:5" ht="24.75" customHeight="1" thickBot="1" x14ac:dyDescent="0.3">
      <c r="A253" s="13" t="s">
        <v>26</v>
      </c>
      <c r="B253" s="14">
        <v>392</v>
      </c>
      <c r="C253" s="14">
        <v>392</v>
      </c>
      <c r="D253" s="14">
        <v>392</v>
      </c>
      <c r="E253" s="14">
        <v>392</v>
      </c>
    </row>
    <row r="254" spans="1:5" ht="24.75" customHeight="1" thickBot="1" x14ac:dyDescent="0.3">
      <c r="A254" s="13" t="s">
        <v>28</v>
      </c>
      <c r="B254" s="14">
        <v>64</v>
      </c>
      <c r="C254" s="14">
        <v>64</v>
      </c>
      <c r="D254" s="14">
        <v>64</v>
      </c>
      <c r="E254" s="14">
        <v>64</v>
      </c>
    </row>
    <row r="255" spans="1:5" ht="24.75" customHeight="1" thickBot="1" x14ac:dyDescent="0.3">
      <c r="A255" s="13" t="s">
        <v>30</v>
      </c>
      <c r="B255" s="15">
        <v>195</v>
      </c>
      <c r="C255" s="15">
        <v>195</v>
      </c>
      <c r="D255" s="15">
        <v>195</v>
      </c>
      <c r="E255" s="15">
        <v>195</v>
      </c>
    </row>
    <row r="256" spans="1:5" ht="24.75" customHeight="1" thickBot="1" x14ac:dyDescent="0.3">
      <c r="A256" s="13" t="s">
        <v>32</v>
      </c>
      <c r="B256" s="15"/>
      <c r="C256" s="14"/>
      <c r="D256" s="14"/>
      <c r="E256" s="14"/>
    </row>
    <row r="257" spans="1:5" ht="24.75" customHeight="1" thickBot="1" x14ac:dyDescent="0.3">
      <c r="A257" s="13" t="s">
        <v>34</v>
      </c>
      <c r="B257" s="15">
        <v>6396</v>
      </c>
      <c r="C257" s="15">
        <v>6396</v>
      </c>
      <c r="D257" s="15">
        <v>6396</v>
      </c>
      <c r="E257" s="15">
        <v>6396</v>
      </c>
    </row>
    <row r="258" spans="1:5" ht="24.75" customHeight="1" thickBot="1" x14ac:dyDescent="0.3">
      <c r="A258" s="13" t="s">
        <v>36</v>
      </c>
      <c r="B258" s="15"/>
      <c r="C258" s="14"/>
      <c r="D258" s="14"/>
      <c r="E258" s="14"/>
    </row>
    <row r="259" spans="1:5" ht="24.75" customHeight="1" thickBot="1" x14ac:dyDescent="0.3">
      <c r="A259" s="13" t="s">
        <v>38</v>
      </c>
      <c r="B259" s="15"/>
      <c r="C259" s="14"/>
      <c r="D259" s="14"/>
      <c r="E259" s="14"/>
    </row>
    <row r="260" spans="1:5" ht="24.75" customHeight="1" thickBot="1" x14ac:dyDescent="0.3">
      <c r="A260" s="368" t="s">
        <v>1089</v>
      </c>
      <c r="B260" s="15">
        <f>B259+B258+B257+B256+B255+B254+B253</f>
        <v>7047</v>
      </c>
      <c r="C260" s="15">
        <f>C259+C258+C257+C256+C255+C254+C253</f>
        <v>7047</v>
      </c>
      <c r="D260" s="15">
        <f>D259+D258+D257+D256+D255+D254+D253</f>
        <v>7047</v>
      </c>
      <c r="E260" s="15">
        <f>E259+E258+E257+E256+E255+E254+E253</f>
        <v>7047</v>
      </c>
    </row>
    <row r="261" spans="1:5" ht="24.75" customHeight="1" thickBot="1" x14ac:dyDescent="0.3">
      <c r="A261" s="17" t="s">
        <v>41</v>
      </c>
      <c r="B261" s="18">
        <f>IF(B260-B245=0,0,"Error")</f>
        <v>0</v>
      </c>
      <c r="C261" s="18">
        <f>IF(C260-C245=0,0,"Error")</f>
        <v>0</v>
      </c>
      <c r="D261" s="18">
        <f>IF(D260-D245=0,0,"Error")</f>
        <v>0</v>
      </c>
      <c r="E261" s="18">
        <f>IF(E260-E245=0,0,"Error")</f>
        <v>0</v>
      </c>
    </row>
    <row r="262" spans="1:5" ht="24.75" customHeight="1" thickBot="1" x14ac:dyDescent="0.3">
      <c r="A262" s="7" t="s">
        <v>1088</v>
      </c>
      <c r="B262" s="1243" t="s">
        <v>1087</v>
      </c>
      <c r="C262" s="1244"/>
      <c r="D262" s="1244"/>
      <c r="E262" s="1315"/>
    </row>
    <row r="263" spans="1:5" ht="24.75" customHeight="1" thickBot="1" x14ac:dyDescent="0.3">
      <c r="A263" s="5" t="s">
        <v>17</v>
      </c>
      <c r="B263" s="1243" t="s">
        <v>1086</v>
      </c>
      <c r="C263" s="1244"/>
      <c r="D263" s="1244"/>
      <c r="E263" s="1315"/>
    </row>
    <row r="264" spans="1:5" ht="24.75" customHeight="1" thickBot="1" x14ac:dyDescent="0.3">
      <c r="A264" s="5" t="s">
        <v>18</v>
      </c>
      <c r="B264" s="1248" t="s">
        <v>1085</v>
      </c>
      <c r="C264" s="1249"/>
      <c r="D264" s="1249"/>
      <c r="E264" s="1316"/>
    </row>
    <row r="265" spans="1:5" ht="24.75" customHeight="1" x14ac:dyDescent="0.25">
      <c r="A265" s="1250"/>
      <c r="B265" s="8">
        <v>2018</v>
      </c>
      <c r="C265" s="8">
        <v>2019</v>
      </c>
      <c r="D265" s="8">
        <v>2020</v>
      </c>
      <c r="E265" s="8">
        <v>2021</v>
      </c>
    </row>
    <row r="266" spans="1:5" ht="24.75" customHeight="1" thickBot="1" x14ac:dyDescent="0.3">
      <c r="A266" s="1251"/>
      <c r="B266" s="9" t="s">
        <v>10</v>
      </c>
      <c r="C266" s="9" t="s">
        <v>11</v>
      </c>
      <c r="D266" s="9" t="s">
        <v>11</v>
      </c>
      <c r="E266" s="9" t="s">
        <v>11</v>
      </c>
    </row>
    <row r="267" spans="1:5" ht="24.75" customHeight="1" thickBot="1" x14ac:dyDescent="0.3">
      <c r="A267" s="5" t="s">
        <v>19</v>
      </c>
      <c r="B267" s="10">
        <v>6</v>
      </c>
      <c r="C267" s="10">
        <v>6</v>
      </c>
      <c r="D267" s="10">
        <v>6</v>
      </c>
      <c r="E267" s="10">
        <v>6</v>
      </c>
    </row>
    <row r="268" spans="1:5" ht="24.75" customHeight="1" thickBot="1" x14ac:dyDescent="0.3">
      <c r="A268" s="5" t="s">
        <v>20</v>
      </c>
      <c r="B268" s="10">
        <v>10233</v>
      </c>
      <c r="C268" s="10">
        <v>10053</v>
      </c>
      <c r="D268" s="10">
        <v>10053</v>
      </c>
      <c r="E268" s="10">
        <v>10053</v>
      </c>
    </row>
    <row r="269" spans="1:5" ht="24.75" customHeight="1" thickBot="1" x14ac:dyDescent="0.3">
      <c r="A269" s="5" t="s">
        <v>21</v>
      </c>
      <c r="B269" s="10">
        <f>B268/B267</f>
        <v>1705.5</v>
      </c>
      <c r="C269" s="10">
        <f>C268/C267</f>
        <v>1675.5</v>
      </c>
      <c r="D269" s="10">
        <f>D268/D267</f>
        <v>1675.5</v>
      </c>
      <c r="E269" s="10">
        <f>E268/E267</f>
        <v>1675.5</v>
      </c>
    </row>
    <row r="270" spans="1:5" ht="24.75" customHeight="1" thickBot="1" x14ac:dyDescent="0.3">
      <c r="A270" s="5" t="s">
        <v>22</v>
      </c>
      <c r="B270" s="225" t="s">
        <v>23</v>
      </c>
      <c r="C270" s="11">
        <f t="shared" ref="C270:E272" si="10">C267/B267-1</f>
        <v>0</v>
      </c>
      <c r="D270" s="11">
        <f t="shared" si="10"/>
        <v>0</v>
      </c>
      <c r="E270" s="11">
        <f t="shared" si="10"/>
        <v>0</v>
      </c>
    </row>
    <row r="271" spans="1:5" ht="24.75" customHeight="1" thickBot="1" x14ac:dyDescent="0.3">
      <c r="A271" s="5" t="s">
        <v>24</v>
      </c>
      <c r="B271" s="225" t="s">
        <v>23</v>
      </c>
      <c r="C271" s="11">
        <f t="shared" si="10"/>
        <v>-1.7590149516270914E-2</v>
      </c>
      <c r="D271" s="11">
        <f t="shared" si="10"/>
        <v>0</v>
      </c>
      <c r="E271" s="11">
        <f t="shared" si="10"/>
        <v>0</v>
      </c>
    </row>
    <row r="272" spans="1:5" ht="24.75" customHeight="1" thickBot="1" x14ac:dyDescent="0.3">
      <c r="A272" s="5" t="s">
        <v>25</v>
      </c>
      <c r="B272" s="225" t="s">
        <v>23</v>
      </c>
      <c r="C272" s="11">
        <f t="shared" si="10"/>
        <v>-1.7590149516270914E-2</v>
      </c>
      <c r="D272" s="11">
        <f t="shared" si="10"/>
        <v>0</v>
      </c>
      <c r="E272" s="11">
        <f t="shared" si="10"/>
        <v>0</v>
      </c>
    </row>
    <row r="273" spans="1:5" ht="24.75" customHeight="1" thickBot="1" x14ac:dyDescent="0.3">
      <c r="A273" s="1252" t="s">
        <v>1084</v>
      </c>
      <c r="B273" s="1253"/>
      <c r="C273" s="1253"/>
      <c r="D273" s="1253"/>
      <c r="E273" s="1300"/>
    </row>
    <row r="274" spans="1:5" ht="24.75" customHeight="1" x14ac:dyDescent="0.25">
      <c r="A274" s="1250"/>
      <c r="B274" s="8">
        <v>2018</v>
      </c>
      <c r="C274" s="8">
        <v>2019</v>
      </c>
      <c r="D274" s="8">
        <v>2020</v>
      </c>
      <c r="E274" s="8">
        <v>2021</v>
      </c>
    </row>
    <row r="275" spans="1:5" ht="24.75" customHeight="1" thickBot="1" x14ac:dyDescent="0.3">
      <c r="A275" s="1251"/>
      <c r="B275" s="9" t="s">
        <v>10</v>
      </c>
      <c r="C275" s="9" t="s">
        <v>11</v>
      </c>
      <c r="D275" s="9" t="s">
        <v>11</v>
      </c>
      <c r="E275" s="9" t="s">
        <v>11</v>
      </c>
    </row>
    <row r="276" spans="1:5" ht="24.75" customHeight="1" thickBot="1" x14ac:dyDescent="0.3">
      <c r="A276" s="13" t="s">
        <v>26</v>
      </c>
      <c r="B276" s="14">
        <v>567</v>
      </c>
      <c r="C276" s="14">
        <v>567</v>
      </c>
      <c r="D276" s="14">
        <v>567</v>
      </c>
      <c r="E276" s="14">
        <v>567</v>
      </c>
    </row>
    <row r="277" spans="1:5" ht="24.75" customHeight="1" thickBot="1" x14ac:dyDescent="0.3">
      <c r="A277" s="13" t="s">
        <v>28</v>
      </c>
      <c r="B277" s="14">
        <v>96</v>
      </c>
      <c r="C277" s="14">
        <v>96</v>
      </c>
      <c r="D277" s="14">
        <v>96</v>
      </c>
      <c r="E277" s="14">
        <v>96</v>
      </c>
    </row>
    <row r="278" spans="1:5" ht="24.75" customHeight="1" thickBot="1" x14ac:dyDescent="0.3">
      <c r="A278" s="13" t="s">
        <v>30</v>
      </c>
      <c r="B278" s="15">
        <v>289</v>
      </c>
      <c r="C278" s="14">
        <v>239</v>
      </c>
      <c r="D278" s="14">
        <v>239</v>
      </c>
      <c r="E278" s="14">
        <v>239</v>
      </c>
    </row>
    <row r="279" spans="1:5" ht="24.75" customHeight="1" thickBot="1" x14ac:dyDescent="0.3">
      <c r="A279" s="13" t="s">
        <v>32</v>
      </c>
      <c r="B279" s="15"/>
      <c r="C279" s="14"/>
      <c r="D279" s="14"/>
      <c r="E279" s="14"/>
    </row>
    <row r="280" spans="1:5" ht="24.75" customHeight="1" thickBot="1" x14ac:dyDescent="0.3">
      <c r="A280" s="13" t="s">
        <v>34</v>
      </c>
      <c r="B280" s="15">
        <v>9281</v>
      </c>
      <c r="C280" s="14">
        <v>9151</v>
      </c>
      <c r="D280" s="14">
        <v>9151</v>
      </c>
      <c r="E280" s="14">
        <v>9151</v>
      </c>
    </row>
    <row r="281" spans="1:5" ht="24.75" customHeight="1" thickBot="1" x14ac:dyDescent="0.3">
      <c r="A281" s="13" t="s">
        <v>36</v>
      </c>
      <c r="B281" s="15"/>
      <c r="C281" s="14"/>
      <c r="D281" s="14"/>
      <c r="E281" s="14"/>
    </row>
    <row r="282" spans="1:5" ht="24.75" customHeight="1" thickBot="1" x14ac:dyDescent="0.3">
      <c r="A282" s="13" t="s">
        <v>38</v>
      </c>
      <c r="B282" s="15"/>
      <c r="C282" s="14"/>
      <c r="D282" s="14"/>
      <c r="E282" s="14"/>
    </row>
    <row r="283" spans="1:5" ht="24.75" customHeight="1" thickBot="1" x14ac:dyDescent="0.3">
      <c r="A283" s="184" t="s">
        <v>1083</v>
      </c>
      <c r="B283" s="15">
        <f>B282+B281+B280+B279+B278+B277+B276</f>
        <v>10233</v>
      </c>
      <c r="C283" s="15">
        <f>C282+C281+C280+C279+C278+C277+C276</f>
        <v>10053</v>
      </c>
      <c r="D283" s="15">
        <f>D282+D281+D280+D279+D278+D277+D276</f>
        <v>10053</v>
      </c>
      <c r="E283" s="15">
        <f>E282+E281+E280+E279+E278+E277+E276</f>
        <v>10053</v>
      </c>
    </row>
    <row r="284" spans="1:5" ht="24.75" customHeight="1" thickBot="1" x14ac:dyDescent="0.3">
      <c r="A284" s="17" t="s">
        <v>41</v>
      </c>
      <c r="B284" s="18">
        <f>IF(B283-B268=0,0,"Error")</f>
        <v>0</v>
      </c>
      <c r="C284" s="18">
        <f>IF(C283-C268=0,0,"Error")</f>
        <v>0</v>
      </c>
      <c r="D284" s="18">
        <f>IF(D283-D268=0,0,"Error")</f>
        <v>0</v>
      </c>
      <c r="E284" s="18">
        <f>IF(E283-E268=0,0,"Error")</f>
        <v>0</v>
      </c>
    </row>
    <row r="285" spans="1:5" ht="45.75" customHeight="1" thickBot="1" x14ac:dyDescent="0.3">
      <c r="A285" s="7" t="s">
        <v>1082</v>
      </c>
      <c r="B285" s="1243" t="s">
        <v>1081</v>
      </c>
      <c r="C285" s="1244"/>
      <c r="D285" s="1244"/>
      <c r="E285" s="1315"/>
    </row>
    <row r="286" spans="1:5" ht="24.75" customHeight="1" thickBot="1" x14ac:dyDescent="0.3">
      <c r="A286" s="5" t="s">
        <v>17</v>
      </c>
      <c r="B286" s="1245" t="s">
        <v>1080</v>
      </c>
      <c r="C286" s="1246"/>
      <c r="D286" s="1246"/>
      <c r="E286" s="1298"/>
    </row>
    <row r="287" spans="1:5" ht="24.75" customHeight="1" thickBot="1" x14ac:dyDescent="0.3">
      <c r="A287" s="5" t="s">
        <v>18</v>
      </c>
      <c r="B287" s="1248" t="s">
        <v>1079</v>
      </c>
      <c r="C287" s="1249"/>
      <c r="D287" s="1249"/>
      <c r="E287" s="1316"/>
    </row>
    <row r="288" spans="1:5" ht="24.75" customHeight="1" x14ac:dyDescent="0.25">
      <c r="A288" s="1250"/>
      <c r="B288" s="8">
        <v>2018</v>
      </c>
      <c r="C288" s="8">
        <v>2019</v>
      </c>
      <c r="D288" s="8">
        <v>2020</v>
      </c>
      <c r="E288" s="8">
        <v>2021</v>
      </c>
    </row>
    <row r="289" spans="1:5" ht="24.75" customHeight="1" thickBot="1" x14ac:dyDescent="0.3">
      <c r="A289" s="1251"/>
      <c r="B289" s="9" t="s">
        <v>10</v>
      </c>
      <c r="C289" s="9" t="s">
        <v>11</v>
      </c>
      <c r="D289" s="9" t="s">
        <v>11</v>
      </c>
      <c r="E289" s="9" t="s">
        <v>11</v>
      </c>
    </row>
    <row r="290" spans="1:5" ht="24.75" customHeight="1" thickBot="1" x14ac:dyDescent="0.3">
      <c r="A290" s="5" t="s">
        <v>19</v>
      </c>
      <c r="B290" s="10">
        <v>3</v>
      </c>
      <c r="C290" s="10">
        <v>3</v>
      </c>
      <c r="D290" s="10">
        <v>3</v>
      </c>
      <c r="E290" s="10">
        <v>3</v>
      </c>
    </row>
    <row r="291" spans="1:5" ht="24.75" customHeight="1" thickBot="1" x14ac:dyDescent="0.3">
      <c r="A291" s="5" t="s">
        <v>20</v>
      </c>
      <c r="B291" s="10">
        <v>18600</v>
      </c>
      <c r="C291" s="10">
        <v>18600</v>
      </c>
      <c r="D291" s="10">
        <v>18600</v>
      </c>
      <c r="E291" s="10">
        <v>18600</v>
      </c>
    </row>
    <row r="292" spans="1:5" ht="24.75" customHeight="1" thickBot="1" x14ac:dyDescent="0.3">
      <c r="A292" s="5" t="s">
        <v>21</v>
      </c>
      <c r="B292" s="10">
        <f>B291/B290</f>
        <v>6200</v>
      </c>
      <c r="C292" s="10">
        <f>C291/C290</f>
        <v>6200</v>
      </c>
      <c r="D292" s="10">
        <f>D291/D290</f>
        <v>6200</v>
      </c>
      <c r="E292" s="10">
        <f>E291/E290</f>
        <v>6200</v>
      </c>
    </row>
    <row r="293" spans="1:5" ht="24.75" customHeight="1" thickBot="1" x14ac:dyDescent="0.3">
      <c r="A293" s="5" t="s">
        <v>22</v>
      </c>
      <c r="B293" s="225" t="s">
        <v>23</v>
      </c>
      <c r="C293" s="11">
        <f t="shared" ref="C293:E295" si="11">C290/B290-1</f>
        <v>0</v>
      </c>
      <c r="D293" s="11">
        <f t="shared" si="11"/>
        <v>0</v>
      </c>
      <c r="E293" s="11">
        <f t="shared" si="11"/>
        <v>0</v>
      </c>
    </row>
    <row r="294" spans="1:5" ht="24.75" customHeight="1" thickBot="1" x14ac:dyDescent="0.3">
      <c r="A294" s="5" t="s">
        <v>24</v>
      </c>
      <c r="B294" s="225" t="s">
        <v>23</v>
      </c>
      <c r="C294" s="11">
        <f t="shared" si="11"/>
        <v>0</v>
      </c>
      <c r="D294" s="11">
        <f t="shared" si="11"/>
        <v>0</v>
      </c>
      <c r="E294" s="11">
        <f t="shared" si="11"/>
        <v>0</v>
      </c>
    </row>
    <row r="295" spans="1:5" ht="24.75" customHeight="1" thickBot="1" x14ac:dyDescent="0.3">
      <c r="A295" s="5" t="s">
        <v>25</v>
      </c>
      <c r="B295" s="225" t="s">
        <v>23</v>
      </c>
      <c r="C295" s="11">
        <f t="shared" si="11"/>
        <v>0</v>
      </c>
      <c r="D295" s="11">
        <f t="shared" si="11"/>
        <v>0</v>
      </c>
      <c r="E295" s="11">
        <f t="shared" si="11"/>
        <v>0</v>
      </c>
    </row>
    <row r="296" spans="1:5" ht="24.75" customHeight="1" thickBot="1" x14ac:dyDescent="0.3">
      <c r="A296" s="1252" t="s">
        <v>1078</v>
      </c>
      <c r="B296" s="1253"/>
      <c r="C296" s="1253"/>
      <c r="D296" s="1253"/>
      <c r="E296" s="1300"/>
    </row>
    <row r="297" spans="1:5" ht="24.75" customHeight="1" x14ac:dyDescent="0.25">
      <c r="A297" s="1250"/>
      <c r="B297" s="8">
        <v>2018</v>
      </c>
      <c r="C297" s="8">
        <v>2019</v>
      </c>
      <c r="D297" s="8">
        <v>2020</v>
      </c>
      <c r="E297" s="8">
        <v>2021</v>
      </c>
    </row>
    <row r="298" spans="1:5" ht="24.75" customHeight="1" thickBot="1" x14ac:dyDescent="0.3">
      <c r="A298" s="1251"/>
      <c r="B298" s="9" t="s">
        <v>10</v>
      </c>
      <c r="C298" s="9" t="s">
        <v>11</v>
      </c>
      <c r="D298" s="9" t="s">
        <v>11</v>
      </c>
      <c r="E298" s="9" t="s">
        <v>11</v>
      </c>
    </row>
    <row r="299" spans="1:5" ht="24.75" customHeight="1" thickBot="1" x14ac:dyDescent="0.3">
      <c r="A299" s="13" t="s">
        <v>26</v>
      </c>
      <c r="B299" s="14"/>
      <c r="C299" s="14"/>
      <c r="D299" s="14"/>
      <c r="E299" s="14"/>
    </row>
    <row r="300" spans="1:5" ht="24.75" customHeight="1" thickBot="1" x14ac:dyDescent="0.3">
      <c r="A300" s="13" t="s">
        <v>28</v>
      </c>
      <c r="B300" s="14"/>
      <c r="C300" s="14"/>
      <c r="D300" s="14"/>
      <c r="E300" s="14"/>
    </row>
    <row r="301" spans="1:5" ht="24.75" customHeight="1" thickBot="1" x14ac:dyDescent="0.3">
      <c r="A301" s="13" t="s">
        <v>30</v>
      </c>
      <c r="B301" s="15"/>
      <c r="C301" s="14"/>
      <c r="D301" s="14"/>
      <c r="E301" s="14"/>
    </row>
    <row r="302" spans="1:5" ht="24.75" customHeight="1" thickBot="1" x14ac:dyDescent="0.3">
      <c r="A302" s="13" t="s">
        <v>32</v>
      </c>
      <c r="B302" s="15"/>
      <c r="C302" s="14"/>
      <c r="D302" s="14"/>
      <c r="E302" s="14"/>
    </row>
    <row r="303" spans="1:5" ht="24.75" customHeight="1" thickBot="1" x14ac:dyDescent="0.3">
      <c r="A303" s="13" t="s">
        <v>34</v>
      </c>
      <c r="B303" s="15"/>
      <c r="C303" s="14"/>
      <c r="D303" s="14"/>
      <c r="E303" s="14"/>
    </row>
    <row r="304" spans="1:5" ht="24.75" customHeight="1" thickBot="1" x14ac:dyDescent="0.3">
      <c r="A304" s="13" t="s">
        <v>36</v>
      </c>
      <c r="B304" s="15">
        <v>18600</v>
      </c>
      <c r="C304" s="14">
        <v>18600</v>
      </c>
      <c r="D304" s="14">
        <v>18600</v>
      </c>
      <c r="E304" s="14">
        <v>18600</v>
      </c>
    </row>
    <row r="305" spans="1:5" ht="24.75" customHeight="1" thickBot="1" x14ac:dyDescent="0.3">
      <c r="A305" s="13" t="s">
        <v>38</v>
      </c>
      <c r="B305" s="15"/>
      <c r="C305" s="14"/>
      <c r="D305" s="14"/>
      <c r="E305" s="14"/>
    </row>
    <row r="306" spans="1:5" ht="24.75" customHeight="1" thickBot="1" x14ac:dyDescent="0.3">
      <c r="A306" s="184" t="s">
        <v>1077</v>
      </c>
      <c r="B306" s="15">
        <f>B305+B304+B303+B302+B301+B300+B299</f>
        <v>18600</v>
      </c>
      <c r="C306" s="15">
        <f>C305+C304+C303+C302+C301+C300+C299</f>
        <v>18600</v>
      </c>
      <c r="D306" s="15">
        <f>D305+D304+D303+D302+D301+D300+D299</f>
        <v>18600</v>
      </c>
      <c r="E306" s="15">
        <f>E305+E304+E303+E302+E301+E300+E299</f>
        <v>18600</v>
      </c>
    </row>
    <row r="307" spans="1:5" ht="24.75" customHeight="1" thickBot="1" x14ac:dyDescent="0.3">
      <c r="A307" s="17" t="s">
        <v>41</v>
      </c>
      <c r="B307" s="18">
        <f>IF(B306-B291=0,0,"Error")</f>
        <v>0</v>
      </c>
      <c r="C307" s="18">
        <f>IF(C306-C291=0,0,"Error")</f>
        <v>0</v>
      </c>
      <c r="D307" s="18">
        <f>IF(D306-D291=0,0,"Error")</f>
        <v>0</v>
      </c>
      <c r="E307" s="18">
        <f>IF(E306-E291=0,0,"Error")</f>
        <v>0</v>
      </c>
    </row>
    <row r="308" spans="1:5" ht="24.75" customHeight="1" thickBot="1" x14ac:dyDescent="0.3">
      <c r="A308" s="5" t="s">
        <v>1076</v>
      </c>
      <c r="B308" s="1660" t="s">
        <v>124</v>
      </c>
      <c r="C308" s="1661"/>
      <c r="D308" s="1661"/>
      <c r="E308" s="1662"/>
    </row>
    <row r="309" spans="1:5" ht="24.75" customHeight="1" thickBot="1" x14ac:dyDescent="0.3">
      <c r="A309" s="247" t="s">
        <v>16</v>
      </c>
      <c r="B309" s="1248" t="s">
        <v>1075</v>
      </c>
      <c r="C309" s="1249"/>
      <c r="D309" s="1249"/>
      <c r="E309" s="1316"/>
    </row>
    <row r="310" spans="1:5" ht="24.75" customHeight="1" thickBot="1" x14ac:dyDescent="0.3">
      <c r="A310" s="5" t="s">
        <v>17</v>
      </c>
      <c r="B310" s="1245" t="s">
        <v>1075</v>
      </c>
      <c r="C310" s="1246"/>
      <c r="D310" s="1246"/>
      <c r="E310" s="1298"/>
    </row>
    <row r="311" spans="1:5" ht="24.75" customHeight="1" thickBot="1" x14ac:dyDescent="0.3">
      <c r="A311" s="5" t="s">
        <v>18</v>
      </c>
      <c r="B311" s="1248" t="s">
        <v>1074</v>
      </c>
      <c r="C311" s="1249"/>
      <c r="D311" s="1249"/>
      <c r="E311" s="1316"/>
    </row>
    <row r="312" spans="1:5" x14ac:dyDescent="0.25">
      <c r="A312" s="1250"/>
      <c r="B312" s="8">
        <v>2018</v>
      </c>
      <c r="C312" s="8">
        <v>2019</v>
      </c>
      <c r="D312" s="8">
        <v>2020</v>
      </c>
      <c r="E312" s="8">
        <v>2021</v>
      </c>
    </row>
    <row r="313" spans="1:5" ht="15.75" thickBot="1" x14ac:dyDescent="0.3">
      <c r="A313" s="1251"/>
      <c r="B313" s="9" t="s">
        <v>10</v>
      </c>
      <c r="C313" s="9" t="s">
        <v>11</v>
      </c>
      <c r="D313" s="9" t="s">
        <v>11</v>
      </c>
      <c r="E313" s="9" t="s">
        <v>11</v>
      </c>
    </row>
    <row r="314" spans="1:5" ht="24.75" customHeight="1" thickBot="1" x14ac:dyDescent="0.3">
      <c r="A314" s="5" t="s">
        <v>19</v>
      </c>
      <c r="B314" s="10">
        <v>1</v>
      </c>
      <c r="C314" s="10"/>
      <c r="D314" s="10"/>
      <c r="E314" s="10"/>
    </row>
    <row r="315" spans="1:5" ht="24.75" customHeight="1" thickBot="1" x14ac:dyDescent="0.3">
      <c r="A315" s="5" t="s">
        <v>20</v>
      </c>
      <c r="B315" s="10">
        <v>640</v>
      </c>
      <c r="C315" s="10"/>
      <c r="D315" s="10"/>
      <c r="E315" s="10"/>
    </row>
    <row r="316" spans="1:5" ht="24.75" customHeight="1" thickBot="1" x14ac:dyDescent="0.3">
      <c r="A316" s="5" t="s">
        <v>21</v>
      </c>
      <c r="B316" s="10">
        <f>B315/B314</f>
        <v>640</v>
      </c>
      <c r="C316" s="10" t="e">
        <f>C315/C314</f>
        <v>#DIV/0!</v>
      </c>
      <c r="D316" s="10" t="e">
        <f>D315/D314</f>
        <v>#DIV/0!</v>
      </c>
      <c r="E316" s="10" t="e">
        <f>E315/E314</f>
        <v>#DIV/0!</v>
      </c>
    </row>
    <row r="317" spans="1:5" ht="24.75" customHeight="1" thickBot="1" x14ac:dyDescent="0.3">
      <c r="A317" s="5" t="s">
        <v>22</v>
      </c>
      <c r="B317" s="225" t="s">
        <v>23</v>
      </c>
      <c r="C317" s="11">
        <f t="shared" ref="C317:E319" si="12">C314/B314-1</f>
        <v>-1</v>
      </c>
      <c r="D317" s="11" t="e">
        <f t="shared" si="12"/>
        <v>#DIV/0!</v>
      </c>
      <c r="E317" s="11" t="e">
        <f t="shared" si="12"/>
        <v>#DIV/0!</v>
      </c>
    </row>
    <row r="318" spans="1:5" ht="24.75" customHeight="1" thickBot="1" x14ac:dyDescent="0.3">
      <c r="A318" s="5" t="s">
        <v>24</v>
      </c>
      <c r="B318" s="225" t="s">
        <v>23</v>
      </c>
      <c r="C318" s="11">
        <f t="shared" si="12"/>
        <v>-1</v>
      </c>
      <c r="D318" s="11" t="e">
        <f t="shared" si="12"/>
        <v>#DIV/0!</v>
      </c>
      <c r="E318" s="11" t="e">
        <f t="shared" si="12"/>
        <v>#DIV/0!</v>
      </c>
    </row>
    <row r="319" spans="1:5" ht="24.75" customHeight="1" thickBot="1" x14ac:dyDescent="0.3">
      <c r="A319" s="5" t="s">
        <v>25</v>
      </c>
      <c r="B319" s="225" t="s">
        <v>23</v>
      </c>
      <c r="C319" s="11" t="e">
        <f t="shared" si="12"/>
        <v>#DIV/0!</v>
      </c>
      <c r="D319" s="11" t="e">
        <f t="shared" si="12"/>
        <v>#DIV/0!</v>
      </c>
      <c r="E319" s="11" t="e">
        <f t="shared" si="12"/>
        <v>#DIV/0!</v>
      </c>
    </row>
    <row r="320" spans="1:5" ht="24.75" customHeight="1" thickBot="1" x14ac:dyDescent="0.3">
      <c r="A320" s="1278" t="s">
        <v>633</v>
      </c>
      <c r="B320" s="1279"/>
      <c r="C320" s="1279"/>
      <c r="D320" s="1279"/>
      <c r="E320" s="1355"/>
    </row>
    <row r="321" spans="1:5" x14ac:dyDescent="0.25">
      <c r="A321" s="1250"/>
      <c r="B321" s="8">
        <v>2018</v>
      </c>
      <c r="C321" s="8">
        <v>2019</v>
      </c>
      <c r="D321" s="8">
        <v>2020</v>
      </c>
      <c r="E321" s="8">
        <v>2021</v>
      </c>
    </row>
    <row r="322" spans="1:5" ht="15.75" thickBot="1" x14ac:dyDescent="0.3">
      <c r="A322" s="1251"/>
      <c r="B322" s="9" t="s">
        <v>10</v>
      </c>
      <c r="C322" s="9" t="s">
        <v>11</v>
      </c>
      <c r="D322" s="9" t="s">
        <v>11</v>
      </c>
      <c r="E322" s="9" t="s">
        <v>11</v>
      </c>
    </row>
    <row r="323" spans="1:5" ht="24.75" customHeight="1" thickBot="1" x14ac:dyDescent="0.3">
      <c r="A323" s="237" t="s">
        <v>58</v>
      </c>
      <c r="B323" s="60"/>
      <c r="C323" s="60"/>
      <c r="D323" s="60"/>
      <c r="E323" s="60"/>
    </row>
    <row r="324" spans="1:5" ht="24.75" customHeight="1" thickBot="1" x14ac:dyDescent="0.3">
      <c r="A324" s="237" t="s">
        <v>59</v>
      </c>
      <c r="B324" s="191">
        <v>640</v>
      </c>
      <c r="C324" s="60"/>
      <c r="D324" s="60"/>
      <c r="E324" s="60"/>
    </row>
    <row r="325" spans="1:5" ht="24.75" customHeight="1" thickBot="1" x14ac:dyDescent="0.3">
      <c r="A325" s="367" t="s">
        <v>40</v>
      </c>
      <c r="B325" s="191">
        <f>B324+B323</f>
        <v>640</v>
      </c>
      <c r="C325" s="191">
        <f>C324+C323</f>
        <v>0</v>
      </c>
      <c r="D325" s="191">
        <f>D324+D323</f>
        <v>0</v>
      </c>
      <c r="E325" s="191">
        <f>E324+E323</f>
        <v>0</v>
      </c>
    </row>
    <row r="326" spans="1:5" x14ac:dyDescent="0.25">
      <c r="A326" s="1254" t="s">
        <v>60</v>
      </c>
      <c r="B326" s="1322"/>
      <c r="C326" s="1289"/>
      <c r="D326" s="1289"/>
      <c r="E326" s="1290"/>
    </row>
    <row r="327" spans="1:5" x14ac:dyDescent="0.25">
      <c r="A327" s="1255"/>
      <c r="B327" s="1291"/>
      <c r="C327" s="1292"/>
      <c r="D327" s="1292"/>
      <c r="E327" s="1293"/>
    </row>
    <row r="328" spans="1:5" ht="15.75" thickBot="1" x14ac:dyDescent="0.3">
      <c r="A328" s="1256"/>
      <c r="B328" s="1294"/>
      <c r="C328" s="1295"/>
      <c r="D328" s="1295"/>
      <c r="E328" s="1296"/>
    </row>
    <row r="329" spans="1:5" ht="24.75" customHeight="1" thickBot="1" x14ac:dyDescent="0.3">
      <c r="A329" s="5" t="s">
        <v>1073</v>
      </c>
      <c r="B329" s="1660" t="s">
        <v>124</v>
      </c>
      <c r="C329" s="1661"/>
      <c r="D329" s="1661"/>
      <c r="E329" s="1662"/>
    </row>
    <row r="330" spans="1:5" ht="24.75" customHeight="1" thickBot="1" x14ac:dyDescent="0.3">
      <c r="A330" s="247" t="s">
        <v>42</v>
      </c>
      <c r="B330" s="1248" t="s">
        <v>587</v>
      </c>
      <c r="C330" s="1249"/>
      <c r="D330" s="1249"/>
      <c r="E330" s="1316"/>
    </row>
    <row r="331" spans="1:5" ht="24.75" customHeight="1" thickBot="1" x14ac:dyDescent="0.3">
      <c r="A331" s="5" t="s">
        <v>17</v>
      </c>
      <c r="B331" s="1245" t="s">
        <v>1072</v>
      </c>
      <c r="C331" s="1246"/>
      <c r="D331" s="1246"/>
      <c r="E331" s="1298"/>
    </row>
    <row r="332" spans="1:5" ht="24.75" customHeight="1" thickBot="1" x14ac:dyDescent="0.3">
      <c r="A332" s="5" t="s">
        <v>18</v>
      </c>
      <c r="B332" s="1248" t="s">
        <v>798</v>
      </c>
      <c r="C332" s="1249"/>
      <c r="D332" s="1249"/>
      <c r="E332" s="1316"/>
    </row>
    <row r="333" spans="1:5" x14ac:dyDescent="0.25">
      <c r="A333" s="1250"/>
      <c r="B333" s="8">
        <v>2018</v>
      </c>
      <c r="C333" s="8">
        <v>2019</v>
      </c>
      <c r="D333" s="8">
        <v>2020</v>
      </c>
      <c r="E333" s="8">
        <v>2021</v>
      </c>
    </row>
    <row r="334" spans="1:5" ht="15.75" thickBot="1" x14ac:dyDescent="0.3">
      <c r="A334" s="1251"/>
      <c r="B334" s="9" t="s">
        <v>10</v>
      </c>
      <c r="C334" s="9" t="s">
        <v>11</v>
      </c>
      <c r="D334" s="9" t="s">
        <v>11</v>
      </c>
      <c r="E334" s="9" t="s">
        <v>11</v>
      </c>
    </row>
    <row r="335" spans="1:5" ht="24.75" customHeight="1" thickBot="1" x14ac:dyDescent="0.3">
      <c r="A335" s="5" t="s">
        <v>19</v>
      </c>
      <c r="B335" s="10">
        <v>4</v>
      </c>
      <c r="C335" s="10"/>
      <c r="D335" s="10"/>
      <c r="E335" s="10">
        <v>5</v>
      </c>
    </row>
    <row r="336" spans="1:5" ht="24.75" customHeight="1" thickBot="1" x14ac:dyDescent="0.3">
      <c r="A336" s="5" t="s">
        <v>20</v>
      </c>
      <c r="B336" s="10">
        <v>800</v>
      </c>
      <c r="C336" s="10"/>
      <c r="D336" s="10"/>
      <c r="E336" s="10">
        <v>800</v>
      </c>
    </row>
    <row r="337" spans="1:5" ht="24.75" customHeight="1" thickBot="1" x14ac:dyDescent="0.3">
      <c r="A337" s="5" t="s">
        <v>21</v>
      </c>
      <c r="B337" s="10">
        <f>B336/B335</f>
        <v>200</v>
      </c>
      <c r="C337" s="10" t="e">
        <f>C336/C335</f>
        <v>#DIV/0!</v>
      </c>
      <c r="D337" s="10" t="e">
        <f>D336/D335</f>
        <v>#DIV/0!</v>
      </c>
      <c r="E337" s="10">
        <f>E336/E335</f>
        <v>160</v>
      </c>
    </row>
    <row r="338" spans="1:5" ht="24.75" customHeight="1" thickBot="1" x14ac:dyDescent="0.3">
      <c r="A338" s="5" t="s">
        <v>22</v>
      </c>
      <c r="B338" s="225" t="s">
        <v>23</v>
      </c>
      <c r="C338" s="11">
        <f t="shared" ref="C338:E340" si="13">C335/B335-1</f>
        <v>-1</v>
      </c>
      <c r="D338" s="11" t="e">
        <f t="shared" si="13"/>
        <v>#DIV/0!</v>
      </c>
      <c r="E338" s="11" t="e">
        <f t="shared" si="13"/>
        <v>#DIV/0!</v>
      </c>
    </row>
    <row r="339" spans="1:5" ht="24.75" customHeight="1" thickBot="1" x14ac:dyDescent="0.3">
      <c r="A339" s="5" t="s">
        <v>24</v>
      </c>
      <c r="B339" s="225" t="s">
        <v>23</v>
      </c>
      <c r="C339" s="11">
        <f t="shared" si="13"/>
        <v>-1</v>
      </c>
      <c r="D339" s="11" t="e">
        <f t="shared" si="13"/>
        <v>#DIV/0!</v>
      </c>
      <c r="E339" s="11" t="e">
        <f t="shared" si="13"/>
        <v>#DIV/0!</v>
      </c>
    </row>
    <row r="340" spans="1:5" ht="24.75" customHeight="1" thickBot="1" x14ac:dyDescent="0.3">
      <c r="A340" s="5" t="s">
        <v>25</v>
      </c>
      <c r="B340" s="225" t="s">
        <v>23</v>
      </c>
      <c r="C340" s="11" t="e">
        <f t="shared" si="13"/>
        <v>#DIV/0!</v>
      </c>
      <c r="D340" s="11" t="e">
        <f t="shared" si="13"/>
        <v>#DIV/0!</v>
      </c>
      <c r="E340" s="11" t="e">
        <f t="shared" si="13"/>
        <v>#DIV/0!</v>
      </c>
    </row>
    <row r="341" spans="1:5" ht="24.75" customHeight="1" thickBot="1" x14ac:dyDescent="0.3">
      <c r="A341" s="1278" t="s">
        <v>884</v>
      </c>
      <c r="B341" s="1279"/>
      <c r="C341" s="1279"/>
      <c r="D341" s="1279"/>
      <c r="E341" s="1355"/>
    </row>
    <row r="342" spans="1:5" x14ac:dyDescent="0.25">
      <c r="A342" s="1250"/>
      <c r="B342" s="8">
        <v>2018</v>
      </c>
      <c r="C342" s="8">
        <v>2019</v>
      </c>
      <c r="D342" s="8">
        <v>2020</v>
      </c>
      <c r="E342" s="8">
        <v>2021</v>
      </c>
    </row>
    <row r="343" spans="1:5" ht="15.75" thickBot="1" x14ac:dyDescent="0.3">
      <c r="A343" s="1251"/>
      <c r="B343" s="9" t="s">
        <v>10</v>
      </c>
      <c r="C343" s="9" t="s">
        <v>11</v>
      </c>
      <c r="D343" s="9" t="s">
        <v>11</v>
      </c>
      <c r="E343" s="9" t="s">
        <v>11</v>
      </c>
    </row>
    <row r="344" spans="1:5" ht="24.75" customHeight="1" thickBot="1" x14ac:dyDescent="0.3">
      <c r="A344" s="237" t="s">
        <v>58</v>
      </c>
      <c r="B344" s="60"/>
      <c r="C344" s="60"/>
      <c r="D344" s="60"/>
      <c r="E344" s="60"/>
    </row>
    <row r="345" spans="1:5" ht="24.75" customHeight="1" thickBot="1" x14ac:dyDescent="0.3">
      <c r="A345" s="237" t="s">
        <v>59</v>
      </c>
      <c r="B345" s="191">
        <v>800</v>
      </c>
      <c r="C345" s="60"/>
      <c r="D345" s="60"/>
      <c r="E345" s="60">
        <v>800</v>
      </c>
    </row>
    <row r="346" spans="1:5" ht="24.75" customHeight="1" thickBot="1" x14ac:dyDescent="0.3">
      <c r="A346" s="367" t="s">
        <v>43</v>
      </c>
      <c r="B346" s="191">
        <f>B345+B344</f>
        <v>800</v>
      </c>
      <c r="C346" s="191">
        <f>C345+C344</f>
        <v>0</v>
      </c>
      <c r="D346" s="191">
        <f>D345+D344</f>
        <v>0</v>
      </c>
      <c r="E346" s="191">
        <f>E345+E344</f>
        <v>800</v>
      </c>
    </row>
    <row r="347" spans="1:5" x14ac:dyDescent="0.25">
      <c r="A347" s="1254" t="s">
        <v>118</v>
      </c>
      <c r="B347" s="1322"/>
      <c r="C347" s="1289"/>
      <c r="D347" s="1289"/>
      <c r="E347" s="1290"/>
    </row>
    <row r="348" spans="1:5" x14ac:dyDescent="0.25">
      <c r="A348" s="1255"/>
      <c r="B348" s="1291"/>
      <c r="C348" s="1292"/>
      <c r="D348" s="1292"/>
      <c r="E348" s="1293"/>
    </row>
    <row r="349" spans="1:5" ht="15.75" thickBot="1" x14ac:dyDescent="0.3">
      <c r="A349" s="1256"/>
      <c r="B349" s="1294"/>
      <c r="C349" s="1295"/>
      <c r="D349" s="1295"/>
      <c r="E349" s="1296"/>
    </row>
    <row r="350" spans="1:5" ht="24.75" customHeight="1" thickBot="1" x14ac:dyDescent="0.3">
      <c r="A350" s="5" t="s">
        <v>1071</v>
      </c>
      <c r="B350" s="1660" t="s">
        <v>124</v>
      </c>
      <c r="C350" s="1661"/>
      <c r="D350" s="1661"/>
      <c r="E350" s="1662"/>
    </row>
    <row r="351" spans="1:5" ht="24.75" customHeight="1" thickBot="1" x14ac:dyDescent="0.3">
      <c r="A351" s="247" t="s">
        <v>44</v>
      </c>
      <c r="B351" s="1248" t="s">
        <v>1070</v>
      </c>
      <c r="C351" s="1249"/>
      <c r="D351" s="1249"/>
      <c r="E351" s="1316"/>
    </row>
    <row r="352" spans="1:5" ht="24.75" customHeight="1" thickBot="1" x14ac:dyDescent="0.3">
      <c r="A352" s="5" t="s">
        <v>17</v>
      </c>
      <c r="B352" s="1245" t="s">
        <v>1069</v>
      </c>
      <c r="C352" s="1246"/>
      <c r="D352" s="1246"/>
      <c r="E352" s="1298"/>
    </row>
    <row r="353" spans="1:5" ht="24.75" customHeight="1" thickBot="1" x14ac:dyDescent="0.3">
      <c r="A353" s="5" t="s">
        <v>18</v>
      </c>
      <c r="B353" s="1245" t="s">
        <v>1068</v>
      </c>
      <c r="C353" s="1246"/>
      <c r="D353" s="1246"/>
      <c r="E353" s="1298"/>
    </row>
    <row r="354" spans="1:5" x14ac:dyDescent="0.25">
      <c r="A354" s="1250"/>
      <c r="B354" s="8">
        <v>2018</v>
      </c>
      <c r="C354" s="8">
        <v>2019</v>
      </c>
      <c r="D354" s="8">
        <v>2020</v>
      </c>
      <c r="E354" s="8">
        <v>2021</v>
      </c>
    </row>
    <row r="355" spans="1:5" ht="15.75" thickBot="1" x14ac:dyDescent="0.3">
      <c r="A355" s="1251"/>
      <c r="B355" s="9" t="s">
        <v>10</v>
      </c>
      <c r="C355" s="9" t="s">
        <v>11</v>
      </c>
      <c r="D355" s="9" t="s">
        <v>11</v>
      </c>
      <c r="E355" s="9" t="s">
        <v>11</v>
      </c>
    </row>
    <row r="356" spans="1:5" ht="24.75" customHeight="1" thickBot="1" x14ac:dyDescent="0.3">
      <c r="A356" s="5" t="s">
        <v>19</v>
      </c>
      <c r="B356" s="10">
        <v>20</v>
      </c>
      <c r="C356" s="10"/>
      <c r="D356" s="10"/>
      <c r="E356" s="10"/>
    </row>
    <row r="357" spans="1:5" ht="24.75" customHeight="1" thickBot="1" x14ac:dyDescent="0.3">
      <c r="A357" s="5" t="s">
        <v>20</v>
      </c>
      <c r="B357" s="10">
        <v>120</v>
      </c>
      <c r="C357" s="10"/>
      <c r="D357" s="10"/>
      <c r="E357" s="10"/>
    </row>
    <row r="358" spans="1:5" ht="24.75" customHeight="1" thickBot="1" x14ac:dyDescent="0.3">
      <c r="A358" s="5" t="s">
        <v>21</v>
      </c>
      <c r="B358" s="10">
        <f>B357/B356</f>
        <v>6</v>
      </c>
      <c r="C358" s="10" t="e">
        <f>C357/C356</f>
        <v>#DIV/0!</v>
      </c>
      <c r="D358" s="10" t="e">
        <f>D357/D356</f>
        <v>#DIV/0!</v>
      </c>
      <c r="E358" s="10" t="e">
        <f>E357/E356</f>
        <v>#DIV/0!</v>
      </c>
    </row>
    <row r="359" spans="1:5" ht="24.75" customHeight="1" thickBot="1" x14ac:dyDescent="0.3">
      <c r="A359" s="5" t="s">
        <v>22</v>
      </c>
      <c r="B359" s="225" t="s">
        <v>23</v>
      </c>
      <c r="C359" s="11">
        <f t="shared" ref="C359:E361" si="14">C356/B356-1</f>
        <v>-1</v>
      </c>
      <c r="D359" s="11" t="e">
        <f t="shared" si="14"/>
        <v>#DIV/0!</v>
      </c>
      <c r="E359" s="11" t="e">
        <f t="shared" si="14"/>
        <v>#DIV/0!</v>
      </c>
    </row>
    <row r="360" spans="1:5" ht="24.75" customHeight="1" thickBot="1" x14ac:dyDescent="0.3">
      <c r="A360" s="5" t="s">
        <v>24</v>
      </c>
      <c r="B360" s="225" t="s">
        <v>23</v>
      </c>
      <c r="C360" s="11">
        <f t="shared" si="14"/>
        <v>-1</v>
      </c>
      <c r="D360" s="11" t="e">
        <f t="shared" si="14"/>
        <v>#DIV/0!</v>
      </c>
      <c r="E360" s="11" t="e">
        <f t="shared" si="14"/>
        <v>#DIV/0!</v>
      </c>
    </row>
    <row r="361" spans="1:5" ht="24.75" customHeight="1" thickBot="1" x14ac:dyDescent="0.3">
      <c r="A361" s="5" t="s">
        <v>25</v>
      </c>
      <c r="B361" s="225" t="s">
        <v>23</v>
      </c>
      <c r="C361" s="11" t="e">
        <f t="shared" si="14"/>
        <v>#DIV/0!</v>
      </c>
      <c r="D361" s="11" t="e">
        <f t="shared" si="14"/>
        <v>#DIV/0!</v>
      </c>
      <c r="E361" s="11" t="e">
        <f t="shared" si="14"/>
        <v>#DIV/0!</v>
      </c>
    </row>
    <row r="362" spans="1:5" ht="24.75" customHeight="1" thickBot="1" x14ac:dyDescent="0.3">
      <c r="A362" s="1278" t="s">
        <v>872</v>
      </c>
      <c r="B362" s="1279"/>
      <c r="C362" s="1279"/>
      <c r="D362" s="1279"/>
      <c r="E362" s="1355"/>
    </row>
    <row r="363" spans="1:5" x14ac:dyDescent="0.25">
      <c r="A363" s="1250"/>
      <c r="B363" s="8">
        <v>2018</v>
      </c>
      <c r="C363" s="8">
        <v>2019</v>
      </c>
      <c r="D363" s="8">
        <v>2020</v>
      </c>
      <c r="E363" s="8">
        <v>2021</v>
      </c>
    </row>
    <row r="364" spans="1:5" ht="15.75" thickBot="1" x14ac:dyDescent="0.3">
      <c r="A364" s="1251"/>
      <c r="B364" s="9" t="s">
        <v>10</v>
      </c>
      <c r="C364" s="9" t="s">
        <v>11</v>
      </c>
      <c r="D364" s="9" t="s">
        <v>11</v>
      </c>
      <c r="E364" s="9" t="s">
        <v>11</v>
      </c>
    </row>
    <row r="365" spans="1:5" ht="24.75" customHeight="1" thickBot="1" x14ac:dyDescent="0.3">
      <c r="A365" s="237" t="s">
        <v>58</v>
      </c>
      <c r="B365" s="60">
        <v>120</v>
      </c>
      <c r="C365" s="60"/>
      <c r="D365" s="60"/>
      <c r="E365" s="60"/>
    </row>
    <row r="366" spans="1:5" ht="24.75" customHeight="1" thickBot="1" x14ac:dyDescent="0.3">
      <c r="A366" s="237" t="s">
        <v>59</v>
      </c>
      <c r="B366" s="191"/>
      <c r="C366" s="60"/>
      <c r="D366" s="60"/>
      <c r="E366" s="60"/>
    </row>
    <row r="367" spans="1:5" ht="24.75" customHeight="1" thickBot="1" x14ac:dyDescent="0.3">
      <c r="A367" s="367" t="s">
        <v>52</v>
      </c>
      <c r="B367" s="191">
        <f>B366+B365</f>
        <v>120</v>
      </c>
      <c r="C367" s="191">
        <f>C366+C365</f>
        <v>0</v>
      </c>
      <c r="D367" s="191">
        <f>D366+D365</f>
        <v>0</v>
      </c>
      <c r="E367" s="191">
        <f>E366+E365</f>
        <v>0</v>
      </c>
    </row>
    <row r="368" spans="1:5" x14ac:dyDescent="0.25">
      <c r="A368" s="1254" t="s">
        <v>60</v>
      </c>
      <c r="B368" s="1322"/>
      <c r="C368" s="1289"/>
      <c r="D368" s="1289"/>
      <c r="E368" s="1290"/>
    </row>
    <row r="369" spans="1:5" x14ac:dyDescent="0.25">
      <c r="A369" s="1255"/>
      <c r="B369" s="1291"/>
      <c r="C369" s="1292"/>
      <c r="D369" s="1292"/>
      <c r="E369" s="1293"/>
    </row>
    <row r="370" spans="1:5" ht="15.75" thickBot="1" x14ac:dyDescent="0.3">
      <c r="A370" s="1256"/>
      <c r="B370" s="1294"/>
      <c r="C370" s="1295"/>
      <c r="D370" s="1295"/>
      <c r="E370" s="1296"/>
    </row>
    <row r="371" spans="1:5" ht="24.75" customHeight="1" thickBot="1" x14ac:dyDescent="0.3">
      <c r="A371" s="366" t="s">
        <v>1067</v>
      </c>
      <c r="B371" s="1660" t="s">
        <v>124</v>
      </c>
      <c r="C371" s="1661"/>
      <c r="D371" s="1661"/>
      <c r="E371" s="1662"/>
    </row>
    <row r="372" spans="1:5" ht="24.75" customHeight="1" thickBot="1" x14ac:dyDescent="0.3">
      <c r="A372" s="247" t="s">
        <v>53</v>
      </c>
      <c r="B372" s="1248" t="s">
        <v>1066</v>
      </c>
      <c r="C372" s="1249"/>
      <c r="D372" s="1249"/>
      <c r="E372" s="1316"/>
    </row>
    <row r="373" spans="1:5" ht="24.75" customHeight="1" thickBot="1" x14ac:dyDescent="0.3">
      <c r="A373" s="5" t="s">
        <v>17</v>
      </c>
      <c r="B373" s="1245" t="s">
        <v>1065</v>
      </c>
      <c r="C373" s="1246"/>
      <c r="D373" s="1246"/>
      <c r="E373" s="1298"/>
    </row>
    <row r="374" spans="1:5" ht="24.75" customHeight="1" thickBot="1" x14ac:dyDescent="0.3">
      <c r="A374" s="5" t="s">
        <v>18</v>
      </c>
      <c r="B374" s="1248" t="s">
        <v>798</v>
      </c>
      <c r="C374" s="1249"/>
      <c r="D374" s="1249"/>
      <c r="E374" s="1316"/>
    </row>
    <row r="375" spans="1:5" x14ac:dyDescent="0.25">
      <c r="A375" s="1250"/>
      <c r="B375" s="8">
        <v>2018</v>
      </c>
      <c r="C375" s="8">
        <v>2019</v>
      </c>
      <c r="D375" s="8">
        <v>2020</v>
      </c>
      <c r="E375" s="8">
        <v>2021</v>
      </c>
    </row>
    <row r="376" spans="1:5" ht="15.75" thickBot="1" x14ac:dyDescent="0.3">
      <c r="A376" s="1251"/>
      <c r="B376" s="9" t="s">
        <v>10</v>
      </c>
      <c r="C376" s="9" t="s">
        <v>11</v>
      </c>
      <c r="D376" s="9" t="s">
        <v>11</v>
      </c>
      <c r="E376" s="9" t="s">
        <v>11</v>
      </c>
    </row>
    <row r="377" spans="1:5" ht="24.75" customHeight="1" thickBot="1" x14ac:dyDescent="0.3">
      <c r="A377" s="5" t="s">
        <v>19</v>
      </c>
      <c r="B377" s="10">
        <v>3</v>
      </c>
      <c r="C377" s="10"/>
      <c r="D377" s="10">
        <v>5</v>
      </c>
      <c r="E377" s="10">
        <v>2</v>
      </c>
    </row>
    <row r="378" spans="1:5" ht="24.75" customHeight="1" thickBot="1" x14ac:dyDescent="0.3">
      <c r="A378" s="5" t="s">
        <v>20</v>
      </c>
      <c r="B378" s="10">
        <v>440</v>
      </c>
      <c r="C378" s="10"/>
      <c r="D378" s="10">
        <v>1000</v>
      </c>
      <c r="E378" s="10">
        <v>200</v>
      </c>
    </row>
    <row r="379" spans="1:5" ht="24.75" customHeight="1" thickBot="1" x14ac:dyDescent="0.3">
      <c r="A379" s="5" t="s">
        <v>21</v>
      </c>
      <c r="B379" s="10">
        <f>B378/B377</f>
        <v>146.66666666666666</v>
      </c>
      <c r="C379" s="10" t="e">
        <f>C378/C377</f>
        <v>#DIV/0!</v>
      </c>
      <c r="D379" s="10">
        <f>D378/D377</f>
        <v>200</v>
      </c>
      <c r="E379" s="10">
        <f>E378/E377</f>
        <v>100</v>
      </c>
    </row>
    <row r="380" spans="1:5" ht="24.75" customHeight="1" thickBot="1" x14ac:dyDescent="0.3">
      <c r="A380" s="5" t="s">
        <v>22</v>
      </c>
      <c r="B380" s="225" t="s">
        <v>23</v>
      </c>
      <c r="C380" s="11">
        <f t="shared" ref="C380:E382" si="15">C377/B377-1</f>
        <v>-1</v>
      </c>
      <c r="D380" s="11" t="e">
        <f t="shared" si="15"/>
        <v>#DIV/0!</v>
      </c>
      <c r="E380" s="11">
        <f t="shared" si="15"/>
        <v>-0.6</v>
      </c>
    </row>
    <row r="381" spans="1:5" ht="24.75" customHeight="1" thickBot="1" x14ac:dyDescent="0.3">
      <c r="A381" s="5" t="s">
        <v>24</v>
      </c>
      <c r="B381" s="225" t="s">
        <v>23</v>
      </c>
      <c r="C381" s="11">
        <f t="shared" si="15"/>
        <v>-1</v>
      </c>
      <c r="D381" s="11" t="e">
        <f t="shared" si="15"/>
        <v>#DIV/0!</v>
      </c>
      <c r="E381" s="11">
        <f t="shared" si="15"/>
        <v>-0.8</v>
      </c>
    </row>
    <row r="382" spans="1:5" ht="24.75" customHeight="1" thickBot="1" x14ac:dyDescent="0.3">
      <c r="A382" s="5" t="s">
        <v>25</v>
      </c>
      <c r="B382" s="225" t="s">
        <v>23</v>
      </c>
      <c r="C382" s="11" t="e">
        <f t="shared" si="15"/>
        <v>#DIV/0!</v>
      </c>
      <c r="D382" s="11" t="e">
        <f t="shared" si="15"/>
        <v>#DIV/0!</v>
      </c>
      <c r="E382" s="11">
        <f t="shared" si="15"/>
        <v>-0.5</v>
      </c>
    </row>
    <row r="383" spans="1:5" ht="24.75" customHeight="1" thickBot="1" x14ac:dyDescent="0.3">
      <c r="A383" s="1278" t="s">
        <v>1064</v>
      </c>
      <c r="B383" s="1279"/>
      <c r="C383" s="1279"/>
      <c r="D383" s="1279"/>
      <c r="E383" s="1355"/>
    </row>
    <row r="384" spans="1:5" x14ac:dyDescent="0.25">
      <c r="A384" s="1250"/>
      <c r="B384" s="8">
        <v>2018</v>
      </c>
      <c r="C384" s="8">
        <v>2019</v>
      </c>
      <c r="D384" s="8">
        <v>2020</v>
      </c>
      <c r="E384" s="8">
        <v>2021</v>
      </c>
    </row>
    <row r="385" spans="1:5" ht="15.75" thickBot="1" x14ac:dyDescent="0.3">
      <c r="A385" s="1251"/>
      <c r="B385" s="9" t="s">
        <v>10</v>
      </c>
      <c r="C385" s="9" t="s">
        <v>11</v>
      </c>
      <c r="D385" s="9" t="s">
        <v>11</v>
      </c>
      <c r="E385" s="9" t="s">
        <v>11</v>
      </c>
    </row>
    <row r="386" spans="1:5" ht="24.75" customHeight="1" thickBot="1" x14ac:dyDescent="0.3">
      <c r="A386" s="237" t="s">
        <v>58</v>
      </c>
      <c r="B386" s="60"/>
      <c r="C386" s="60"/>
      <c r="D386" s="60"/>
      <c r="E386" s="60"/>
    </row>
    <row r="387" spans="1:5" ht="24.75" customHeight="1" thickBot="1" x14ac:dyDescent="0.3">
      <c r="A387" s="237" t="s">
        <v>59</v>
      </c>
      <c r="B387" s="191">
        <v>440</v>
      </c>
      <c r="C387" s="60"/>
      <c r="D387" s="60">
        <v>1000</v>
      </c>
      <c r="E387" s="60">
        <v>200</v>
      </c>
    </row>
    <row r="388" spans="1:5" ht="24.75" customHeight="1" thickBot="1" x14ac:dyDescent="0.3">
      <c r="A388" s="365" t="s">
        <v>54</v>
      </c>
      <c r="B388" s="191">
        <f>B387+B386</f>
        <v>440</v>
      </c>
      <c r="C388" s="191">
        <f>C387+C386</f>
        <v>0</v>
      </c>
      <c r="D388" s="191">
        <f>D387+D386</f>
        <v>1000</v>
      </c>
      <c r="E388" s="191">
        <f>E387+E386</f>
        <v>200</v>
      </c>
    </row>
    <row r="389" spans="1:5" ht="24.75" customHeight="1" thickBot="1" x14ac:dyDescent="0.3">
      <c r="A389" s="366" t="s">
        <v>61</v>
      </c>
      <c r="B389" s="1660" t="s">
        <v>124</v>
      </c>
      <c r="C389" s="1661"/>
      <c r="D389" s="1661"/>
      <c r="E389" s="1662"/>
    </row>
    <row r="390" spans="1:5" ht="24.75" customHeight="1" thickBot="1" x14ac:dyDescent="0.3">
      <c r="A390" s="247" t="s">
        <v>476</v>
      </c>
      <c r="B390" s="1248" t="s">
        <v>1063</v>
      </c>
      <c r="C390" s="1249"/>
      <c r="D390" s="1249"/>
      <c r="E390" s="1316"/>
    </row>
    <row r="391" spans="1:5" ht="24.75" customHeight="1" thickBot="1" x14ac:dyDescent="0.3">
      <c r="A391" s="5" t="s">
        <v>17</v>
      </c>
      <c r="B391" s="1245" t="s">
        <v>1062</v>
      </c>
      <c r="C391" s="1246"/>
      <c r="D391" s="1246"/>
      <c r="E391" s="1298"/>
    </row>
    <row r="392" spans="1:5" ht="24.75" customHeight="1" thickBot="1" x14ac:dyDescent="0.3">
      <c r="A392" s="5" t="s">
        <v>18</v>
      </c>
      <c r="B392" s="1248" t="s">
        <v>798</v>
      </c>
      <c r="C392" s="1249"/>
      <c r="D392" s="1249"/>
      <c r="E392" s="1316"/>
    </row>
    <row r="393" spans="1:5" ht="24.75" customHeight="1" x14ac:dyDescent="0.25">
      <c r="A393" s="1250"/>
      <c r="B393" s="8">
        <v>2018</v>
      </c>
      <c r="C393" s="8">
        <v>2019</v>
      </c>
      <c r="D393" s="8">
        <v>2020</v>
      </c>
      <c r="E393" s="8">
        <v>2021</v>
      </c>
    </row>
    <row r="394" spans="1:5" ht="24.75" customHeight="1" thickBot="1" x14ac:dyDescent="0.3">
      <c r="A394" s="1251"/>
      <c r="B394" s="9" t="s">
        <v>10</v>
      </c>
      <c r="C394" s="9" t="s">
        <v>11</v>
      </c>
      <c r="D394" s="9" t="s">
        <v>11</v>
      </c>
      <c r="E394" s="9" t="s">
        <v>11</v>
      </c>
    </row>
    <row r="395" spans="1:5" ht="24.75" customHeight="1" thickBot="1" x14ac:dyDescent="0.3">
      <c r="A395" s="5" t="s">
        <v>19</v>
      </c>
      <c r="B395" s="10">
        <v>0</v>
      </c>
      <c r="C395" s="10">
        <v>1</v>
      </c>
      <c r="D395" s="10">
        <v>0</v>
      </c>
      <c r="E395" s="10">
        <v>0</v>
      </c>
    </row>
    <row r="396" spans="1:5" ht="24.75" customHeight="1" thickBot="1" x14ac:dyDescent="0.3">
      <c r="A396" s="5" t="s">
        <v>20</v>
      </c>
      <c r="B396" s="10">
        <v>0</v>
      </c>
      <c r="C396" s="10">
        <v>1000</v>
      </c>
      <c r="D396" s="10">
        <v>0</v>
      </c>
      <c r="E396" s="10">
        <v>0</v>
      </c>
    </row>
    <row r="397" spans="1:5" ht="24.75" customHeight="1" thickBot="1" x14ac:dyDescent="0.3">
      <c r="A397" s="5" t="s">
        <v>21</v>
      </c>
      <c r="B397" s="10" t="e">
        <f>B396/B395</f>
        <v>#DIV/0!</v>
      </c>
      <c r="C397" s="10">
        <f>C396/C395</f>
        <v>1000</v>
      </c>
      <c r="D397" s="10" t="e">
        <f>D396/D395</f>
        <v>#DIV/0!</v>
      </c>
      <c r="E397" s="10" t="e">
        <f>E396/E395</f>
        <v>#DIV/0!</v>
      </c>
    </row>
    <row r="398" spans="1:5" ht="24.75" customHeight="1" thickBot="1" x14ac:dyDescent="0.3">
      <c r="A398" s="5" t="s">
        <v>22</v>
      </c>
      <c r="B398" s="225" t="s">
        <v>23</v>
      </c>
      <c r="C398" s="11" t="e">
        <f t="shared" ref="C398:E400" si="16">C395/B395-1</f>
        <v>#DIV/0!</v>
      </c>
      <c r="D398" s="11">
        <f t="shared" si="16"/>
        <v>-1</v>
      </c>
      <c r="E398" s="11" t="e">
        <f t="shared" si="16"/>
        <v>#DIV/0!</v>
      </c>
    </row>
    <row r="399" spans="1:5" ht="24.75" customHeight="1" thickBot="1" x14ac:dyDescent="0.3">
      <c r="A399" s="5" t="s">
        <v>24</v>
      </c>
      <c r="B399" s="225" t="s">
        <v>23</v>
      </c>
      <c r="C399" s="11" t="e">
        <f t="shared" si="16"/>
        <v>#DIV/0!</v>
      </c>
      <c r="D399" s="11">
        <f t="shared" si="16"/>
        <v>-1</v>
      </c>
      <c r="E399" s="11" t="e">
        <f t="shared" si="16"/>
        <v>#DIV/0!</v>
      </c>
    </row>
    <row r="400" spans="1:5" ht="24.75" customHeight="1" thickBot="1" x14ac:dyDescent="0.3">
      <c r="A400" s="5" t="s">
        <v>25</v>
      </c>
      <c r="B400" s="225" t="s">
        <v>23</v>
      </c>
      <c r="C400" s="11" t="e">
        <f t="shared" si="16"/>
        <v>#DIV/0!</v>
      </c>
      <c r="D400" s="11" t="e">
        <f t="shared" si="16"/>
        <v>#DIV/0!</v>
      </c>
      <c r="E400" s="11" t="e">
        <f t="shared" si="16"/>
        <v>#DIV/0!</v>
      </c>
    </row>
    <row r="401" spans="1:5" ht="24.75" customHeight="1" thickBot="1" x14ac:dyDescent="0.3">
      <c r="A401" s="1278" t="s">
        <v>1061</v>
      </c>
      <c r="B401" s="1279"/>
      <c r="C401" s="1279"/>
      <c r="D401" s="1279"/>
      <c r="E401" s="1355"/>
    </row>
    <row r="402" spans="1:5" ht="24.75" customHeight="1" x14ac:dyDescent="0.25">
      <c r="A402" s="1250"/>
      <c r="B402" s="8">
        <v>2018</v>
      </c>
      <c r="C402" s="8">
        <v>2019</v>
      </c>
      <c r="D402" s="8">
        <v>2020</v>
      </c>
      <c r="E402" s="8">
        <v>2021</v>
      </c>
    </row>
    <row r="403" spans="1:5" ht="24.75" customHeight="1" thickBot="1" x14ac:dyDescent="0.3">
      <c r="A403" s="1251"/>
      <c r="B403" s="9" t="s">
        <v>10</v>
      </c>
      <c r="C403" s="9" t="s">
        <v>11</v>
      </c>
      <c r="D403" s="9" t="s">
        <v>11</v>
      </c>
      <c r="E403" s="9" t="s">
        <v>11</v>
      </c>
    </row>
    <row r="404" spans="1:5" ht="24.75" customHeight="1" thickBot="1" x14ac:dyDescent="0.3">
      <c r="A404" s="237" t="s">
        <v>58</v>
      </c>
      <c r="B404" s="60">
        <v>0</v>
      </c>
      <c r="C404" s="60">
        <v>0</v>
      </c>
      <c r="D404" s="60">
        <v>0</v>
      </c>
      <c r="E404" s="60">
        <v>0</v>
      </c>
    </row>
    <row r="405" spans="1:5" ht="24.75" customHeight="1" thickBot="1" x14ac:dyDescent="0.3">
      <c r="A405" s="237" t="s">
        <v>59</v>
      </c>
      <c r="B405" s="191">
        <v>0</v>
      </c>
      <c r="C405" s="60">
        <v>1000</v>
      </c>
      <c r="D405" s="60">
        <v>0</v>
      </c>
      <c r="E405" s="60">
        <v>0</v>
      </c>
    </row>
    <row r="406" spans="1:5" ht="24.75" customHeight="1" thickBot="1" x14ac:dyDescent="0.3">
      <c r="A406" s="365" t="s">
        <v>117</v>
      </c>
      <c r="B406" s="191">
        <f>B405+B404</f>
        <v>0</v>
      </c>
      <c r="C406" s="191">
        <f>C405+C404</f>
        <v>1000</v>
      </c>
      <c r="D406" s="191">
        <f>D405+D404</f>
        <v>0</v>
      </c>
      <c r="E406" s="191">
        <f>E405+E404</f>
        <v>0</v>
      </c>
    </row>
    <row r="407" spans="1:5" ht="24.75" customHeight="1" thickBot="1" x14ac:dyDescent="0.3">
      <c r="A407" s="22"/>
      <c r="B407" s="23"/>
      <c r="C407" s="23"/>
      <c r="D407" s="23"/>
      <c r="E407" s="23"/>
    </row>
    <row r="408" spans="1:5" ht="31.5" customHeight="1" thickBot="1" x14ac:dyDescent="0.3">
      <c r="A408" s="6" t="s">
        <v>82</v>
      </c>
      <c r="B408" s="238">
        <f>SUM(B396,B378,B357,B336,B315,B291,B268,B245,B222,B199,B176,B153,B130,B107,B84,B61,B38)</f>
        <v>164300</v>
      </c>
      <c r="C408" s="238">
        <f>SUM(C396,C378,C357,C336,C315,C291,C268,C245,C222,C199,C176,C153,C130,C107,C84,C61,C38)</f>
        <v>164120</v>
      </c>
      <c r="D408" s="238">
        <f>SUM(D396,D378,D357,D336,D315,D291,D268,D245,D222,D199,D176,D153,D130,D107,D84,D61,D38)</f>
        <v>164120</v>
      </c>
      <c r="E408" s="238">
        <f>SUM(E396,E378,E357,E336,E315,E291,E268,E245,E222,E199,E176,E153,E130,E107,E84,E61,E38)</f>
        <v>164120</v>
      </c>
    </row>
    <row r="409" spans="1:5" ht="32.25" customHeight="1" thickBot="1" x14ac:dyDescent="0.3">
      <c r="A409" s="6" t="s">
        <v>83</v>
      </c>
      <c r="B409" s="238">
        <f>SUM(B411,B413,B415,B417,B419,B421,B423,B425,B427)</f>
        <v>164300</v>
      </c>
      <c r="C409" s="238">
        <f>SUM(C411,C413,C415,C417,C419,C421,C423,C425,C427)</f>
        <v>164120</v>
      </c>
      <c r="D409" s="238">
        <f>SUM(D411,D413,D415,D417,D419,D421,D423,D425,D427)</f>
        <v>164120</v>
      </c>
      <c r="E409" s="238">
        <f>SUM(E411,E413,E415,E417,E419,E421,E423,E425,E427)</f>
        <v>164120</v>
      </c>
    </row>
    <row r="410" spans="1:5" ht="24.75" customHeight="1" thickBot="1" x14ac:dyDescent="0.3">
      <c r="A410" s="25" t="s">
        <v>84</v>
      </c>
      <c r="B410" s="26"/>
      <c r="C410" s="27">
        <f>C409/B409-1</f>
        <v>-1.0955569080949301E-3</v>
      </c>
      <c r="D410" s="27">
        <f>D409/C409-1</f>
        <v>0</v>
      </c>
      <c r="E410" s="27">
        <f>E409/D409-1</f>
        <v>0</v>
      </c>
    </row>
    <row r="411" spans="1:5" ht="24.75" customHeight="1" thickBot="1" x14ac:dyDescent="0.3">
      <c r="A411" s="13" t="s">
        <v>26</v>
      </c>
      <c r="B411" s="14">
        <f>SUM(B46,B69,B92,B115,B138,B161,B184,B207,B230,B253,B276,B299)</f>
        <v>7992</v>
      </c>
      <c r="C411" s="14">
        <f>SUM(C46,C69,C92,C115,C138,C161,C184,C207,C230,C253,C276,C299)</f>
        <v>7992</v>
      </c>
      <c r="D411" s="14">
        <f>SUM(D46,D69,D92,D115,D138,D161,D184,D207,D230,D253,D276,D299)</f>
        <v>7992</v>
      </c>
      <c r="E411" s="14">
        <f>SUM(E46,E69,E92,E115,E138,E161,E184,E207,E230,E253,E276,E299)</f>
        <v>7992</v>
      </c>
    </row>
    <row r="412" spans="1:5" ht="24.75" customHeight="1" thickBot="1" x14ac:dyDescent="0.3">
      <c r="A412" s="28" t="s">
        <v>85</v>
      </c>
      <c r="B412" s="15"/>
      <c r="C412" s="29">
        <f>C411/B411-1</f>
        <v>0</v>
      </c>
      <c r="D412" s="29">
        <f>D411/C411-1</f>
        <v>0</v>
      </c>
      <c r="E412" s="29">
        <f>E411/D411-1</f>
        <v>0</v>
      </c>
    </row>
    <row r="413" spans="1:5" ht="24.75" customHeight="1" thickBot="1" x14ac:dyDescent="0.3">
      <c r="A413" s="13" t="s">
        <v>28</v>
      </c>
      <c r="B413" s="60">
        <f>SUM(B47,B70,B93,B116,B139,B162,B185,B208,B231,B254,B277,B300)</f>
        <v>1308</v>
      </c>
      <c r="C413" s="60">
        <f>SUM(C47,C70,C93,C116,C139,C162,C185,C208,C231,C254,C277,C300)</f>
        <v>1308</v>
      </c>
      <c r="D413" s="60">
        <f>SUM(D47,D70,D93,D116,D139,D162,D185,D208,D231,D254,D277,D300)</f>
        <v>1308</v>
      </c>
      <c r="E413" s="60">
        <f>SUM(E47,E70,E93,E116,E139,E162,E185,E208,E231,E254,E277,E300)</f>
        <v>1308</v>
      </c>
    </row>
    <row r="414" spans="1:5" ht="24.75" customHeight="1" thickBot="1" x14ac:dyDescent="0.3">
      <c r="A414" s="28" t="s">
        <v>86</v>
      </c>
      <c r="B414" s="15"/>
      <c r="C414" s="29">
        <f>C413/B413-1</f>
        <v>0</v>
      </c>
      <c r="D414" s="29">
        <f>D413/C413-1</f>
        <v>0</v>
      </c>
      <c r="E414" s="29">
        <f>E413/D413-1</f>
        <v>0</v>
      </c>
    </row>
    <row r="415" spans="1:5" ht="24.75" customHeight="1" thickBot="1" x14ac:dyDescent="0.3">
      <c r="A415" s="13" t="s">
        <v>30</v>
      </c>
      <c r="B415" s="14">
        <f>SUM(B48,B71,B94,B117,B140,B163,B186,B209,B232,B255,B278,B301)</f>
        <v>4003</v>
      </c>
      <c r="C415" s="14">
        <f>SUM(C48,C71,C94,C117,C140,C163,C186,C209,C232,C255,C278,C301)</f>
        <v>3953</v>
      </c>
      <c r="D415" s="14">
        <f>SUM(D48,D71,D94,D117,D140,D163,D186,D209,D232,D255,D278,D301)</f>
        <v>3953</v>
      </c>
      <c r="E415" s="14">
        <f>SUM(E48,E71,E94,E117,E140,E163,E186,E209,E232,E255,E278,E301)</f>
        <v>3953</v>
      </c>
    </row>
    <row r="416" spans="1:5" ht="24.75" customHeight="1" thickBot="1" x14ac:dyDescent="0.3">
      <c r="A416" s="28" t="s">
        <v>87</v>
      </c>
      <c r="B416" s="15"/>
      <c r="C416" s="29">
        <f>C415/B415-1</f>
        <v>-1.2490632025980553E-2</v>
      </c>
      <c r="D416" s="29">
        <f>D415/C415-1</f>
        <v>0</v>
      </c>
      <c r="E416" s="29">
        <f>E415/D415-1</f>
        <v>0</v>
      </c>
    </row>
    <row r="417" spans="1:5" ht="24.75" customHeight="1" thickBot="1" x14ac:dyDescent="0.3">
      <c r="A417" s="13" t="s">
        <v>32</v>
      </c>
      <c r="B417" s="14">
        <f>SUM(B49,B72,B95,B118,B141,B164,B187,B210,B233,B256,B279,B302)</f>
        <v>0</v>
      </c>
      <c r="C417" s="14">
        <f>SUM(C49,C72,C95,C118,C141,C164,C187,C210,C233,C256,C279,C302)</f>
        <v>0</v>
      </c>
      <c r="D417" s="14">
        <f>SUM(D49,D72,D95,D118,D141,D164,D187,D210,D233,D256,D279,D302)</f>
        <v>0</v>
      </c>
      <c r="E417" s="14">
        <f>SUM(E49,E72,E95,E118,E141,E164,E187,E210,E233,E256,E279,E302)</f>
        <v>0</v>
      </c>
    </row>
    <row r="418" spans="1:5" ht="24.75" customHeight="1" thickBot="1" x14ac:dyDescent="0.3">
      <c r="A418" s="28" t="s">
        <v>88</v>
      </c>
      <c r="B418" s="15"/>
      <c r="C418" s="29" t="e">
        <f>C417/B417-1</f>
        <v>#DIV/0!</v>
      </c>
      <c r="D418" s="29" t="e">
        <f>D417/C417-1</f>
        <v>#DIV/0!</v>
      </c>
      <c r="E418" s="29" t="e">
        <f>E417/D417-1</f>
        <v>#DIV/0!</v>
      </c>
    </row>
    <row r="419" spans="1:5" ht="24.75" customHeight="1" thickBot="1" x14ac:dyDescent="0.3">
      <c r="A419" s="13" t="s">
        <v>34</v>
      </c>
      <c r="B419" s="14">
        <f>SUM(B50,B73,B96,B119,B142,B165,B188,B211,B234,B257,B280,B303)</f>
        <v>130397</v>
      </c>
      <c r="C419" s="14">
        <f>SUM(C50,C73,C96,C119,C142,C165,C188,C211,C234,C257,C280,C303)</f>
        <v>131267</v>
      </c>
      <c r="D419" s="14">
        <f>SUM(D50,D73,D96,D119,D142,D165,D188,D211,D234,D257,D280,D303)</f>
        <v>131267</v>
      </c>
      <c r="E419" s="14">
        <f>SUM(E50,E73,E96,E119,E142,E165,E188,E211,E234,E257,E280,E303)</f>
        <v>131267</v>
      </c>
    </row>
    <row r="420" spans="1:5" ht="24.75" customHeight="1" thickBot="1" x14ac:dyDescent="0.3">
      <c r="A420" s="28" t="s">
        <v>89</v>
      </c>
      <c r="B420" s="15"/>
      <c r="C420" s="29">
        <f>C419/B419-1</f>
        <v>6.6719326364870213E-3</v>
      </c>
      <c r="D420" s="29">
        <f>D419/C419-1</f>
        <v>0</v>
      </c>
      <c r="E420" s="29">
        <f>E419/D419-1</f>
        <v>0</v>
      </c>
    </row>
    <row r="421" spans="1:5" ht="24.75" customHeight="1" thickBot="1" x14ac:dyDescent="0.3">
      <c r="A421" s="13" t="s">
        <v>36</v>
      </c>
      <c r="B421" s="14">
        <f>SUM(B51,B74,B97,B120,B143,B166,B189,B212,B235,B258,B281,B304)</f>
        <v>18600</v>
      </c>
      <c r="C421" s="14">
        <f>SUM(C51,C74,C97,C120,C143,C166,C189,C212,C235,C258,C281,C304)</f>
        <v>18600</v>
      </c>
      <c r="D421" s="14">
        <f>SUM(D51,D74,D97,D120,D143,D166,D189,D212,D235,D258,D281,D304)</f>
        <v>18600</v>
      </c>
      <c r="E421" s="14">
        <f>SUM(E51,E74,E97,E120,E143,E166,E189,E212,E235,E258,E281,E304)</f>
        <v>18600</v>
      </c>
    </row>
    <row r="422" spans="1:5" ht="24.75" customHeight="1" thickBot="1" x14ac:dyDescent="0.3">
      <c r="A422" s="28" t="s">
        <v>90</v>
      </c>
      <c r="B422" s="15"/>
      <c r="C422" s="29">
        <f>C421/B421-1</f>
        <v>0</v>
      </c>
      <c r="D422" s="29">
        <f>D421/C421-1</f>
        <v>0</v>
      </c>
      <c r="E422" s="29">
        <f>E421/D421-1</f>
        <v>0</v>
      </c>
    </row>
    <row r="423" spans="1:5" ht="24.75" customHeight="1" thickBot="1" x14ac:dyDescent="0.3">
      <c r="A423" s="13" t="s">
        <v>38</v>
      </c>
      <c r="B423" s="14">
        <f>SUM(B52,B75,B98,B121,B144,B167,B190,B213,B236,B259,B282,B305)</f>
        <v>0</v>
      </c>
      <c r="C423" s="14">
        <f>SUM(C52,C75,C98,C121,C144,C167,C190,C213,C236,C259,C282,C305)</f>
        <v>0</v>
      </c>
      <c r="D423" s="14">
        <f>SUM(D52,D75,D98,D121,D144,D167,D190,D213,D236,D259,D282,D305)</f>
        <v>0</v>
      </c>
      <c r="E423" s="14">
        <f>SUM(E52,E75,E98,E121,E144,E167,E190,E213,E236,E259,E282,E305)</f>
        <v>0</v>
      </c>
    </row>
    <row r="424" spans="1:5" ht="24.75" customHeight="1" thickBot="1" x14ac:dyDescent="0.3">
      <c r="A424" s="28" t="s">
        <v>91</v>
      </c>
      <c r="B424" s="15"/>
      <c r="C424" s="29" t="e">
        <f>C423/B423-1</f>
        <v>#DIV/0!</v>
      </c>
      <c r="D424" s="29" t="e">
        <f>D423/C423-1</f>
        <v>#DIV/0!</v>
      </c>
      <c r="E424" s="29" t="e">
        <f>E423/D423-1</f>
        <v>#DIV/0!</v>
      </c>
    </row>
    <row r="425" spans="1:5" ht="24.75" customHeight="1" thickBot="1" x14ac:dyDescent="0.3">
      <c r="A425" s="13" t="s">
        <v>92</v>
      </c>
      <c r="B425" s="14">
        <f>SUM(B404,B323,B344,B365,B386)</f>
        <v>120</v>
      </c>
      <c r="C425" s="14">
        <f>SUM(C404,C323,C344,C365,C386)</f>
        <v>0</v>
      </c>
      <c r="D425" s="14">
        <f>SUM(D404,D323,D344,D365,D386)</f>
        <v>0</v>
      </c>
      <c r="E425" s="14">
        <f>SUM(E404,E323,E344,E365,E386)</f>
        <v>0</v>
      </c>
    </row>
    <row r="426" spans="1:5" ht="24.75" customHeight="1" thickBot="1" x14ac:dyDescent="0.3">
      <c r="A426" s="28" t="s">
        <v>93</v>
      </c>
      <c r="B426" s="15"/>
      <c r="C426" s="29">
        <f>C425/B425-1</f>
        <v>-1</v>
      </c>
      <c r="D426" s="29" t="e">
        <f>D425/C425-1</f>
        <v>#DIV/0!</v>
      </c>
      <c r="E426" s="29" t="e">
        <f>E425/D425-1</f>
        <v>#DIV/0!</v>
      </c>
    </row>
    <row r="427" spans="1:5" ht="24.75" customHeight="1" thickBot="1" x14ac:dyDescent="0.3">
      <c r="A427" s="13" t="s">
        <v>94</v>
      </c>
      <c r="B427" s="14">
        <f>SUM(B405,B324,B345,B366,B387)</f>
        <v>1880</v>
      </c>
      <c r="C427" s="14">
        <f>SUM(C405,C324,C345,C366,C387)</f>
        <v>1000</v>
      </c>
      <c r="D427" s="14">
        <f>SUM(D405,D324,D345,D366,D387)</f>
        <v>1000</v>
      </c>
      <c r="E427" s="14">
        <f>SUM(E405,E324,E345,E366,E387)</f>
        <v>1000</v>
      </c>
    </row>
    <row r="428" spans="1:5" ht="24.75" customHeight="1" thickBot="1" x14ac:dyDescent="0.3">
      <c r="A428" s="28" t="s">
        <v>95</v>
      </c>
      <c r="B428" s="15"/>
      <c r="C428" s="29">
        <f>C427/B427-1</f>
        <v>-0.46808510638297873</v>
      </c>
      <c r="D428" s="29">
        <f>D427/C427-1</f>
        <v>0</v>
      </c>
      <c r="E428" s="29">
        <f>E427/D427-1</f>
        <v>0</v>
      </c>
    </row>
    <row r="429" spans="1:5" ht="24.75" customHeight="1" thickBot="1" x14ac:dyDescent="0.3">
      <c r="A429" s="17" t="s">
        <v>41</v>
      </c>
      <c r="B429" s="18">
        <f>IF(B409-B408=0,0,"Error")</f>
        <v>0</v>
      </c>
      <c r="C429" s="18">
        <f>IF(C409-C408=0,0,"Error")</f>
        <v>0</v>
      </c>
      <c r="D429" s="18">
        <f>IF(D409-D408=0,0,"Error")</f>
        <v>0</v>
      </c>
      <c r="E429" s="18">
        <f>IF(E409-E408=0,0,"Error")</f>
        <v>0</v>
      </c>
    </row>
    <row r="430" spans="1:5" ht="40.5" customHeight="1" thickBot="1" x14ac:dyDescent="0.3">
      <c r="A430" s="30" t="s">
        <v>96</v>
      </c>
      <c r="B430" s="14">
        <v>9</v>
      </c>
      <c r="C430" s="14">
        <v>9</v>
      </c>
      <c r="D430" s="14">
        <v>9</v>
      </c>
      <c r="E430" s="14">
        <v>9</v>
      </c>
    </row>
    <row r="431" spans="1:5" ht="36.75" thickBot="1" x14ac:dyDescent="0.3">
      <c r="A431" s="30" t="s">
        <v>97</v>
      </c>
      <c r="B431" s="14">
        <v>1</v>
      </c>
      <c r="C431" s="14">
        <v>1</v>
      </c>
      <c r="D431" s="14">
        <v>1</v>
      </c>
      <c r="E431" s="14">
        <v>1</v>
      </c>
    </row>
  </sheetData>
  <mergeCells count="130">
    <mergeCell ref="A10:E10"/>
    <mergeCell ref="B12:E12"/>
    <mergeCell ref="B13:E13"/>
    <mergeCell ref="B14:E14"/>
    <mergeCell ref="A15:E15"/>
    <mergeCell ref="A16:E18"/>
    <mergeCell ref="B19:E19"/>
    <mergeCell ref="A20:A21"/>
    <mergeCell ref="B25:E25"/>
    <mergeCell ref="A26:E26"/>
    <mergeCell ref="A30:E30"/>
    <mergeCell ref="A31:E31"/>
    <mergeCell ref="B32:E32"/>
    <mergeCell ref="B33:E33"/>
    <mergeCell ref="B34:E34"/>
    <mergeCell ref="A35:A36"/>
    <mergeCell ref="A43:E43"/>
    <mergeCell ref="A44:A45"/>
    <mergeCell ref="B55:E55"/>
    <mergeCell ref="B56:E56"/>
    <mergeCell ref="B57:E57"/>
    <mergeCell ref="A59:A60"/>
    <mergeCell ref="A66:E66"/>
    <mergeCell ref="A67:A68"/>
    <mergeCell ref="B78:E78"/>
    <mergeCell ref="B79:E79"/>
    <mergeCell ref="B80:E80"/>
    <mergeCell ref="A82:A83"/>
    <mergeCell ref="A89:E89"/>
    <mergeCell ref="A90:A91"/>
    <mergeCell ref="A136:A137"/>
    <mergeCell ref="B101:E101"/>
    <mergeCell ref="B102:E102"/>
    <mergeCell ref="B103:E103"/>
    <mergeCell ref="A105:A106"/>
    <mergeCell ref="A112:E112"/>
    <mergeCell ref="A113:A114"/>
    <mergeCell ref="B148:E148"/>
    <mergeCell ref="B149:E149"/>
    <mergeCell ref="A151:A152"/>
    <mergeCell ref="A158:E158"/>
    <mergeCell ref="A159:A160"/>
    <mergeCell ref="B124:E124"/>
    <mergeCell ref="B125:E125"/>
    <mergeCell ref="B126:E126"/>
    <mergeCell ref="A128:A129"/>
    <mergeCell ref="A135:E135"/>
    <mergeCell ref="B170:E170"/>
    <mergeCell ref="B171:E171"/>
    <mergeCell ref="B172:E172"/>
    <mergeCell ref="A174:A175"/>
    <mergeCell ref="A181:E181"/>
    <mergeCell ref="A182:A183"/>
    <mergeCell ref="B193:E193"/>
    <mergeCell ref="B194:E194"/>
    <mergeCell ref="B195:E195"/>
    <mergeCell ref="B239:E239"/>
    <mergeCell ref="B240:E240"/>
    <mergeCell ref="B241:E241"/>
    <mergeCell ref="A243:A244"/>
    <mergeCell ref="A250:E250"/>
    <mergeCell ref="A251:A252"/>
    <mergeCell ref="A333:A334"/>
    <mergeCell ref="A197:A198"/>
    <mergeCell ref="A204:E204"/>
    <mergeCell ref="A205:A206"/>
    <mergeCell ref="B216:E216"/>
    <mergeCell ref="B217:E217"/>
    <mergeCell ref="B218:E218"/>
    <mergeCell ref="A220:A221"/>
    <mergeCell ref="A227:E227"/>
    <mergeCell ref="A228:A229"/>
    <mergeCell ref="A342:A343"/>
    <mergeCell ref="A312:A313"/>
    <mergeCell ref="A320:E320"/>
    <mergeCell ref="A321:A322"/>
    <mergeCell ref="A326:A328"/>
    <mergeCell ref="B326:E328"/>
    <mergeCell ref="B329:E329"/>
    <mergeCell ref="B287:E287"/>
    <mergeCell ref="B310:E310"/>
    <mergeCell ref="B311:E311"/>
    <mergeCell ref="A402:A403"/>
    <mergeCell ref="A288:A289"/>
    <mergeCell ref="A296:E296"/>
    <mergeCell ref="A297:A298"/>
    <mergeCell ref="A383:E383"/>
    <mergeCell ref="A384:A385"/>
    <mergeCell ref="B371:E371"/>
    <mergeCell ref="B372:E372"/>
    <mergeCell ref="B373:E373"/>
    <mergeCell ref="B374:E374"/>
    <mergeCell ref="B389:E389"/>
    <mergeCell ref="B390:E390"/>
    <mergeCell ref="B391:E391"/>
    <mergeCell ref="B392:E392"/>
    <mergeCell ref="A393:A394"/>
    <mergeCell ref="A401:E401"/>
    <mergeCell ref="A347:A349"/>
    <mergeCell ref="B347:E349"/>
    <mergeCell ref="B350:E350"/>
    <mergeCell ref="B351:E351"/>
    <mergeCell ref="B352:E352"/>
    <mergeCell ref="B353:E353"/>
    <mergeCell ref="B330:E330"/>
    <mergeCell ref="B331:E331"/>
    <mergeCell ref="B4:E4"/>
    <mergeCell ref="B5:E5"/>
    <mergeCell ref="B6:E6"/>
    <mergeCell ref="C7:E7"/>
    <mergeCell ref="C8:E8"/>
    <mergeCell ref="C9:E9"/>
    <mergeCell ref="A375:A376"/>
    <mergeCell ref="A354:A355"/>
    <mergeCell ref="A362:E362"/>
    <mergeCell ref="A363:A364"/>
    <mergeCell ref="A368:A370"/>
    <mergeCell ref="B368:E370"/>
    <mergeCell ref="B262:E262"/>
    <mergeCell ref="B263:E263"/>
    <mergeCell ref="B264:E264"/>
    <mergeCell ref="A265:A266"/>
    <mergeCell ref="A273:E273"/>
    <mergeCell ref="A274:A275"/>
    <mergeCell ref="B285:E285"/>
    <mergeCell ref="B286:E286"/>
    <mergeCell ref="B332:E332"/>
    <mergeCell ref="B308:E308"/>
    <mergeCell ref="B309:E309"/>
    <mergeCell ref="A341:E34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F207"/>
  <sheetViews>
    <sheetView view="pageBreakPreview" topLeftCell="A149" zoomScale="60" zoomScaleNormal="170" workbookViewId="0">
      <selection activeCell="H208" sqref="H208"/>
    </sheetView>
  </sheetViews>
  <sheetFormatPr defaultColWidth="19.85546875" defaultRowHeight="11.25" x14ac:dyDescent="0.2"/>
  <cols>
    <col min="1" max="1" width="37.7109375" style="376" customWidth="1"/>
    <col min="2" max="2" width="13.7109375" style="376" customWidth="1"/>
    <col min="3" max="3" width="15.42578125" style="376" customWidth="1"/>
    <col min="4" max="4" width="13.140625" style="376" customWidth="1"/>
    <col min="5" max="5" width="14" style="376" customWidth="1"/>
    <col min="6" max="16384" width="19.85546875" style="376"/>
  </cols>
  <sheetData>
    <row r="1" spans="1:5" ht="15" x14ac:dyDescent="0.25">
      <c r="A1" s="189" t="s">
        <v>898</v>
      </c>
      <c r="B1" s="188"/>
      <c r="C1" s="188"/>
      <c r="D1" s="188"/>
      <c r="E1"/>
    </row>
    <row r="2" spans="1:5" ht="15" x14ac:dyDescent="0.25">
      <c r="A2"/>
      <c r="B2"/>
      <c r="C2"/>
      <c r="D2"/>
      <c r="E2"/>
    </row>
    <row r="3" spans="1:5" ht="15.75" thickBot="1" x14ac:dyDescent="0.3">
      <c r="A3"/>
      <c r="B3"/>
      <c r="C3"/>
      <c r="D3"/>
      <c r="E3"/>
    </row>
    <row r="4" spans="1:5" ht="32.25" thickBot="1" x14ac:dyDescent="0.25">
      <c r="A4" s="420" t="s">
        <v>897</v>
      </c>
      <c r="B4" s="1675" t="s">
        <v>1176</v>
      </c>
      <c r="C4" s="1675"/>
      <c r="D4" s="1675"/>
      <c r="E4" s="1675"/>
    </row>
    <row r="5" spans="1:5" ht="32.25" thickBot="1" x14ac:dyDescent="0.25">
      <c r="A5" s="418" t="s">
        <v>895</v>
      </c>
      <c r="B5" s="1676" t="s">
        <v>1175</v>
      </c>
      <c r="C5" s="1676"/>
      <c r="D5" s="1676"/>
      <c r="E5" s="1676"/>
    </row>
    <row r="6" spans="1:5" ht="32.25" thickBot="1" x14ac:dyDescent="0.25">
      <c r="A6" s="418" t="s">
        <v>914</v>
      </c>
      <c r="B6" s="1677" t="s">
        <v>1174</v>
      </c>
      <c r="C6" s="1677"/>
      <c r="D6" s="1677"/>
      <c r="E6" s="1677"/>
    </row>
    <row r="7" spans="1:5" ht="32.25" thickBot="1" x14ac:dyDescent="0.25">
      <c r="A7" s="418" t="s">
        <v>891</v>
      </c>
      <c r="B7" s="419" t="s">
        <v>912</v>
      </c>
      <c r="C7" s="1678" t="s">
        <v>7</v>
      </c>
      <c r="D7" s="1678"/>
      <c r="E7" s="1678"/>
    </row>
    <row r="8" spans="1:5" ht="16.5" thickBot="1" x14ac:dyDescent="0.25">
      <c r="A8" s="418" t="s">
        <v>929</v>
      </c>
      <c r="B8" s="417" t="s">
        <v>1173</v>
      </c>
      <c r="C8" s="1679" t="s">
        <v>1172</v>
      </c>
      <c r="D8" s="1679"/>
      <c r="E8" s="1679"/>
    </row>
    <row r="10" spans="1:5" ht="18" customHeight="1" x14ac:dyDescent="0.2">
      <c r="A10" s="416" t="s">
        <v>122</v>
      </c>
      <c r="B10" s="416"/>
      <c r="C10" s="416"/>
      <c r="D10" s="416"/>
      <c r="E10" s="416"/>
    </row>
    <row r="11" spans="1:5" ht="18" customHeight="1" x14ac:dyDescent="0.2">
      <c r="A11" s="1740" t="s">
        <v>948</v>
      </c>
      <c r="B11" s="1740"/>
      <c r="C11" s="1740"/>
      <c r="D11" s="1740"/>
      <c r="E11" s="1740"/>
    </row>
    <row r="12" spans="1:5" ht="12" thickBot="1" x14ac:dyDescent="0.25"/>
    <row r="13" spans="1:5" ht="23.25" customHeight="1" thickBot="1" x14ac:dyDescent="0.25">
      <c r="A13" s="415" t="s">
        <v>2</v>
      </c>
      <c r="B13" s="1669" t="s">
        <v>166</v>
      </c>
      <c r="C13" s="1670"/>
      <c r="D13" s="1670"/>
      <c r="E13" s="1671"/>
    </row>
    <row r="14" spans="1:5" ht="18" customHeight="1" thickBot="1" x14ac:dyDescent="0.25">
      <c r="A14" s="415" t="s">
        <v>3</v>
      </c>
      <c r="B14" s="1741" t="s">
        <v>1171</v>
      </c>
      <c r="C14" s="1742"/>
      <c r="D14" s="1742"/>
      <c r="E14" s="1743"/>
    </row>
    <row r="15" spans="1:5" ht="19.5" customHeight="1" thickBot="1" x14ac:dyDescent="0.25">
      <c r="A15" s="415" t="s">
        <v>5</v>
      </c>
      <c r="B15" s="1691" t="s">
        <v>6</v>
      </c>
      <c r="C15" s="1692"/>
      <c r="D15" s="1692"/>
      <c r="E15" s="1693"/>
    </row>
    <row r="16" spans="1:5" ht="12.75" customHeight="1" thickBot="1" x14ac:dyDescent="0.25">
      <c r="A16" s="1744" t="s">
        <v>7</v>
      </c>
      <c r="B16" s="1745"/>
      <c r="C16" s="1745"/>
      <c r="D16" s="1745"/>
      <c r="E16" s="1746"/>
    </row>
    <row r="17" spans="1:5" ht="9" customHeight="1" x14ac:dyDescent="0.2">
      <c r="A17" s="1747" t="s">
        <v>167</v>
      </c>
      <c r="B17" s="1748"/>
      <c r="C17" s="1748"/>
      <c r="D17" s="1748"/>
      <c r="E17" s="1749"/>
    </row>
    <row r="18" spans="1:5" ht="13.5" customHeight="1" x14ac:dyDescent="0.2">
      <c r="A18" s="1750"/>
      <c r="B18" s="1751"/>
      <c r="C18" s="1751"/>
      <c r="D18" s="1751"/>
      <c r="E18" s="1752"/>
    </row>
    <row r="19" spans="1:5" ht="8.25" customHeight="1" thickBot="1" x14ac:dyDescent="0.25">
      <c r="A19" s="1753"/>
      <c r="B19" s="1754"/>
      <c r="C19" s="1754"/>
      <c r="D19" s="1754"/>
      <c r="E19" s="1755"/>
    </row>
    <row r="20" spans="1:5" ht="56.25" customHeight="1" thickBot="1" x14ac:dyDescent="0.25">
      <c r="A20" s="414" t="s">
        <v>8</v>
      </c>
      <c r="B20" s="1732" t="s">
        <v>1170</v>
      </c>
      <c r="C20" s="1733"/>
      <c r="D20" s="1733"/>
      <c r="E20" s="1734"/>
    </row>
    <row r="21" spans="1:5" ht="18" customHeight="1" x14ac:dyDescent="0.2">
      <c r="A21" s="1735" t="s">
        <v>9</v>
      </c>
      <c r="B21" s="413">
        <v>2018</v>
      </c>
      <c r="C21" s="413">
        <v>2019</v>
      </c>
      <c r="D21" s="413">
        <v>2020</v>
      </c>
      <c r="E21" s="413">
        <v>2021</v>
      </c>
    </row>
    <row r="22" spans="1:5" ht="13.5" customHeight="1" thickBot="1" x14ac:dyDescent="0.25">
      <c r="A22" s="1736"/>
      <c r="B22" s="412" t="s">
        <v>10</v>
      </c>
      <c r="C22" s="412" t="s">
        <v>11</v>
      </c>
      <c r="D22" s="412" t="s">
        <v>11</v>
      </c>
      <c r="E22" s="412" t="s">
        <v>11</v>
      </c>
    </row>
    <row r="23" spans="1:5" ht="43.5" customHeight="1" thickBot="1" x14ac:dyDescent="0.25">
      <c r="A23" s="411" t="s">
        <v>168</v>
      </c>
      <c r="B23" s="410">
        <v>1</v>
      </c>
      <c r="C23" s="410">
        <v>1</v>
      </c>
      <c r="D23" s="410">
        <v>1</v>
      </c>
      <c r="E23" s="410">
        <v>1</v>
      </c>
    </row>
    <row r="24" spans="1:5" ht="54" customHeight="1" thickBot="1" x14ac:dyDescent="0.25">
      <c r="A24" s="389" t="s">
        <v>12</v>
      </c>
      <c r="B24" s="1737" t="s">
        <v>1169</v>
      </c>
      <c r="C24" s="1738"/>
      <c r="D24" s="1738"/>
      <c r="E24" s="1739"/>
    </row>
    <row r="25" spans="1:5" ht="23.25" customHeight="1" thickBot="1" x14ac:dyDescent="0.25">
      <c r="A25" s="1691" t="s">
        <v>13</v>
      </c>
      <c r="B25" s="1692"/>
      <c r="C25" s="1692"/>
      <c r="D25" s="1692"/>
      <c r="E25" s="1693"/>
    </row>
    <row r="26" spans="1:5" ht="57" customHeight="1" thickBot="1" x14ac:dyDescent="0.25">
      <c r="A26" s="409" t="s">
        <v>1168</v>
      </c>
      <c r="B26" s="402">
        <v>1</v>
      </c>
      <c r="C26" s="408">
        <v>1</v>
      </c>
      <c r="D26" s="402">
        <v>1</v>
      </c>
      <c r="E26" s="402">
        <v>1</v>
      </c>
    </row>
    <row r="27" spans="1:5" ht="12" thickBot="1" x14ac:dyDescent="0.25">
      <c r="A27" s="1384" t="s">
        <v>14</v>
      </c>
      <c r="B27" s="1385"/>
      <c r="C27" s="1385"/>
      <c r="D27" s="1385"/>
      <c r="E27" s="1386"/>
    </row>
    <row r="28" spans="1:5" ht="12" thickBot="1" x14ac:dyDescent="0.25">
      <c r="A28" s="1384" t="s">
        <v>15</v>
      </c>
      <c r="B28" s="1385"/>
      <c r="C28" s="1385"/>
      <c r="D28" s="1385"/>
      <c r="E28" s="1386"/>
    </row>
    <row r="29" spans="1:5" ht="12" thickBot="1" x14ac:dyDescent="0.25">
      <c r="A29" s="400" t="s">
        <v>16</v>
      </c>
      <c r="B29" s="1717" t="s">
        <v>1167</v>
      </c>
      <c r="C29" s="1718"/>
      <c r="D29" s="1718"/>
      <c r="E29" s="1719"/>
    </row>
    <row r="30" spans="1:5" ht="34.5" customHeight="1" thickBot="1" x14ac:dyDescent="0.25">
      <c r="A30" s="397" t="s">
        <v>17</v>
      </c>
      <c r="B30" s="1691" t="s">
        <v>1166</v>
      </c>
      <c r="C30" s="1692"/>
      <c r="D30" s="1692"/>
      <c r="E30" s="1693"/>
    </row>
    <row r="31" spans="1:5" ht="12" thickBot="1" x14ac:dyDescent="0.25">
      <c r="A31" s="397" t="s">
        <v>18</v>
      </c>
      <c r="B31" s="1669">
        <v>1</v>
      </c>
      <c r="C31" s="1670"/>
      <c r="D31" s="1670"/>
      <c r="E31" s="1671"/>
    </row>
    <row r="32" spans="1:5" ht="12.75" customHeight="1" x14ac:dyDescent="0.2">
      <c r="A32" s="1694"/>
      <c r="B32" s="394">
        <v>2018</v>
      </c>
      <c r="C32" s="394">
        <v>2019</v>
      </c>
      <c r="D32" s="394">
        <v>2020</v>
      </c>
      <c r="E32" s="394">
        <v>2021</v>
      </c>
    </row>
    <row r="33" spans="1:6" ht="15.75" customHeight="1" thickBot="1" x14ac:dyDescent="0.25">
      <c r="A33" s="1695"/>
      <c r="B33" s="393" t="s">
        <v>10</v>
      </c>
      <c r="C33" s="393" t="s">
        <v>11</v>
      </c>
      <c r="D33" s="393" t="s">
        <v>11</v>
      </c>
      <c r="E33" s="393" t="s">
        <v>11</v>
      </c>
    </row>
    <row r="34" spans="1:6" ht="12" thickBot="1" x14ac:dyDescent="0.25">
      <c r="A34" s="397" t="s">
        <v>19</v>
      </c>
      <c r="B34" s="407">
        <v>1</v>
      </c>
      <c r="C34" s="407">
        <v>1</v>
      </c>
      <c r="D34" s="407">
        <v>1</v>
      </c>
      <c r="E34" s="407">
        <v>1</v>
      </c>
    </row>
    <row r="35" spans="1:6" ht="12" thickBot="1" x14ac:dyDescent="0.25">
      <c r="A35" s="397" t="s">
        <v>20</v>
      </c>
      <c r="B35" s="399">
        <f>B43+B46+B49</f>
        <v>58200</v>
      </c>
      <c r="C35" s="399">
        <f>C43+C46+C49</f>
        <v>81556</v>
      </c>
      <c r="D35" s="399">
        <f>D43+D46+D49</f>
        <v>81836</v>
      </c>
      <c r="E35" s="399">
        <f>E43+E46+E49</f>
        <v>82056</v>
      </c>
    </row>
    <row r="36" spans="1:6" ht="12" customHeight="1" thickBot="1" x14ac:dyDescent="0.25">
      <c r="A36" s="397" t="s">
        <v>21</v>
      </c>
      <c r="B36" s="399">
        <f>B35/B34</f>
        <v>58200</v>
      </c>
      <c r="C36" s="399">
        <f>C35/C34</f>
        <v>81556</v>
      </c>
      <c r="D36" s="399">
        <f>D35/D34</f>
        <v>81836</v>
      </c>
      <c r="E36" s="399">
        <f>E35/E34</f>
        <v>82056</v>
      </c>
    </row>
    <row r="37" spans="1:6" ht="12" thickBot="1" x14ac:dyDescent="0.25">
      <c r="A37" s="397" t="s">
        <v>22</v>
      </c>
      <c r="B37" s="396" t="s">
        <v>23</v>
      </c>
      <c r="C37" s="395">
        <f t="shared" ref="C37:E39" si="0">C34/B34-1</f>
        <v>0</v>
      </c>
      <c r="D37" s="395">
        <f t="shared" si="0"/>
        <v>0</v>
      </c>
      <c r="E37" s="395">
        <f t="shared" si="0"/>
        <v>0</v>
      </c>
      <c r="F37" s="398"/>
    </row>
    <row r="38" spans="1:6" ht="12" customHeight="1" thickBot="1" x14ac:dyDescent="0.25">
      <c r="A38" s="397" t="s">
        <v>24</v>
      </c>
      <c r="B38" s="396" t="s">
        <v>23</v>
      </c>
      <c r="C38" s="395">
        <f t="shared" si="0"/>
        <v>0.40130584192439867</v>
      </c>
      <c r="D38" s="395">
        <f t="shared" si="0"/>
        <v>3.4332237971455015E-3</v>
      </c>
      <c r="E38" s="395">
        <f t="shared" si="0"/>
        <v>2.6883034361406821E-3</v>
      </c>
    </row>
    <row r="39" spans="1:6" ht="18" customHeight="1" thickBot="1" x14ac:dyDescent="0.25">
      <c r="A39" s="397" t="s">
        <v>25</v>
      </c>
      <c r="B39" s="396" t="s">
        <v>23</v>
      </c>
      <c r="C39" s="395">
        <f t="shared" si="0"/>
        <v>0.40130584192439867</v>
      </c>
      <c r="D39" s="395">
        <f t="shared" si="0"/>
        <v>3.4332237971455015E-3</v>
      </c>
      <c r="E39" s="395">
        <f t="shared" si="0"/>
        <v>2.6883034361406821E-3</v>
      </c>
    </row>
    <row r="40" spans="1:6" ht="12" customHeight="1" thickBot="1" x14ac:dyDescent="0.25">
      <c r="A40" s="1714" t="s">
        <v>1147</v>
      </c>
      <c r="B40" s="1715"/>
      <c r="C40" s="1715"/>
      <c r="D40" s="1715"/>
      <c r="E40" s="1716"/>
    </row>
    <row r="41" spans="1:6" ht="12.75" customHeight="1" x14ac:dyDescent="0.2">
      <c r="A41" s="1694"/>
      <c r="B41" s="394">
        <v>2018</v>
      </c>
      <c r="C41" s="394">
        <v>2019</v>
      </c>
      <c r="D41" s="394">
        <v>2020</v>
      </c>
      <c r="E41" s="394">
        <v>2021</v>
      </c>
    </row>
    <row r="42" spans="1:6" ht="9" customHeight="1" thickBot="1" x14ac:dyDescent="0.25">
      <c r="A42" s="1695"/>
      <c r="B42" s="393" t="s">
        <v>10</v>
      </c>
      <c r="C42" s="393" t="s">
        <v>11</v>
      </c>
      <c r="D42" s="393" t="s">
        <v>11</v>
      </c>
      <c r="E42" s="393" t="s">
        <v>11</v>
      </c>
    </row>
    <row r="43" spans="1:6" ht="13.5" customHeight="1" thickBot="1" x14ac:dyDescent="0.25">
      <c r="A43" s="384" t="s">
        <v>26</v>
      </c>
      <c r="B43" s="377">
        <v>49400</v>
      </c>
      <c r="C43" s="377">
        <v>65929</v>
      </c>
      <c r="D43" s="377">
        <f>C43</f>
        <v>65929</v>
      </c>
      <c r="E43" s="377">
        <f>D43</f>
        <v>65929</v>
      </c>
    </row>
    <row r="44" spans="1:6" ht="34.5" customHeight="1" thickBot="1" x14ac:dyDescent="0.25">
      <c r="A44" s="383" t="s">
        <v>1165</v>
      </c>
      <c r="B44" s="382"/>
      <c r="C44" s="405">
        <f>C43/B43-1</f>
        <v>0.33459514170040494</v>
      </c>
      <c r="D44" s="406">
        <f>D43-C43</f>
        <v>0</v>
      </c>
      <c r="E44" s="406">
        <f>E43-D43</f>
        <v>0</v>
      </c>
    </row>
    <row r="45" spans="1:6" ht="23.25" customHeight="1" thickBot="1" x14ac:dyDescent="0.25">
      <c r="A45" s="383" t="s">
        <v>1164</v>
      </c>
      <c r="B45" s="382"/>
      <c r="C45" s="381"/>
      <c r="D45" s="381"/>
      <c r="E45" s="381"/>
    </row>
    <row r="46" spans="1:6" ht="12" thickBot="1" x14ac:dyDescent="0.25">
      <c r="A46" s="384" t="s">
        <v>28</v>
      </c>
      <c r="B46" s="377">
        <v>4800</v>
      </c>
      <c r="C46" s="377">
        <v>6127</v>
      </c>
      <c r="D46" s="377">
        <f>C46</f>
        <v>6127</v>
      </c>
      <c r="E46" s="377">
        <f>D46</f>
        <v>6127</v>
      </c>
    </row>
    <row r="47" spans="1:6" ht="34.5" customHeight="1" thickBot="1" x14ac:dyDescent="0.25">
      <c r="A47" s="383" t="s">
        <v>1163</v>
      </c>
      <c r="B47" s="382"/>
      <c r="C47" s="405">
        <f>C46/B46-1</f>
        <v>0.27645833333333325</v>
      </c>
      <c r="D47" s="406">
        <f>D46-C46</f>
        <v>0</v>
      </c>
      <c r="E47" s="406">
        <f>E46-D46</f>
        <v>0</v>
      </c>
    </row>
    <row r="48" spans="1:6" ht="34.5" customHeight="1" thickBot="1" x14ac:dyDescent="0.25">
      <c r="A48" s="383" t="s">
        <v>1162</v>
      </c>
      <c r="B48" s="382"/>
      <c r="C48" s="377"/>
      <c r="D48" s="377"/>
      <c r="E48" s="377"/>
    </row>
    <row r="49" spans="1:5" ht="18.75" customHeight="1" thickBot="1" x14ac:dyDescent="0.25">
      <c r="A49" s="384" t="s">
        <v>30</v>
      </c>
      <c r="B49" s="382">
        <v>4000</v>
      </c>
      <c r="C49" s="377">
        <v>9500</v>
      </c>
      <c r="D49" s="377">
        <v>9780</v>
      </c>
      <c r="E49" s="377">
        <v>10000</v>
      </c>
    </row>
    <row r="50" spans="1:5" ht="33" customHeight="1" thickBot="1" x14ac:dyDescent="0.25">
      <c r="A50" s="383" t="s">
        <v>1161</v>
      </c>
      <c r="B50" s="382"/>
      <c r="C50" s="405">
        <v>0.03</v>
      </c>
      <c r="D50" s="405">
        <v>0.03</v>
      </c>
      <c r="E50" s="405">
        <v>0.03</v>
      </c>
    </row>
    <row r="51" spans="1:5" ht="36.75" customHeight="1" thickBot="1" x14ac:dyDescent="0.25">
      <c r="A51" s="383" t="s">
        <v>1160</v>
      </c>
      <c r="B51" s="382"/>
      <c r="C51" s="405">
        <f>C49/B49-1-C50</f>
        <v>1.345</v>
      </c>
      <c r="D51" s="377"/>
      <c r="E51" s="377"/>
    </row>
    <row r="52" spans="1:5" ht="23.25" customHeight="1" thickBot="1" x14ac:dyDescent="0.25">
      <c r="A52" s="383" t="s">
        <v>1159</v>
      </c>
      <c r="B52" s="382"/>
      <c r="C52" s="377"/>
      <c r="D52" s="377"/>
      <c r="E52" s="377"/>
    </row>
    <row r="53" spans="1:5" ht="12" hidden="1" thickBot="1" x14ac:dyDescent="0.25">
      <c r="A53" s="384" t="s">
        <v>32</v>
      </c>
      <c r="B53" s="382">
        <v>0</v>
      </c>
      <c r="C53" s="377">
        <v>0</v>
      </c>
      <c r="D53" s="377">
        <v>0</v>
      </c>
      <c r="E53" s="377">
        <v>0</v>
      </c>
    </row>
    <row r="54" spans="1:5" ht="23.25" hidden="1" customHeight="1" thickBot="1" x14ac:dyDescent="0.25">
      <c r="A54" s="383" t="s">
        <v>33</v>
      </c>
      <c r="B54" s="382"/>
      <c r="C54" s="377"/>
      <c r="D54" s="377"/>
      <c r="E54" s="377"/>
    </row>
    <row r="55" spans="1:5" ht="23.25" hidden="1" customHeight="1" thickBot="1" x14ac:dyDescent="0.25">
      <c r="A55" s="383" t="s">
        <v>1158</v>
      </c>
      <c r="B55" s="382"/>
      <c r="C55" s="377"/>
      <c r="D55" s="377"/>
      <c r="E55" s="377"/>
    </row>
    <row r="56" spans="1:5" ht="12" hidden="1" customHeight="1" thickBot="1" x14ac:dyDescent="0.25">
      <c r="A56" s="384" t="s">
        <v>34</v>
      </c>
      <c r="B56" s="382">
        <v>0</v>
      </c>
      <c r="C56" s="377">
        <v>0</v>
      </c>
      <c r="D56" s="377">
        <v>0</v>
      </c>
      <c r="E56" s="377">
        <v>0</v>
      </c>
    </row>
    <row r="57" spans="1:5" ht="23.25" hidden="1" customHeight="1" thickBot="1" x14ac:dyDescent="0.25">
      <c r="A57" s="383" t="s">
        <v>35</v>
      </c>
      <c r="B57" s="382"/>
      <c r="C57" s="377"/>
      <c r="D57" s="377"/>
      <c r="E57" s="377"/>
    </row>
    <row r="58" spans="1:5" ht="23.25" hidden="1" customHeight="1" thickBot="1" x14ac:dyDescent="0.25">
      <c r="A58" s="383" t="s">
        <v>1157</v>
      </c>
      <c r="B58" s="382"/>
      <c r="C58" s="377"/>
      <c r="D58" s="377"/>
      <c r="E58" s="377"/>
    </row>
    <row r="59" spans="1:5" ht="12" hidden="1" thickBot="1" x14ac:dyDescent="0.25">
      <c r="A59" s="384" t="s">
        <v>36</v>
      </c>
      <c r="B59" s="382">
        <v>0</v>
      </c>
      <c r="C59" s="377">
        <v>0</v>
      </c>
      <c r="D59" s="377">
        <v>0</v>
      </c>
      <c r="E59" s="377">
        <v>0</v>
      </c>
    </row>
    <row r="60" spans="1:5" ht="23.25" hidden="1" customHeight="1" thickBot="1" x14ac:dyDescent="0.25">
      <c r="A60" s="383" t="s">
        <v>37</v>
      </c>
      <c r="B60" s="382"/>
      <c r="C60" s="377"/>
      <c r="D60" s="377"/>
      <c r="E60" s="377"/>
    </row>
    <row r="61" spans="1:5" ht="23.25" hidden="1" customHeight="1" thickBot="1" x14ac:dyDescent="0.25">
      <c r="A61" s="383" t="s">
        <v>1156</v>
      </c>
      <c r="B61" s="382"/>
      <c r="C61" s="377"/>
      <c r="D61" s="377"/>
      <c r="E61" s="377"/>
    </row>
    <row r="62" spans="1:5" ht="12" hidden="1" thickBot="1" x14ac:dyDescent="0.25">
      <c r="A62" s="384" t="s">
        <v>38</v>
      </c>
      <c r="B62" s="382">
        <v>0</v>
      </c>
      <c r="C62" s="377">
        <v>0</v>
      </c>
      <c r="D62" s="377">
        <v>0</v>
      </c>
      <c r="E62" s="377">
        <v>0</v>
      </c>
    </row>
    <row r="63" spans="1:5" ht="34.5" hidden="1" customHeight="1" thickBot="1" x14ac:dyDescent="0.25">
      <c r="A63" s="383" t="s">
        <v>39</v>
      </c>
      <c r="B63" s="382"/>
      <c r="C63" s="377"/>
      <c r="D63" s="377"/>
      <c r="E63" s="377"/>
    </row>
    <row r="64" spans="1:5" ht="34.5" hidden="1" customHeight="1" thickBot="1" x14ac:dyDescent="0.25">
      <c r="A64" s="383" t="s">
        <v>1155</v>
      </c>
      <c r="B64" s="382"/>
      <c r="C64" s="377"/>
      <c r="D64" s="377"/>
      <c r="E64" s="377"/>
    </row>
    <row r="65" spans="1:5" ht="12" thickBot="1" x14ac:dyDescent="0.25">
      <c r="A65" s="392" t="s">
        <v>40</v>
      </c>
      <c r="B65" s="382">
        <f>B62+B59+B56+B53+B49+B46+B43</f>
        <v>58200</v>
      </c>
      <c r="C65" s="382">
        <f>C62+C59+C56+C53+C49+C46+C43</f>
        <v>81556</v>
      </c>
      <c r="D65" s="382">
        <f>D62+D59+D56+D53+D49+D46+D43</f>
        <v>81836</v>
      </c>
      <c r="E65" s="382">
        <f>E62+E59+E56+E53+E49+E46+E43</f>
        <v>82056</v>
      </c>
    </row>
    <row r="66" spans="1:5" ht="11.25" customHeight="1" x14ac:dyDescent="0.2">
      <c r="A66" s="1696" t="s">
        <v>1154</v>
      </c>
      <c r="B66" s="1720"/>
      <c r="C66" s="1721"/>
      <c r="D66" s="1721"/>
      <c r="E66" s="1722"/>
    </row>
    <row r="67" spans="1:5" x14ac:dyDescent="0.2">
      <c r="A67" s="1697"/>
      <c r="B67" s="1723"/>
      <c r="C67" s="1724"/>
      <c r="D67" s="1724"/>
      <c r="E67" s="1725"/>
    </row>
    <row r="68" spans="1:5" ht="12" thickBot="1" x14ac:dyDescent="0.25">
      <c r="A68" s="1698"/>
      <c r="B68" s="1726"/>
      <c r="C68" s="1727"/>
      <c r="D68" s="1727"/>
      <c r="E68" s="1728"/>
    </row>
    <row r="69" spans="1:5" ht="12" thickBot="1" x14ac:dyDescent="0.25">
      <c r="A69" s="380" t="s">
        <v>41</v>
      </c>
      <c r="B69" s="379">
        <f>IF(B65-B35=0,0,"Error")</f>
        <v>0</v>
      </c>
      <c r="C69" s="379">
        <f>IF(C65-C35=0,0,"Error")</f>
        <v>0</v>
      </c>
      <c r="D69" s="379">
        <f>IF(D65-D35=0,0,"Error")</f>
        <v>0</v>
      </c>
      <c r="E69" s="379">
        <f>IF(E65-E35=0,0,"Error")</f>
        <v>0</v>
      </c>
    </row>
    <row r="70" spans="1:5" ht="42.75" customHeight="1" thickBot="1" x14ac:dyDescent="0.25">
      <c r="A70" s="404" t="s">
        <v>67</v>
      </c>
      <c r="B70" s="1729" t="s">
        <v>169</v>
      </c>
      <c r="C70" s="1730"/>
      <c r="D70" s="1730"/>
      <c r="E70" s="1731"/>
    </row>
    <row r="71" spans="1:5" ht="23.25" customHeight="1" thickBot="1" x14ac:dyDescent="0.25">
      <c r="A71" s="1691" t="s">
        <v>68</v>
      </c>
      <c r="B71" s="1692"/>
      <c r="C71" s="1692"/>
      <c r="D71" s="1692"/>
      <c r="E71" s="1693"/>
    </row>
    <row r="72" spans="1:5" ht="12" customHeight="1" thickBot="1" x14ac:dyDescent="0.25">
      <c r="A72" s="403" t="s">
        <v>170</v>
      </c>
      <c r="B72" s="402">
        <v>0.97</v>
      </c>
      <c r="C72" s="402">
        <v>0.98</v>
      </c>
      <c r="D72" s="402">
        <v>0.99</v>
      </c>
      <c r="E72" s="402">
        <v>1</v>
      </c>
    </row>
    <row r="73" spans="1:5" ht="16.5" customHeight="1" thickBot="1" x14ac:dyDescent="0.25">
      <c r="A73" s="1384" t="s">
        <v>55</v>
      </c>
      <c r="B73" s="1385"/>
      <c r="C73" s="1385"/>
      <c r="D73" s="1385"/>
      <c r="E73" s="1386"/>
    </row>
    <row r="74" spans="1:5" ht="12" thickBot="1" x14ac:dyDescent="0.25">
      <c r="A74" s="1384" t="s">
        <v>56</v>
      </c>
      <c r="B74" s="1385"/>
      <c r="C74" s="1385"/>
      <c r="D74" s="1385"/>
      <c r="E74" s="1386"/>
    </row>
    <row r="75" spans="1:5" ht="12" customHeight="1" thickBot="1" x14ac:dyDescent="0.25">
      <c r="A75" s="401" t="s">
        <v>79</v>
      </c>
      <c r="B75" s="1672" t="s">
        <v>171</v>
      </c>
      <c r="C75" s="1673"/>
      <c r="D75" s="1673"/>
      <c r="E75" s="1674"/>
    </row>
    <row r="76" spans="1:5" ht="12" thickBot="1" x14ac:dyDescent="0.25">
      <c r="A76" s="400" t="s">
        <v>172</v>
      </c>
      <c r="B76" s="1688" t="s">
        <v>1153</v>
      </c>
      <c r="C76" s="1689"/>
      <c r="D76" s="1689"/>
      <c r="E76" s="1690"/>
    </row>
    <row r="77" spans="1:5" ht="17.25" customHeight="1" thickBot="1" x14ac:dyDescent="0.25">
      <c r="A77" s="397" t="s">
        <v>17</v>
      </c>
      <c r="B77" s="1691" t="s">
        <v>173</v>
      </c>
      <c r="C77" s="1692"/>
      <c r="D77" s="1692"/>
      <c r="E77" s="1693"/>
    </row>
    <row r="78" spans="1:5" ht="12" thickBot="1" x14ac:dyDescent="0.25">
      <c r="A78" s="397" t="s">
        <v>18</v>
      </c>
      <c r="B78" s="1669" t="s">
        <v>174</v>
      </c>
      <c r="C78" s="1670"/>
      <c r="D78" s="1670"/>
      <c r="E78" s="1671"/>
    </row>
    <row r="79" spans="1:5" ht="12.75" customHeight="1" x14ac:dyDescent="0.2">
      <c r="A79" s="1694"/>
      <c r="B79" s="394">
        <v>2018</v>
      </c>
      <c r="C79" s="394">
        <v>2019</v>
      </c>
      <c r="D79" s="394">
        <v>2020</v>
      </c>
      <c r="E79" s="394">
        <v>2021</v>
      </c>
    </row>
    <row r="80" spans="1:5" ht="9" customHeight="1" thickBot="1" x14ac:dyDescent="0.25">
      <c r="A80" s="1695"/>
      <c r="B80" s="393" t="s">
        <v>10</v>
      </c>
      <c r="C80" s="393" t="s">
        <v>11</v>
      </c>
      <c r="D80" s="393" t="s">
        <v>11</v>
      </c>
      <c r="E80" s="393" t="s">
        <v>11</v>
      </c>
    </row>
    <row r="81" spans="1:6" ht="12" thickBot="1" x14ac:dyDescent="0.25">
      <c r="A81" s="397" t="s">
        <v>19</v>
      </c>
      <c r="B81" s="399">
        <v>6</v>
      </c>
      <c r="C81" s="399">
        <v>6</v>
      </c>
      <c r="D81" s="399">
        <v>6</v>
      </c>
      <c r="E81" s="399">
        <v>6</v>
      </c>
    </row>
    <row r="82" spans="1:6" ht="12" thickBot="1" x14ac:dyDescent="0.25">
      <c r="A82" s="397" t="s">
        <v>20</v>
      </c>
      <c r="B82" s="399">
        <v>960</v>
      </c>
      <c r="C82" s="399">
        <v>1000</v>
      </c>
      <c r="D82" s="399">
        <v>1000</v>
      </c>
      <c r="E82" s="399">
        <v>1000</v>
      </c>
    </row>
    <row r="83" spans="1:6" ht="12" customHeight="1" thickBot="1" x14ac:dyDescent="0.25">
      <c r="A83" s="397" t="s">
        <v>21</v>
      </c>
      <c r="B83" s="399">
        <f>B82/B81</f>
        <v>160</v>
      </c>
      <c r="C83" s="399">
        <f>C82/C81</f>
        <v>166.66666666666666</v>
      </c>
      <c r="D83" s="399">
        <f>D82/D81</f>
        <v>166.66666666666666</v>
      </c>
      <c r="E83" s="399">
        <f>E82/E81</f>
        <v>166.66666666666666</v>
      </c>
    </row>
    <row r="84" spans="1:6" ht="12" thickBot="1" x14ac:dyDescent="0.25">
      <c r="A84" s="397" t="s">
        <v>22</v>
      </c>
      <c r="B84" s="396" t="s">
        <v>23</v>
      </c>
      <c r="C84" s="395">
        <f t="shared" ref="C84:E86" si="1">C81/B81-1</f>
        <v>0</v>
      </c>
      <c r="D84" s="395">
        <f t="shared" si="1"/>
        <v>0</v>
      </c>
      <c r="E84" s="395">
        <f t="shared" si="1"/>
        <v>0</v>
      </c>
      <c r="F84" s="398"/>
    </row>
    <row r="85" spans="1:6" ht="12" customHeight="1" thickBot="1" x14ac:dyDescent="0.25">
      <c r="A85" s="397" t="s">
        <v>24</v>
      </c>
      <c r="B85" s="396" t="s">
        <v>23</v>
      </c>
      <c r="C85" s="395">
        <f t="shared" si="1"/>
        <v>4.1666666666666741E-2</v>
      </c>
      <c r="D85" s="395">
        <f t="shared" si="1"/>
        <v>0</v>
      </c>
      <c r="E85" s="395">
        <f t="shared" si="1"/>
        <v>0</v>
      </c>
    </row>
    <row r="86" spans="1:6" ht="12" customHeight="1" thickBot="1" x14ac:dyDescent="0.25">
      <c r="A86" s="397" t="s">
        <v>25</v>
      </c>
      <c r="B86" s="396" t="s">
        <v>23</v>
      </c>
      <c r="C86" s="395">
        <f t="shared" si="1"/>
        <v>4.1666666666666519E-2</v>
      </c>
      <c r="D86" s="395">
        <f t="shared" si="1"/>
        <v>0</v>
      </c>
      <c r="E86" s="395">
        <f t="shared" si="1"/>
        <v>0</v>
      </c>
    </row>
    <row r="87" spans="1:6" ht="12" customHeight="1" thickBot="1" x14ac:dyDescent="0.25">
      <c r="A87" s="1714" t="s">
        <v>1147</v>
      </c>
      <c r="B87" s="1715"/>
      <c r="C87" s="1715"/>
      <c r="D87" s="1715"/>
      <c r="E87" s="1716"/>
    </row>
    <row r="88" spans="1:6" ht="12.75" customHeight="1" x14ac:dyDescent="0.2">
      <c r="A88" s="1694"/>
      <c r="B88" s="394">
        <v>2018</v>
      </c>
      <c r="C88" s="394">
        <v>2019</v>
      </c>
      <c r="D88" s="394">
        <v>2020</v>
      </c>
      <c r="E88" s="394">
        <v>2021</v>
      </c>
    </row>
    <row r="89" spans="1:6" ht="9" customHeight="1" thickBot="1" x14ac:dyDescent="0.25">
      <c r="A89" s="1695"/>
      <c r="B89" s="393" t="s">
        <v>10</v>
      </c>
      <c r="C89" s="393" t="s">
        <v>11</v>
      </c>
      <c r="D89" s="393" t="s">
        <v>11</v>
      </c>
      <c r="E89" s="393" t="s">
        <v>11</v>
      </c>
    </row>
    <row r="90" spans="1:6" ht="12" thickBot="1" x14ac:dyDescent="0.25">
      <c r="A90" s="384" t="s">
        <v>58</v>
      </c>
      <c r="B90" s="399"/>
      <c r="C90" s="399"/>
      <c r="D90" s="399"/>
      <c r="E90" s="399"/>
    </row>
    <row r="91" spans="1:6" ht="12" thickBot="1" x14ac:dyDescent="0.25">
      <c r="A91" s="384" t="s">
        <v>59</v>
      </c>
      <c r="B91" s="399">
        <f>B82</f>
        <v>960</v>
      </c>
      <c r="C91" s="399">
        <f>C82</f>
        <v>1000</v>
      </c>
      <c r="D91" s="399">
        <f>D82</f>
        <v>1000</v>
      </c>
      <c r="E91" s="399">
        <f>E82</f>
        <v>1000</v>
      </c>
    </row>
    <row r="92" spans="1:6" ht="12" thickBot="1" x14ac:dyDescent="0.25">
      <c r="A92" s="392" t="s">
        <v>1152</v>
      </c>
      <c r="B92" s="382">
        <f>B91+B90</f>
        <v>960</v>
      </c>
      <c r="C92" s="382">
        <f>C91+C90</f>
        <v>1000</v>
      </c>
      <c r="D92" s="382">
        <f>D91+D90</f>
        <v>1000</v>
      </c>
      <c r="E92" s="382">
        <f>E91+E90</f>
        <v>1000</v>
      </c>
    </row>
    <row r="93" spans="1:6" ht="11.25" customHeight="1" x14ac:dyDescent="0.2">
      <c r="A93" s="1696" t="s">
        <v>60</v>
      </c>
      <c r="B93" s="1401" t="s">
        <v>1146</v>
      </c>
      <c r="C93" s="1680"/>
      <c r="D93" s="1680"/>
      <c r="E93" s="1681"/>
    </row>
    <row r="94" spans="1:6" x14ac:dyDescent="0.2">
      <c r="A94" s="1697"/>
      <c r="B94" s="1682"/>
      <c r="C94" s="1683"/>
      <c r="D94" s="1683"/>
      <c r="E94" s="1684"/>
    </row>
    <row r="95" spans="1:6" ht="12" thickBot="1" x14ac:dyDescent="0.25">
      <c r="A95" s="1698"/>
      <c r="B95" s="1685"/>
      <c r="C95" s="1686"/>
      <c r="D95" s="1686"/>
      <c r="E95" s="1687"/>
    </row>
    <row r="96" spans="1:6" ht="12" thickBot="1" x14ac:dyDescent="0.25">
      <c r="A96" s="1384" t="s">
        <v>56</v>
      </c>
      <c r="B96" s="1385"/>
      <c r="C96" s="1385"/>
      <c r="D96" s="1385"/>
      <c r="E96" s="1386"/>
    </row>
    <row r="97" spans="1:6" ht="12" customHeight="1" thickBot="1" x14ac:dyDescent="0.25">
      <c r="A97" s="401" t="s">
        <v>79</v>
      </c>
      <c r="B97" s="1672" t="s">
        <v>175</v>
      </c>
      <c r="C97" s="1673"/>
      <c r="D97" s="1673"/>
      <c r="E97" s="1674"/>
    </row>
    <row r="98" spans="1:6" ht="12" thickBot="1" x14ac:dyDescent="0.25">
      <c r="A98" s="400" t="s">
        <v>176</v>
      </c>
      <c r="B98" s="1711" t="s">
        <v>175</v>
      </c>
      <c r="C98" s="1712"/>
      <c r="D98" s="1712"/>
      <c r="E98" s="1713"/>
    </row>
    <row r="99" spans="1:6" ht="17.25" customHeight="1" thickBot="1" x14ac:dyDescent="0.25">
      <c r="A99" s="397" t="s">
        <v>17</v>
      </c>
      <c r="B99" s="1691" t="s">
        <v>175</v>
      </c>
      <c r="C99" s="1692"/>
      <c r="D99" s="1692"/>
      <c r="E99" s="1693"/>
    </row>
    <row r="100" spans="1:6" ht="12" thickBot="1" x14ac:dyDescent="0.25">
      <c r="A100" s="397" t="s">
        <v>18</v>
      </c>
      <c r="B100" s="1669" t="s">
        <v>177</v>
      </c>
      <c r="C100" s="1670"/>
      <c r="D100" s="1670"/>
      <c r="E100" s="1671"/>
    </row>
    <row r="101" spans="1:6" ht="12.75" customHeight="1" x14ac:dyDescent="0.2">
      <c r="A101" s="1694"/>
      <c r="B101" s="394">
        <v>2018</v>
      </c>
      <c r="C101" s="394">
        <v>2019</v>
      </c>
      <c r="D101" s="394">
        <v>2020</v>
      </c>
      <c r="E101" s="394">
        <v>2021</v>
      </c>
    </row>
    <row r="102" spans="1:6" ht="9" customHeight="1" thickBot="1" x14ac:dyDescent="0.25">
      <c r="A102" s="1695"/>
      <c r="B102" s="393" t="s">
        <v>10</v>
      </c>
      <c r="C102" s="393" t="s">
        <v>11</v>
      </c>
      <c r="D102" s="393" t="s">
        <v>11</v>
      </c>
      <c r="E102" s="393" t="s">
        <v>11</v>
      </c>
    </row>
    <row r="103" spans="1:6" ht="12" thickBot="1" x14ac:dyDescent="0.25">
      <c r="A103" s="397" t="s">
        <v>19</v>
      </c>
      <c r="B103" s="399">
        <v>1</v>
      </c>
      <c r="C103" s="399">
        <v>0</v>
      </c>
      <c r="D103" s="399">
        <v>0</v>
      </c>
      <c r="E103" s="399">
        <v>0</v>
      </c>
    </row>
    <row r="104" spans="1:6" ht="12" thickBot="1" x14ac:dyDescent="0.25">
      <c r="A104" s="397" t="s">
        <v>20</v>
      </c>
      <c r="B104" s="399">
        <v>2200</v>
      </c>
      <c r="C104" s="399">
        <v>0</v>
      </c>
      <c r="D104" s="399">
        <v>0</v>
      </c>
      <c r="E104" s="399">
        <v>0</v>
      </c>
    </row>
    <row r="105" spans="1:6" ht="12" customHeight="1" thickBot="1" x14ac:dyDescent="0.25">
      <c r="A105" s="397" t="s">
        <v>21</v>
      </c>
      <c r="B105" s="399">
        <f>B104/B103</f>
        <v>2200</v>
      </c>
      <c r="C105" s="399" t="e">
        <f>C104/C103</f>
        <v>#DIV/0!</v>
      </c>
      <c r="D105" s="399" t="e">
        <f>D104/D103</f>
        <v>#DIV/0!</v>
      </c>
      <c r="E105" s="399" t="e">
        <f>E104/E103</f>
        <v>#DIV/0!</v>
      </c>
    </row>
    <row r="106" spans="1:6" ht="12" thickBot="1" x14ac:dyDescent="0.25">
      <c r="A106" s="397" t="s">
        <v>22</v>
      </c>
      <c r="B106" s="396" t="s">
        <v>23</v>
      </c>
      <c r="C106" s="395">
        <f t="shared" ref="C106:E108" si="2">C103/B103-1</f>
        <v>-1</v>
      </c>
      <c r="D106" s="395" t="e">
        <f t="shared" si="2"/>
        <v>#DIV/0!</v>
      </c>
      <c r="E106" s="395" t="e">
        <f t="shared" si="2"/>
        <v>#DIV/0!</v>
      </c>
      <c r="F106" s="398"/>
    </row>
    <row r="107" spans="1:6" ht="12" customHeight="1" thickBot="1" x14ac:dyDescent="0.25">
      <c r="A107" s="397" t="s">
        <v>24</v>
      </c>
      <c r="B107" s="396" t="s">
        <v>23</v>
      </c>
      <c r="C107" s="395">
        <f t="shared" si="2"/>
        <v>-1</v>
      </c>
      <c r="D107" s="395" t="e">
        <f t="shared" si="2"/>
        <v>#DIV/0!</v>
      </c>
      <c r="E107" s="395" t="e">
        <f t="shared" si="2"/>
        <v>#DIV/0!</v>
      </c>
    </row>
    <row r="108" spans="1:6" ht="12" customHeight="1" thickBot="1" x14ac:dyDescent="0.25">
      <c r="A108" s="397" t="s">
        <v>25</v>
      </c>
      <c r="B108" s="396" t="s">
        <v>23</v>
      </c>
      <c r="C108" s="395" t="e">
        <f t="shared" si="2"/>
        <v>#DIV/0!</v>
      </c>
      <c r="D108" s="395" t="e">
        <f t="shared" si="2"/>
        <v>#DIV/0!</v>
      </c>
      <c r="E108" s="395" t="e">
        <f t="shared" si="2"/>
        <v>#DIV/0!</v>
      </c>
    </row>
    <row r="109" spans="1:6" ht="12" customHeight="1" thickBot="1" x14ac:dyDescent="0.25">
      <c r="A109" s="1714" t="s">
        <v>1151</v>
      </c>
      <c r="B109" s="1715"/>
      <c r="C109" s="1715"/>
      <c r="D109" s="1715"/>
      <c r="E109" s="1716"/>
    </row>
    <row r="110" spans="1:6" ht="12.75" customHeight="1" x14ac:dyDescent="0.2">
      <c r="A110" s="1694"/>
      <c r="B110" s="394">
        <v>2018</v>
      </c>
      <c r="C110" s="394">
        <v>2019</v>
      </c>
      <c r="D110" s="394">
        <v>2020</v>
      </c>
      <c r="E110" s="394">
        <v>2021</v>
      </c>
    </row>
    <row r="111" spans="1:6" ht="9" customHeight="1" thickBot="1" x14ac:dyDescent="0.25">
      <c r="A111" s="1695"/>
      <c r="B111" s="393" t="s">
        <v>10</v>
      </c>
      <c r="C111" s="393" t="s">
        <v>11</v>
      </c>
      <c r="D111" s="393" t="s">
        <v>11</v>
      </c>
      <c r="E111" s="393" t="s">
        <v>11</v>
      </c>
    </row>
    <row r="112" spans="1:6" ht="12" thickBot="1" x14ac:dyDescent="0.25">
      <c r="A112" s="384" t="s">
        <v>58</v>
      </c>
      <c r="B112" s="399"/>
      <c r="C112" s="399"/>
      <c r="D112" s="399"/>
      <c r="E112" s="399"/>
    </row>
    <row r="113" spans="1:6" ht="12" thickBot="1" x14ac:dyDescent="0.25">
      <c r="A113" s="384" t="s">
        <v>59</v>
      </c>
      <c r="B113" s="382">
        <f>B104</f>
        <v>2200</v>
      </c>
      <c r="C113" s="377">
        <v>0</v>
      </c>
      <c r="D113" s="377">
        <v>0</v>
      </c>
      <c r="E113" s="377">
        <v>0</v>
      </c>
    </row>
    <row r="114" spans="1:6" ht="12" thickBot="1" x14ac:dyDescent="0.25">
      <c r="A114" s="392" t="s">
        <v>1150</v>
      </c>
      <c r="B114" s="382">
        <f>B113+B112</f>
        <v>2200</v>
      </c>
      <c r="C114" s="382">
        <f>C113+C112</f>
        <v>0</v>
      </c>
      <c r="D114" s="382">
        <f>D113+D112</f>
        <v>0</v>
      </c>
      <c r="E114" s="382">
        <f>E113+E112</f>
        <v>0</v>
      </c>
    </row>
    <row r="115" spans="1:6" ht="11.25" customHeight="1" x14ac:dyDescent="0.2">
      <c r="A115" s="1696" t="s">
        <v>60</v>
      </c>
      <c r="B115" s="1401"/>
      <c r="C115" s="1680"/>
      <c r="D115" s="1680"/>
      <c r="E115" s="1681"/>
    </row>
    <row r="116" spans="1:6" x14ac:dyDescent="0.2">
      <c r="A116" s="1697"/>
      <c r="B116" s="1682"/>
      <c r="C116" s="1683"/>
      <c r="D116" s="1683"/>
      <c r="E116" s="1684"/>
    </row>
    <row r="117" spans="1:6" ht="12" thickBot="1" x14ac:dyDescent="0.25">
      <c r="A117" s="1698"/>
      <c r="B117" s="1685"/>
      <c r="C117" s="1686"/>
      <c r="D117" s="1686"/>
      <c r="E117" s="1687"/>
    </row>
    <row r="118" spans="1:6" ht="12" customHeight="1" thickBot="1" x14ac:dyDescent="0.25">
      <c r="A118" s="401" t="s">
        <v>79</v>
      </c>
      <c r="B118" s="1672" t="s">
        <v>178</v>
      </c>
      <c r="C118" s="1673"/>
      <c r="D118" s="1673"/>
      <c r="E118" s="1674"/>
    </row>
    <row r="119" spans="1:6" ht="12" thickBot="1" x14ac:dyDescent="0.25">
      <c r="A119" s="400" t="s">
        <v>179</v>
      </c>
      <c r="B119" s="1672" t="s">
        <v>178</v>
      </c>
      <c r="C119" s="1673"/>
      <c r="D119" s="1673"/>
      <c r="E119" s="1674"/>
    </row>
    <row r="120" spans="1:6" ht="17.25" customHeight="1" thickBot="1" x14ac:dyDescent="0.25">
      <c r="A120" s="397" t="s">
        <v>17</v>
      </c>
      <c r="B120" s="1672" t="s">
        <v>178</v>
      </c>
      <c r="C120" s="1673"/>
      <c r="D120" s="1673"/>
      <c r="E120" s="1674"/>
    </row>
    <row r="121" spans="1:6" ht="12" thickBot="1" x14ac:dyDescent="0.25">
      <c r="A121" s="397" t="s">
        <v>18</v>
      </c>
      <c r="B121" s="1669" t="s">
        <v>177</v>
      </c>
      <c r="C121" s="1670"/>
      <c r="D121" s="1670"/>
      <c r="E121" s="1671"/>
    </row>
    <row r="122" spans="1:6" ht="12.75" customHeight="1" x14ac:dyDescent="0.2">
      <c r="A122" s="1694"/>
      <c r="B122" s="394">
        <v>2018</v>
      </c>
      <c r="C122" s="394">
        <v>2019</v>
      </c>
      <c r="D122" s="394">
        <v>2020</v>
      </c>
      <c r="E122" s="394">
        <v>2021</v>
      </c>
    </row>
    <row r="123" spans="1:6" ht="9" customHeight="1" thickBot="1" x14ac:dyDescent="0.25">
      <c r="A123" s="1695"/>
      <c r="B123" s="393" t="s">
        <v>10</v>
      </c>
      <c r="C123" s="393" t="s">
        <v>11</v>
      </c>
      <c r="D123" s="393" t="s">
        <v>11</v>
      </c>
      <c r="E123" s="393" t="s">
        <v>11</v>
      </c>
    </row>
    <row r="124" spans="1:6" ht="12" thickBot="1" x14ac:dyDescent="0.25">
      <c r="A124" s="397" t="s">
        <v>19</v>
      </c>
      <c r="B124" s="399">
        <v>1</v>
      </c>
      <c r="C124" s="399">
        <v>0</v>
      </c>
      <c r="D124" s="399">
        <v>0</v>
      </c>
      <c r="E124" s="399">
        <v>0</v>
      </c>
    </row>
    <row r="125" spans="1:6" ht="12" thickBot="1" x14ac:dyDescent="0.25">
      <c r="A125" s="397" t="s">
        <v>20</v>
      </c>
      <c r="B125" s="399">
        <v>300</v>
      </c>
      <c r="C125" s="399">
        <v>0</v>
      </c>
      <c r="D125" s="399">
        <v>0</v>
      </c>
      <c r="E125" s="399">
        <v>0</v>
      </c>
    </row>
    <row r="126" spans="1:6" ht="12" customHeight="1" thickBot="1" x14ac:dyDescent="0.25">
      <c r="A126" s="397" t="s">
        <v>21</v>
      </c>
      <c r="B126" s="399">
        <f>B125/B124</f>
        <v>300</v>
      </c>
      <c r="C126" s="399" t="e">
        <f>C125/C124</f>
        <v>#DIV/0!</v>
      </c>
      <c r="D126" s="399" t="e">
        <f>D125/D124</f>
        <v>#DIV/0!</v>
      </c>
      <c r="E126" s="399" t="e">
        <f>E125/E124</f>
        <v>#DIV/0!</v>
      </c>
    </row>
    <row r="127" spans="1:6" ht="12" thickBot="1" x14ac:dyDescent="0.25">
      <c r="A127" s="397" t="s">
        <v>22</v>
      </c>
      <c r="B127" s="396" t="s">
        <v>23</v>
      </c>
      <c r="C127" s="395">
        <f t="shared" ref="C127:E129" si="3">C124/B124-1</f>
        <v>-1</v>
      </c>
      <c r="D127" s="395" t="e">
        <f t="shared" si="3"/>
        <v>#DIV/0!</v>
      </c>
      <c r="E127" s="395" t="e">
        <f t="shared" si="3"/>
        <v>#DIV/0!</v>
      </c>
      <c r="F127" s="398"/>
    </row>
    <row r="128" spans="1:6" ht="12" customHeight="1" thickBot="1" x14ac:dyDescent="0.25">
      <c r="A128" s="397" t="s">
        <v>24</v>
      </c>
      <c r="B128" s="396" t="s">
        <v>23</v>
      </c>
      <c r="C128" s="395">
        <f t="shared" si="3"/>
        <v>-1</v>
      </c>
      <c r="D128" s="395" t="e">
        <f t="shared" si="3"/>
        <v>#DIV/0!</v>
      </c>
      <c r="E128" s="395" t="e">
        <f t="shared" si="3"/>
        <v>#DIV/0!</v>
      </c>
    </row>
    <row r="129" spans="1:5" ht="12" customHeight="1" thickBot="1" x14ac:dyDescent="0.25">
      <c r="A129" s="397" t="s">
        <v>25</v>
      </c>
      <c r="B129" s="396" t="s">
        <v>23</v>
      </c>
      <c r="C129" s="395" t="e">
        <f t="shared" si="3"/>
        <v>#DIV/0!</v>
      </c>
      <c r="D129" s="395" t="e">
        <f t="shared" si="3"/>
        <v>#DIV/0!</v>
      </c>
      <c r="E129" s="395" t="e">
        <f t="shared" si="3"/>
        <v>#DIV/0!</v>
      </c>
    </row>
    <row r="130" spans="1:5" ht="12" customHeight="1" thickBot="1" x14ac:dyDescent="0.25">
      <c r="A130" s="1714" t="s">
        <v>1149</v>
      </c>
      <c r="B130" s="1715"/>
      <c r="C130" s="1715"/>
      <c r="D130" s="1715"/>
      <c r="E130" s="1716"/>
    </row>
    <row r="131" spans="1:5" ht="12.75" customHeight="1" x14ac:dyDescent="0.2">
      <c r="A131" s="1694"/>
      <c r="B131" s="394">
        <v>2018</v>
      </c>
      <c r="C131" s="394">
        <v>2019</v>
      </c>
      <c r="D131" s="394">
        <v>2020</v>
      </c>
      <c r="E131" s="394">
        <v>2021</v>
      </c>
    </row>
    <row r="132" spans="1:5" ht="9" customHeight="1" thickBot="1" x14ac:dyDescent="0.25">
      <c r="A132" s="1695"/>
      <c r="B132" s="393" t="s">
        <v>10</v>
      </c>
      <c r="C132" s="393" t="s">
        <v>11</v>
      </c>
      <c r="D132" s="393" t="s">
        <v>11</v>
      </c>
      <c r="E132" s="393" t="s">
        <v>11</v>
      </c>
    </row>
    <row r="133" spans="1:5" ht="12" thickBot="1" x14ac:dyDescent="0.25">
      <c r="A133" s="384" t="s">
        <v>58</v>
      </c>
      <c r="B133" s="399"/>
      <c r="C133" s="399"/>
      <c r="D133" s="399"/>
      <c r="E133" s="399"/>
    </row>
    <row r="134" spans="1:5" ht="12" thickBot="1" x14ac:dyDescent="0.25">
      <c r="A134" s="384" t="s">
        <v>59</v>
      </c>
      <c r="B134" s="382">
        <f>B125</f>
        <v>300</v>
      </c>
      <c r="C134" s="377">
        <v>0</v>
      </c>
      <c r="D134" s="377">
        <v>0</v>
      </c>
      <c r="E134" s="377">
        <v>0</v>
      </c>
    </row>
    <row r="135" spans="1:5" ht="12" thickBot="1" x14ac:dyDescent="0.25">
      <c r="A135" s="392" t="s">
        <v>52</v>
      </c>
      <c r="B135" s="382">
        <f>B134+B133</f>
        <v>300</v>
      </c>
      <c r="C135" s="382">
        <f>C134+C133</f>
        <v>0</v>
      </c>
      <c r="D135" s="382">
        <f>D134+D133</f>
        <v>0</v>
      </c>
      <c r="E135" s="382">
        <f>E134+E133</f>
        <v>0</v>
      </c>
    </row>
    <row r="136" spans="1:5" ht="11.25" customHeight="1" x14ac:dyDescent="0.2">
      <c r="A136" s="1696" t="s">
        <v>60</v>
      </c>
      <c r="B136" s="1401"/>
      <c r="C136" s="1680"/>
      <c r="D136" s="1680"/>
      <c r="E136" s="1681"/>
    </row>
    <row r="137" spans="1:5" x14ac:dyDescent="0.2">
      <c r="A137" s="1697"/>
      <c r="B137" s="1682"/>
      <c r="C137" s="1683"/>
      <c r="D137" s="1683"/>
      <c r="E137" s="1684"/>
    </row>
    <row r="138" spans="1:5" ht="12" thickBot="1" x14ac:dyDescent="0.25">
      <c r="A138" s="1698"/>
      <c r="B138" s="1685"/>
      <c r="C138" s="1686"/>
      <c r="D138" s="1686"/>
      <c r="E138" s="1687"/>
    </row>
    <row r="139" spans="1:5" ht="15.75" customHeight="1" thickBot="1" x14ac:dyDescent="0.25">
      <c r="A139" s="400" t="s">
        <v>180</v>
      </c>
      <c r="B139" s="1688" t="s">
        <v>1148</v>
      </c>
      <c r="C139" s="1689"/>
      <c r="D139" s="1689"/>
      <c r="E139" s="1690"/>
    </row>
    <row r="140" spans="1:5" ht="17.25" customHeight="1" thickBot="1" x14ac:dyDescent="0.25">
      <c r="A140" s="397" t="s">
        <v>17</v>
      </c>
      <c r="B140" s="1691" t="s">
        <v>181</v>
      </c>
      <c r="C140" s="1692"/>
      <c r="D140" s="1692"/>
      <c r="E140" s="1693"/>
    </row>
    <row r="141" spans="1:5" ht="12" thickBot="1" x14ac:dyDescent="0.25">
      <c r="A141" s="397" t="s">
        <v>18</v>
      </c>
      <c r="B141" s="1669" t="s">
        <v>174</v>
      </c>
      <c r="C141" s="1670"/>
      <c r="D141" s="1670"/>
      <c r="E141" s="1671"/>
    </row>
    <row r="142" spans="1:5" ht="12.75" customHeight="1" x14ac:dyDescent="0.2">
      <c r="A142" s="1694"/>
      <c r="B142" s="394">
        <v>2018</v>
      </c>
      <c r="C142" s="394">
        <v>2019</v>
      </c>
      <c r="D142" s="394">
        <v>2020</v>
      </c>
      <c r="E142" s="394">
        <v>2021</v>
      </c>
    </row>
    <row r="143" spans="1:5" ht="9" customHeight="1" thickBot="1" x14ac:dyDescent="0.25">
      <c r="A143" s="1695"/>
      <c r="B143" s="393" t="s">
        <v>10</v>
      </c>
      <c r="C143" s="393" t="s">
        <v>11</v>
      </c>
      <c r="D143" s="393" t="s">
        <v>11</v>
      </c>
      <c r="E143" s="393" t="s">
        <v>11</v>
      </c>
    </row>
    <row r="144" spans="1:5" ht="12" thickBot="1" x14ac:dyDescent="0.25">
      <c r="A144" s="397" t="s">
        <v>19</v>
      </c>
      <c r="B144" s="399">
        <v>30.4</v>
      </c>
      <c r="C144" s="399">
        <v>5</v>
      </c>
      <c r="D144" s="399">
        <v>5</v>
      </c>
      <c r="E144" s="399">
        <v>5</v>
      </c>
    </row>
    <row r="145" spans="1:6" ht="12" thickBot="1" x14ac:dyDescent="0.25">
      <c r="A145" s="397" t="s">
        <v>20</v>
      </c>
      <c r="B145" s="399">
        <v>3040</v>
      </c>
      <c r="C145" s="399">
        <v>500</v>
      </c>
      <c r="D145" s="399">
        <v>500</v>
      </c>
      <c r="E145" s="399">
        <v>500</v>
      </c>
    </row>
    <row r="146" spans="1:6" ht="12" customHeight="1" thickBot="1" x14ac:dyDescent="0.25">
      <c r="A146" s="397" t="s">
        <v>21</v>
      </c>
      <c r="B146" s="399">
        <f>B145/B144</f>
        <v>100</v>
      </c>
      <c r="C146" s="399">
        <f>C145/C144</f>
        <v>100</v>
      </c>
      <c r="D146" s="399">
        <f>D145/D144</f>
        <v>100</v>
      </c>
      <c r="E146" s="399">
        <f>E145/E144</f>
        <v>100</v>
      </c>
    </row>
    <row r="147" spans="1:6" ht="12" thickBot="1" x14ac:dyDescent="0.25">
      <c r="A147" s="397" t="s">
        <v>22</v>
      </c>
      <c r="B147" s="396" t="s">
        <v>23</v>
      </c>
      <c r="C147" s="395">
        <f t="shared" ref="C147:E149" si="4">C144/B144-1</f>
        <v>-0.83552631578947367</v>
      </c>
      <c r="D147" s="395">
        <f t="shared" si="4"/>
        <v>0</v>
      </c>
      <c r="E147" s="395">
        <f t="shared" si="4"/>
        <v>0</v>
      </c>
      <c r="F147" s="398"/>
    </row>
    <row r="148" spans="1:6" ht="12" customHeight="1" thickBot="1" x14ac:dyDescent="0.25">
      <c r="A148" s="397" t="s">
        <v>24</v>
      </c>
      <c r="B148" s="396" t="s">
        <v>23</v>
      </c>
      <c r="C148" s="395">
        <f t="shared" si="4"/>
        <v>-0.83552631578947367</v>
      </c>
      <c r="D148" s="395">
        <f t="shared" si="4"/>
        <v>0</v>
      </c>
      <c r="E148" s="395">
        <f t="shared" si="4"/>
        <v>0</v>
      </c>
    </row>
    <row r="149" spans="1:6" ht="12" customHeight="1" thickBot="1" x14ac:dyDescent="0.25">
      <c r="A149" s="397" t="s">
        <v>25</v>
      </c>
      <c r="B149" s="396" t="s">
        <v>23</v>
      </c>
      <c r="C149" s="395">
        <f t="shared" si="4"/>
        <v>0</v>
      </c>
      <c r="D149" s="395">
        <f t="shared" si="4"/>
        <v>0</v>
      </c>
      <c r="E149" s="395">
        <f t="shared" si="4"/>
        <v>0</v>
      </c>
    </row>
    <row r="150" spans="1:6" ht="12" customHeight="1" thickBot="1" x14ac:dyDescent="0.25">
      <c r="A150" s="1714" t="s">
        <v>1147</v>
      </c>
      <c r="B150" s="1715"/>
      <c r="C150" s="1715"/>
      <c r="D150" s="1715"/>
      <c r="E150" s="1716"/>
    </row>
    <row r="151" spans="1:6" ht="12.75" customHeight="1" x14ac:dyDescent="0.2">
      <c r="A151" s="1694"/>
      <c r="B151" s="394">
        <v>2018</v>
      </c>
      <c r="C151" s="394">
        <v>2019</v>
      </c>
      <c r="D151" s="394">
        <v>2020</v>
      </c>
      <c r="E151" s="394">
        <v>2021</v>
      </c>
    </row>
    <row r="152" spans="1:6" ht="9" customHeight="1" thickBot="1" x14ac:dyDescent="0.25">
      <c r="A152" s="1695"/>
      <c r="B152" s="393" t="s">
        <v>10</v>
      </c>
      <c r="C152" s="393" t="s">
        <v>11</v>
      </c>
      <c r="D152" s="393" t="s">
        <v>11</v>
      </c>
      <c r="E152" s="393" t="s">
        <v>11</v>
      </c>
    </row>
    <row r="153" spans="1:6" ht="12" thickBot="1" x14ac:dyDescent="0.25">
      <c r="A153" s="384" t="s">
        <v>58</v>
      </c>
      <c r="B153" s="377"/>
      <c r="C153" s="377"/>
      <c r="D153" s="377"/>
      <c r="E153" s="377"/>
    </row>
    <row r="154" spans="1:6" ht="12" thickBot="1" x14ac:dyDescent="0.25">
      <c r="A154" s="384" t="s">
        <v>59</v>
      </c>
      <c r="B154" s="377">
        <f>B145</f>
        <v>3040</v>
      </c>
      <c r="C154" s="377">
        <f>C145</f>
        <v>500</v>
      </c>
      <c r="D154" s="377">
        <f>D145</f>
        <v>500</v>
      </c>
      <c r="E154" s="377">
        <f>E145</f>
        <v>500</v>
      </c>
    </row>
    <row r="155" spans="1:6" ht="12" thickBot="1" x14ac:dyDescent="0.25">
      <c r="A155" s="392" t="s">
        <v>43</v>
      </c>
      <c r="B155" s="382">
        <f>B154+B153</f>
        <v>3040</v>
      </c>
      <c r="C155" s="382">
        <f>C154+C153</f>
        <v>500</v>
      </c>
      <c r="D155" s="382">
        <f>D154+D153</f>
        <v>500</v>
      </c>
      <c r="E155" s="382">
        <f>E154+E153</f>
        <v>500</v>
      </c>
    </row>
    <row r="156" spans="1:6" ht="11.25" customHeight="1" x14ac:dyDescent="0.2">
      <c r="A156" s="1696" t="s">
        <v>62</v>
      </c>
      <c r="B156" s="1401" t="s">
        <v>1146</v>
      </c>
      <c r="C156" s="1680"/>
      <c r="D156" s="1680"/>
      <c r="E156" s="1681"/>
    </row>
    <row r="157" spans="1:6" x14ac:dyDescent="0.2">
      <c r="A157" s="1697"/>
      <c r="B157" s="1682"/>
      <c r="C157" s="1683"/>
      <c r="D157" s="1683"/>
      <c r="E157" s="1684"/>
    </row>
    <row r="158" spans="1:6" ht="12" thickBot="1" x14ac:dyDescent="0.25">
      <c r="A158" s="1698"/>
      <c r="B158" s="1685"/>
      <c r="C158" s="1686"/>
      <c r="D158" s="1686"/>
      <c r="E158" s="1687"/>
    </row>
    <row r="159" spans="1:6" ht="12" customHeight="1" thickBot="1" x14ac:dyDescent="0.25">
      <c r="A159" s="401" t="s">
        <v>61</v>
      </c>
      <c r="B159" s="1711" t="s">
        <v>182</v>
      </c>
      <c r="C159" s="1712"/>
      <c r="D159" s="1712"/>
      <c r="E159" s="1713"/>
    </row>
    <row r="160" spans="1:6" ht="15.75" customHeight="1" thickBot="1" x14ac:dyDescent="0.25">
      <c r="A160" s="400" t="s">
        <v>183</v>
      </c>
      <c r="B160" s="1711" t="s">
        <v>184</v>
      </c>
      <c r="C160" s="1712"/>
      <c r="D160" s="1712"/>
      <c r="E160" s="1713"/>
    </row>
    <row r="161" spans="1:6" ht="17.25" customHeight="1" thickBot="1" x14ac:dyDescent="0.25">
      <c r="A161" s="397" t="s">
        <v>17</v>
      </c>
      <c r="B161" s="1691" t="s">
        <v>184</v>
      </c>
      <c r="C161" s="1692"/>
      <c r="D161" s="1692"/>
      <c r="E161" s="1693"/>
    </row>
    <row r="162" spans="1:6" ht="12" thickBot="1" x14ac:dyDescent="0.25">
      <c r="A162" s="397" t="s">
        <v>18</v>
      </c>
      <c r="B162" s="1669" t="s">
        <v>73</v>
      </c>
      <c r="C162" s="1670"/>
      <c r="D162" s="1670"/>
      <c r="E162" s="1671"/>
    </row>
    <row r="163" spans="1:6" ht="12.75" customHeight="1" x14ac:dyDescent="0.2">
      <c r="A163" s="1694"/>
      <c r="B163" s="394">
        <v>2018</v>
      </c>
      <c r="C163" s="394">
        <v>2019</v>
      </c>
      <c r="D163" s="394">
        <v>2020</v>
      </c>
      <c r="E163" s="394">
        <v>2021</v>
      </c>
    </row>
    <row r="164" spans="1:6" ht="9" customHeight="1" thickBot="1" x14ac:dyDescent="0.25">
      <c r="A164" s="1695"/>
      <c r="B164" s="393" t="s">
        <v>10</v>
      </c>
      <c r="C164" s="393" t="s">
        <v>11</v>
      </c>
      <c r="D164" s="393" t="s">
        <v>11</v>
      </c>
      <c r="E164" s="393" t="s">
        <v>11</v>
      </c>
    </row>
    <row r="165" spans="1:6" ht="12" thickBot="1" x14ac:dyDescent="0.25">
      <c r="A165" s="397" t="s">
        <v>19</v>
      </c>
      <c r="B165" s="399">
        <v>1</v>
      </c>
      <c r="C165" s="399">
        <v>0</v>
      </c>
      <c r="D165" s="399">
        <v>0</v>
      </c>
      <c r="E165" s="399">
        <v>0</v>
      </c>
    </row>
    <row r="166" spans="1:6" ht="12" thickBot="1" x14ac:dyDescent="0.25">
      <c r="A166" s="397" t="s">
        <v>20</v>
      </c>
      <c r="B166" s="399">
        <v>2500</v>
      </c>
      <c r="C166" s="399">
        <v>0</v>
      </c>
      <c r="D166" s="399">
        <v>0</v>
      </c>
      <c r="E166" s="399">
        <v>0</v>
      </c>
    </row>
    <row r="167" spans="1:6" ht="12" customHeight="1" thickBot="1" x14ac:dyDescent="0.25">
      <c r="A167" s="397" t="s">
        <v>21</v>
      </c>
      <c r="B167" s="399">
        <f>B166/B165</f>
        <v>2500</v>
      </c>
      <c r="C167" s="399" t="e">
        <f>C166/C165</f>
        <v>#DIV/0!</v>
      </c>
      <c r="D167" s="399" t="e">
        <f>D166/D165</f>
        <v>#DIV/0!</v>
      </c>
      <c r="E167" s="399" t="e">
        <f>E166/E165</f>
        <v>#DIV/0!</v>
      </c>
    </row>
    <row r="168" spans="1:6" ht="12" thickBot="1" x14ac:dyDescent="0.25">
      <c r="A168" s="397" t="s">
        <v>22</v>
      </c>
      <c r="B168" s="396" t="s">
        <v>23</v>
      </c>
      <c r="C168" s="395">
        <f t="shared" ref="C168:E170" si="5">C165/B165-1</f>
        <v>-1</v>
      </c>
      <c r="D168" s="395" t="e">
        <f t="shared" si="5"/>
        <v>#DIV/0!</v>
      </c>
      <c r="E168" s="395" t="e">
        <f t="shared" si="5"/>
        <v>#DIV/0!</v>
      </c>
      <c r="F168" s="398"/>
    </row>
    <row r="169" spans="1:6" ht="12" customHeight="1" thickBot="1" x14ac:dyDescent="0.25">
      <c r="A169" s="397" t="s">
        <v>24</v>
      </c>
      <c r="B169" s="396" t="s">
        <v>23</v>
      </c>
      <c r="C169" s="395">
        <f t="shared" si="5"/>
        <v>-1</v>
      </c>
      <c r="D169" s="395" t="e">
        <f t="shared" si="5"/>
        <v>#DIV/0!</v>
      </c>
      <c r="E169" s="395" t="e">
        <f t="shared" si="5"/>
        <v>#DIV/0!</v>
      </c>
    </row>
    <row r="170" spans="1:6" ht="12" customHeight="1" thickBot="1" x14ac:dyDescent="0.25">
      <c r="A170" s="397" t="s">
        <v>25</v>
      </c>
      <c r="B170" s="396" t="s">
        <v>23</v>
      </c>
      <c r="C170" s="395" t="e">
        <f t="shared" si="5"/>
        <v>#DIV/0!</v>
      </c>
      <c r="D170" s="395" t="e">
        <f t="shared" si="5"/>
        <v>#DIV/0!</v>
      </c>
      <c r="E170" s="395" t="e">
        <f t="shared" si="5"/>
        <v>#DIV/0!</v>
      </c>
    </row>
    <row r="171" spans="1:6" ht="12" customHeight="1" thickBot="1" x14ac:dyDescent="0.25">
      <c r="A171" s="1714" t="s">
        <v>1145</v>
      </c>
      <c r="B171" s="1715"/>
      <c r="C171" s="1715"/>
      <c r="D171" s="1715"/>
      <c r="E171" s="1716"/>
    </row>
    <row r="172" spans="1:6" ht="12.75" customHeight="1" x14ac:dyDescent="0.2">
      <c r="A172" s="1694"/>
      <c r="B172" s="394">
        <v>2018</v>
      </c>
      <c r="C172" s="394">
        <v>2019</v>
      </c>
      <c r="D172" s="394">
        <v>2020</v>
      </c>
      <c r="E172" s="394">
        <v>2021</v>
      </c>
    </row>
    <row r="173" spans="1:6" ht="9" customHeight="1" thickBot="1" x14ac:dyDescent="0.25">
      <c r="A173" s="1695"/>
      <c r="B173" s="393" t="s">
        <v>10</v>
      </c>
      <c r="C173" s="393" t="s">
        <v>11</v>
      </c>
      <c r="D173" s="393" t="s">
        <v>11</v>
      </c>
      <c r="E173" s="393" t="s">
        <v>11</v>
      </c>
    </row>
    <row r="174" spans="1:6" ht="12" thickBot="1" x14ac:dyDescent="0.25">
      <c r="A174" s="384" t="s">
        <v>58</v>
      </c>
      <c r="B174" s="377"/>
      <c r="C174" s="377"/>
      <c r="D174" s="377"/>
      <c r="E174" s="377"/>
    </row>
    <row r="175" spans="1:6" ht="12" thickBot="1" x14ac:dyDescent="0.25">
      <c r="A175" s="384" t="s">
        <v>59</v>
      </c>
      <c r="B175" s="377">
        <f>B166</f>
        <v>2500</v>
      </c>
      <c r="C175" s="377">
        <v>0</v>
      </c>
      <c r="D175" s="377">
        <v>0</v>
      </c>
      <c r="E175" s="377">
        <v>0</v>
      </c>
    </row>
    <row r="176" spans="1:6" ht="12" thickBot="1" x14ac:dyDescent="0.25">
      <c r="A176" s="392" t="s">
        <v>117</v>
      </c>
      <c r="B176" s="382">
        <f>B175+B174</f>
        <v>2500</v>
      </c>
      <c r="C176" s="382">
        <f>C175+C174</f>
        <v>0</v>
      </c>
      <c r="D176" s="382">
        <f>D175+D174</f>
        <v>0</v>
      </c>
      <c r="E176" s="382">
        <f>E175+E174</f>
        <v>0</v>
      </c>
    </row>
    <row r="177" spans="1:5" ht="11.25" customHeight="1" x14ac:dyDescent="0.2">
      <c r="A177" s="1696" t="s">
        <v>62</v>
      </c>
      <c r="B177" s="1401"/>
      <c r="C177" s="1680"/>
      <c r="D177" s="1680"/>
      <c r="E177" s="1681"/>
    </row>
    <row r="178" spans="1:5" x14ac:dyDescent="0.2">
      <c r="A178" s="1697"/>
      <c r="B178" s="1682"/>
      <c r="C178" s="1683"/>
      <c r="D178" s="1683"/>
      <c r="E178" s="1684"/>
    </row>
    <row r="179" spans="1:5" ht="12" thickBot="1" x14ac:dyDescent="0.25">
      <c r="A179" s="1698"/>
      <c r="B179" s="1685"/>
      <c r="C179" s="1686"/>
      <c r="D179" s="1686"/>
      <c r="E179" s="1687"/>
    </row>
    <row r="180" spans="1:5" ht="12" thickBot="1" x14ac:dyDescent="0.25">
      <c r="A180" s="391"/>
      <c r="B180" s="390"/>
      <c r="C180" s="390"/>
      <c r="D180" s="390"/>
      <c r="E180" s="390"/>
    </row>
    <row r="181" spans="1:5" ht="27" customHeight="1" thickBot="1" x14ac:dyDescent="0.25">
      <c r="A181" s="389" t="s">
        <v>82</v>
      </c>
      <c r="B181" s="388">
        <f>B35+B82+B145+B104+B125+B166</f>
        <v>67200</v>
      </c>
      <c r="C181" s="388">
        <f>C35+C82+C145+C104+C125+C166</f>
        <v>83056</v>
      </c>
      <c r="D181" s="388">
        <f>D35+D82+D145+D104+D125+D166</f>
        <v>83336</v>
      </c>
      <c r="E181" s="388">
        <f>E35+E82+E145+E104+E125+E166</f>
        <v>83556</v>
      </c>
    </row>
    <row r="182" spans="1:5" ht="23.25" customHeight="1" thickBot="1" x14ac:dyDescent="0.25">
      <c r="A182" s="389" t="s">
        <v>83</v>
      </c>
      <c r="B182" s="388">
        <f>B184+B186+B188+B190+B192+B194+B196+B198+B200</f>
        <v>67200</v>
      </c>
      <c r="C182" s="388">
        <f>C184+C186+C188+C190+C192+C194+C196+C198+C200</f>
        <v>83056</v>
      </c>
      <c r="D182" s="388">
        <f>D184+D186+D188+D190+D192+D194+D196+D198+D200</f>
        <v>83336</v>
      </c>
      <c r="E182" s="388">
        <f>E184+E186+E188+E190+E192+E194+E196+E198+E200</f>
        <v>83556</v>
      </c>
    </row>
    <row r="183" spans="1:5" ht="12" thickBot="1" x14ac:dyDescent="0.25">
      <c r="A183" s="387" t="s">
        <v>84</v>
      </c>
      <c r="B183" s="386"/>
      <c r="C183" s="385">
        <f>C182/B182-1</f>
        <v>0.23595238095238091</v>
      </c>
      <c r="D183" s="385">
        <f>D182/C182-1</f>
        <v>3.3712194182238253E-3</v>
      </c>
      <c r="E183" s="385">
        <f>E182/D182-1</f>
        <v>2.6399155227032622E-3</v>
      </c>
    </row>
    <row r="184" spans="1:5" ht="12" thickBot="1" x14ac:dyDescent="0.25">
      <c r="A184" s="384" t="s">
        <v>26</v>
      </c>
      <c r="B184" s="377">
        <f>B43</f>
        <v>49400</v>
      </c>
      <c r="C184" s="377">
        <f>C43</f>
        <v>65929</v>
      </c>
      <c r="D184" s="377">
        <f>D43</f>
        <v>65929</v>
      </c>
      <c r="E184" s="377">
        <f>E43</f>
        <v>65929</v>
      </c>
    </row>
    <row r="185" spans="1:5" ht="12" thickBot="1" x14ac:dyDescent="0.25">
      <c r="A185" s="383" t="s">
        <v>85</v>
      </c>
      <c r="B185" s="382"/>
      <c r="C185" s="381">
        <f>C184/B184-1</f>
        <v>0.33459514170040494</v>
      </c>
      <c r="D185" s="381">
        <f>D184/C184-1</f>
        <v>0</v>
      </c>
      <c r="E185" s="381">
        <f>E184/D184-1</f>
        <v>0</v>
      </c>
    </row>
    <row r="186" spans="1:5" ht="12" thickBot="1" x14ac:dyDescent="0.25">
      <c r="A186" s="384" t="s">
        <v>28</v>
      </c>
      <c r="B186" s="377">
        <f>B46</f>
        <v>4800</v>
      </c>
      <c r="C186" s="377">
        <f>C46</f>
        <v>6127</v>
      </c>
      <c r="D186" s="377">
        <f>D46</f>
        <v>6127</v>
      </c>
      <c r="E186" s="377">
        <f>E46</f>
        <v>6127</v>
      </c>
    </row>
    <row r="187" spans="1:5" ht="12" thickBot="1" x14ac:dyDescent="0.25">
      <c r="A187" s="383" t="s">
        <v>86</v>
      </c>
      <c r="B187" s="382"/>
      <c r="C187" s="381">
        <f>C186/B186-1</f>
        <v>0.27645833333333325</v>
      </c>
      <c r="D187" s="381">
        <f>D186/C186-1</f>
        <v>0</v>
      </c>
      <c r="E187" s="381">
        <f>E186/D186-1</f>
        <v>0</v>
      </c>
    </row>
    <row r="188" spans="1:5" ht="12" thickBot="1" x14ac:dyDescent="0.25">
      <c r="A188" s="384" t="s">
        <v>30</v>
      </c>
      <c r="B188" s="377">
        <f>B49</f>
        <v>4000</v>
      </c>
      <c r="C188" s="377">
        <f>C49</f>
        <v>9500</v>
      </c>
      <c r="D188" s="377">
        <f>D49</f>
        <v>9780</v>
      </c>
      <c r="E188" s="377">
        <f>E49</f>
        <v>10000</v>
      </c>
    </row>
    <row r="189" spans="1:5" ht="12" customHeight="1" thickBot="1" x14ac:dyDescent="0.25">
      <c r="A189" s="383" t="s">
        <v>87</v>
      </c>
      <c r="B189" s="382"/>
      <c r="C189" s="381">
        <f>C188/B188-1</f>
        <v>1.375</v>
      </c>
      <c r="D189" s="381">
        <f>D188/C188-1</f>
        <v>2.9473684210526319E-2</v>
      </c>
      <c r="E189" s="381">
        <f>E188/D188-1</f>
        <v>2.249488752556239E-2</v>
      </c>
    </row>
    <row r="190" spans="1:5" ht="12" hidden="1" customHeight="1" thickBot="1" x14ac:dyDescent="0.25">
      <c r="A190" s="384" t="s">
        <v>32</v>
      </c>
      <c r="B190" s="377">
        <f>B53</f>
        <v>0</v>
      </c>
      <c r="C190" s="377">
        <f>C53</f>
        <v>0</v>
      </c>
      <c r="D190" s="377">
        <f>D53</f>
        <v>0</v>
      </c>
      <c r="E190" s="377">
        <f>E53</f>
        <v>0</v>
      </c>
    </row>
    <row r="191" spans="1:5" ht="12" hidden="1" customHeight="1" thickBot="1" x14ac:dyDescent="0.25">
      <c r="A191" s="383" t="s">
        <v>88</v>
      </c>
      <c r="B191" s="382"/>
      <c r="C191" s="381" t="e">
        <f>C190/B190-1</f>
        <v>#DIV/0!</v>
      </c>
      <c r="D191" s="381" t="e">
        <f>D190/C190-1</f>
        <v>#DIV/0!</v>
      </c>
      <c r="E191" s="381" t="e">
        <f>E190/D190-1</f>
        <v>#DIV/0!</v>
      </c>
    </row>
    <row r="192" spans="1:5" ht="12" hidden="1" customHeight="1" thickBot="1" x14ac:dyDescent="0.25">
      <c r="A192" s="384" t="s">
        <v>34</v>
      </c>
      <c r="B192" s="377">
        <f>B56</f>
        <v>0</v>
      </c>
      <c r="C192" s="377">
        <f>C56</f>
        <v>0</v>
      </c>
      <c r="D192" s="377">
        <f>D56</f>
        <v>0</v>
      </c>
      <c r="E192" s="377">
        <f>E56</f>
        <v>0</v>
      </c>
    </row>
    <row r="193" spans="1:5" ht="12" hidden="1" customHeight="1" thickBot="1" x14ac:dyDescent="0.25">
      <c r="A193" s="383" t="s">
        <v>89</v>
      </c>
      <c r="B193" s="382"/>
      <c r="C193" s="381" t="e">
        <f>C192/B192-1</f>
        <v>#DIV/0!</v>
      </c>
      <c r="D193" s="381" t="e">
        <f>D192/C192-1</f>
        <v>#DIV/0!</v>
      </c>
      <c r="E193" s="381" t="e">
        <f>E192/D192-1</f>
        <v>#DIV/0!</v>
      </c>
    </row>
    <row r="194" spans="1:5" ht="12" hidden="1" customHeight="1" thickBot="1" x14ac:dyDescent="0.25">
      <c r="A194" s="384" t="s">
        <v>36</v>
      </c>
      <c r="B194" s="377">
        <f>B59</f>
        <v>0</v>
      </c>
      <c r="C194" s="377">
        <f>C59</f>
        <v>0</v>
      </c>
      <c r="D194" s="377">
        <f>D59</f>
        <v>0</v>
      </c>
      <c r="E194" s="377">
        <f>E59</f>
        <v>0</v>
      </c>
    </row>
    <row r="195" spans="1:5" ht="12" hidden="1" customHeight="1" thickBot="1" x14ac:dyDescent="0.25">
      <c r="A195" s="383" t="s">
        <v>90</v>
      </c>
      <c r="B195" s="382"/>
      <c r="C195" s="381" t="e">
        <f>C194/B194-1</f>
        <v>#DIV/0!</v>
      </c>
      <c r="D195" s="381" t="e">
        <f>D194/C194-1</f>
        <v>#DIV/0!</v>
      </c>
      <c r="E195" s="381" t="e">
        <f>E194/D194-1</f>
        <v>#DIV/0!</v>
      </c>
    </row>
    <row r="196" spans="1:5" ht="23.25" hidden="1" customHeight="1" thickBot="1" x14ac:dyDescent="0.25">
      <c r="A196" s="384" t="s">
        <v>38</v>
      </c>
      <c r="B196" s="377">
        <f>B62</f>
        <v>0</v>
      </c>
      <c r="C196" s="377">
        <f>C62</f>
        <v>0</v>
      </c>
      <c r="D196" s="377">
        <f>D62</f>
        <v>0</v>
      </c>
      <c r="E196" s="377">
        <f>E62</f>
        <v>0</v>
      </c>
    </row>
    <row r="197" spans="1:5" ht="23.25" hidden="1" customHeight="1" thickBot="1" x14ac:dyDescent="0.25">
      <c r="A197" s="383" t="s">
        <v>91</v>
      </c>
      <c r="B197" s="382"/>
      <c r="C197" s="381" t="e">
        <f>C196/B196-1</f>
        <v>#DIV/0!</v>
      </c>
      <c r="D197" s="381" t="e">
        <f>D196/C196-1</f>
        <v>#DIV/0!</v>
      </c>
      <c r="E197" s="381" t="e">
        <f>E196/D196-1</f>
        <v>#DIV/0!</v>
      </c>
    </row>
    <row r="198" spans="1:5" ht="12" thickBot="1" x14ac:dyDescent="0.25">
      <c r="A198" s="384" t="s">
        <v>92</v>
      </c>
      <c r="B198" s="377">
        <f>B90+B153</f>
        <v>0</v>
      </c>
      <c r="C198" s="377">
        <f>C90+C153</f>
        <v>0</v>
      </c>
      <c r="D198" s="377">
        <f>D90+D153</f>
        <v>0</v>
      </c>
      <c r="E198" s="377">
        <f>E90+E153</f>
        <v>0</v>
      </c>
    </row>
    <row r="199" spans="1:5" ht="12" customHeight="1" thickBot="1" x14ac:dyDescent="0.25">
      <c r="A199" s="383" t="s">
        <v>93</v>
      </c>
      <c r="B199" s="382"/>
      <c r="C199" s="381" t="e">
        <f>C198/B198-1</f>
        <v>#DIV/0!</v>
      </c>
      <c r="D199" s="381" t="e">
        <f>D198/C198-1</f>
        <v>#DIV/0!</v>
      </c>
      <c r="E199" s="381" t="e">
        <f>E198/D198-1</f>
        <v>#DIV/0!</v>
      </c>
    </row>
    <row r="200" spans="1:5" ht="12" thickBot="1" x14ac:dyDescent="0.25">
      <c r="A200" s="384" t="s">
        <v>94</v>
      </c>
      <c r="B200" s="377">
        <f>B91+B154+B113+B134+B175</f>
        <v>9000</v>
      </c>
      <c r="C200" s="377">
        <f>C91+C154+C113+C134+C175</f>
        <v>1500</v>
      </c>
      <c r="D200" s="377">
        <f>D91+D154+D113+D134+D175</f>
        <v>1500</v>
      </c>
      <c r="E200" s="377">
        <f>E91+E154+E113+E134+E175</f>
        <v>1500</v>
      </c>
    </row>
    <row r="201" spans="1:5" ht="12" customHeight="1" thickBot="1" x14ac:dyDescent="0.25">
      <c r="A201" s="383" t="s">
        <v>95</v>
      </c>
      <c r="B201" s="382"/>
      <c r="C201" s="381">
        <f>C200/B200-1</f>
        <v>-0.83333333333333337</v>
      </c>
      <c r="D201" s="381">
        <f>D200/C200-1</f>
        <v>0</v>
      </c>
      <c r="E201" s="381">
        <f>E200/D200-1</f>
        <v>0</v>
      </c>
    </row>
    <row r="202" spans="1:5" ht="11.25" customHeight="1" x14ac:dyDescent="0.2">
      <c r="A202" s="1699" t="s">
        <v>1144</v>
      </c>
      <c r="B202" s="1702"/>
      <c r="C202" s="1703"/>
      <c r="D202" s="1703"/>
      <c r="E202" s="1704"/>
    </row>
    <row r="203" spans="1:5" x14ac:dyDescent="0.2">
      <c r="A203" s="1700"/>
      <c r="B203" s="1705"/>
      <c r="C203" s="1706"/>
      <c r="D203" s="1706"/>
      <c r="E203" s="1707"/>
    </row>
    <row r="204" spans="1:5" ht="12" thickBot="1" x14ac:dyDescent="0.25">
      <c r="A204" s="1701"/>
      <c r="B204" s="1708"/>
      <c r="C204" s="1709"/>
      <c r="D204" s="1709"/>
      <c r="E204" s="1710"/>
    </row>
    <row r="205" spans="1:5" ht="12" thickBot="1" x14ac:dyDescent="0.25">
      <c r="A205" s="380" t="s">
        <v>41</v>
      </c>
      <c r="B205" s="379">
        <f>IF(B182-B181=0,0,"Error")</f>
        <v>0</v>
      </c>
      <c r="C205" s="379">
        <f>IF(C182-C181=0,0,"Error")</f>
        <v>0</v>
      </c>
      <c r="D205" s="379">
        <f>IF(D182-D181=0,0,"Error")</f>
        <v>0</v>
      </c>
      <c r="E205" s="379">
        <f>IF(E182-E181=0,0,"Error")</f>
        <v>0</v>
      </c>
    </row>
    <row r="206" spans="1:5" ht="23.25" customHeight="1" thickBot="1" x14ac:dyDescent="0.25">
      <c r="A206" s="378" t="s">
        <v>96</v>
      </c>
      <c r="B206" s="377">
        <v>26</v>
      </c>
      <c r="C206" s="377">
        <v>31</v>
      </c>
      <c r="D206" s="377">
        <v>31</v>
      </c>
      <c r="E206" s="377">
        <v>31</v>
      </c>
    </row>
    <row r="207" spans="1:5" ht="23.25" customHeight="1" thickBot="1" x14ac:dyDescent="0.25">
      <c r="A207" s="378" t="s">
        <v>97</v>
      </c>
      <c r="B207" s="377">
        <v>0</v>
      </c>
      <c r="C207" s="377">
        <v>0</v>
      </c>
      <c r="D207" s="377">
        <v>0</v>
      </c>
      <c r="E207" s="377">
        <v>0</v>
      </c>
    </row>
  </sheetData>
  <mergeCells count="76">
    <mergeCell ref="B20:E20"/>
    <mergeCell ref="A21:A22"/>
    <mergeCell ref="B24:E24"/>
    <mergeCell ref="A25:E25"/>
    <mergeCell ref="A11:E11"/>
    <mergeCell ref="B13:E13"/>
    <mergeCell ref="B14:E14"/>
    <mergeCell ref="B15:E15"/>
    <mergeCell ref="A16:E16"/>
    <mergeCell ref="A17:E19"/>
    <mergeCell ref="A41:A42"/>
    <mergeCell ref="A66:A68"/>
    <mergeCell ref="B66:E68"/>
    <mergeCell ref="B70:E70"/>
    <mergeCell ref="A71:E71"/>
    <mergeCell ref="A27:E27"/>
    <mergeCell ref="A93:A95"/>
    <mergeCell ref="B93:E95"/>
    <mergeCell ref="A96:E96"/>
    <mergeCell ref="A73:E73"/>
    <mergeCell ref="A28:E28"/>
    <mergeCell ref="B29:E29"/>
    <mergeCell ref="B30:E30"/>
    <mergeCell ref="B31:E31"/>
    <mergeCell ref="A32:A33"/>
    <mergeCell ref="A40:E40"/>
    <mergeCell ref="B76:E76"/>
    <mergeCell ref="B77:E77"/>
    <mergeCell ref="B78:E78"/>
    <mergeCell ref="A79:A80"/>
    <mergeCell ref="A87:E87"/>
    <mergeCell ref="A142:A143"/>
    <mergeCell ref="A150:E150"/>
    <mergeCell ref="A151:A152"/>
    <mergeCell ref="B121:E121"/>
    <mergeCell ref="B98:E98"/>
    <mergeCell ref="B99:E99"/>
    <mergeCell ref="B100:E100"/>
    <mergeCell ref="A101:A102"/>
    <mergeCell ref="A109:E109"/>
    <mergeCell ref="A110:A111"/>
    <mergeCell ref="A122:A123"/>
    <mergeCell ref="A130:E130"/>
    <mergeCell ref="A131:A132"/>
    <mergeCell ref="A136:A138"/>
    <mergeCell ref="A115:A117"/>
    <mergeCell ref="B115:E117"/>
    <mergeCell ref="A177:A179"/>
    <mergeCell ref="B177:E179"/>
    <mergeCell ref="A202:A204"/>
    <mergeCell ref="B202:E204"/>
    <mergeCell ref="A156:A158"/>
    <mergeCell ref="B156:E158"/>
    <mergeCell ref="B160:E160"/>
    <mergeCell ref="B161:E161"/>
    <mergeCell ref="B162:E162"/>
    <mergeCell ref="A163:A164"/>
    <mergeCell ref="A171:E171"/>
    <mergeCell ref="A172:A173"/>
    <mergeCell ref="B159:E159"/>
    <mergeCell ref="B141:E141"/>
    <mergeCell ref="A74:E74"/>
    <mergeCell ref="B75:E75"/>
    <mergeCell ref="B4:E4"/>
    <mergeCell ref="B5:E5"/>
    <mergeCell ref="B6:E6"/>
    <mergeCell ref="C7:E7"/>
    <mergeCell ref="C8:E8"/>
    <mergeCell ref="B136:E138"/>
    <mergeCell ref="B139:E139"/>
    <mergeCell ref="B140:E140"/>
    <mergeCell ref="B120:E120"/>
    <mergeCell ref="B97:E97"/>
    <mergeCell ref="A88:A89"/>
    <mergeCell ref="B118:E118"/>
    <mergeCell ref="B119:E119"/>
  </mergeCells>
  <pageMargins left="0.7" right="0.7" top="0.75" bottom="0.75" header="0.3" footer="0.3"/>
  <pageSetup paperSize="9" scale="9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2:I410"/>
  <sheetViews>
    <sheetView view="pageBreakPreview" topLeftCell="A379" zoomScale="60" zoomScaleNormal="100" workbookViewId="0">
      <selection activeCell="K424" sqref="K424"/>
    </sheetView>
  </sheetViews>
  <sheetFormatPr defaultRowHeight="15" x14ac:dyDescent="0.25"/>
  <cols>
    <col min="1" max="1" width="32.42578125" customWidth="1"/>
    <col min="2" max="2" width="16.28515625" customWidth="1"/>
    <col min="3" max="3" width="15.28515625" customWidth="1"/>
    <col min="4" max="5" width="11.7109375" customWidth="1"/>
    <col min="6" max="6" width="11" customWidth="1"/>
    <col min="7" max="7" width="11" bestFit="1" customWidth="1"/>
  </cols>
  <sheetData>
    <row r="2" spans="1:5" x14ac:dyDescent="0.25">
      <c r="A2" s="189" t="s">
        <v>898</v>
      </c>
      <c r="B2" s="188"/>
      <c r="C2" s="188"/>
      <c r="D2" s="188"/>
    </row>
    <row r="4" spans="1:5" ht="15.75" thickBot="1" x14ac:dyDescent="0.3"/>
    <row r="5" spans="1:5" ht="32.25" thickBot="1" x14ac:dyDescent="0.3">
      <c r="A5" s="168" t="s">
        <v>897</v>
      </c>
      <c r="B5" s="1084" t="s">
        <v>1191</v>
      </c>
      <c r="C5" s="1085"/>
      <c r="D5" s="1085"/>
      <c r="E5" s="1086"/>
    </row>
    <row r="6" spans="1:5" ht="32.25" thickBot="1" x14ac:dyDescent="0.3">
      <c r="A6" s="36" t="s">
        <v>895</v>
      </c>
      <c r="B6" s="1087" t="s">
        <v>1190</v>
      </c>
      <c r="C6" s="1088"/>
      <c r="D6" s="1088"/>
      <c r="E6" s="1089"/>
    </row>
    <row r="7" spans="1:5" ht="66.75" customHeight="1" thickBot="1" x14ac:dyDescent="0.3">
      <c r="A7" s="36" t="s">
        <v>893</v>
      </c>
      <c r="B7" s="1239" t="s">
        <v>1189</v>
      </c>
      <c r="C7" s="1095"/>
      <c r="D7" s="1095"/>
      <c r="E7" s="1096"/>
    </row>
    <row r="8" spans="1:5" ht="32.25" thickBot="1" x14ac:dyDescent="0.3">
      <c r="A8" s="36" t="s">
        <v>891</v>
      </c>
      <c r="B8" s="167" t="s">
        <v>912</v>
      </c>
      <c r="C8" s="1093" t="s">
        <v>7</v>
      </c>
      <c r="D8" s="1093"/>
      <c r="E8" s="1094"/>
    </row>
    <row r="9" spans="1:5" ht="54.75" customHeight="1" thickBot="1" x14ac:dyDescent="0.3">
      <c r="A9" s="36" t="s">
        <v>1188</v>
      </c>
      <c r="B9" s="186">
        <v>3320</v>
      </c>
      <c r="C9" s="1756" t="s">
        <v>1187</v>
      </c>
      <c r="D9" s="1756"/>
      <c r="E9" s="1757"/>
    </row>
    <row r="10" spans="1:5" ht="32.25" thickBot="1" x14ac:dyDescent="0.3">
      <c r="A10" s="36" t="s">
        <v>927</v>
      </c>
      <c r="B10" s="186"/>
      <c r="C10" s="1095"/>
      <c r="D10" s="1095"/>
      <c r="E10" s="1096"/>
    </row>
    <row r="12" spans="1:5" ht="22.5" customHeight="1" x14ac:dyDescent="0.25">
      <c r="A12" s="1758" t="s">
        <v>122</v>
      </c>
      <c r="B12" s="1758"/>
      <c r="C12" s="1758"/>
      <c r="D12" s="1758"/>
      <c r="E12" s="1758"/>
    </row>
    <row r="13" spans="1:5" ht="18" customHeight="1" x14ac:dyDescent="0.25">
      <c r="A13" s="1558" t="s">
        <v>948</v>
      </c>
      <c r="B13" s="1558"/>
      <c r="C13" s="1558"/>
      <c r="D13" s="1558"/>
      <c r="E13" s="1558"/>
    </row>
    <row r="14" spans="1:5" ht="15.75" thickBot="1" x14ac:dyDescent="0.3"/>
    <row r="15" spans="1:5" ht="15.75" thickBot="1" x14ac:dyDescent="0.3">
      <c r="A15" s="2" t="s">
        <v>2</v>
      </c>
      <c r="B15" s="1263" t="s">
        <v>539</v>
      </c>
      <c r="C15" s="1263"/>
      <c r="D15" s="1263"/>
      <c r="E15" s="1263"/>
    </row>
    <row r="16" spans="1:5" ht="15.75" thickBot="1" x14ac:dyDescent="0.3">
      <c r="A16" s="2" t="s">
        <v>3</v>
      </c>
      <c r="B16" s="1087" t="s">
        <v>146</v>
      </c>
      <c r="C16" s="1088"/>
      <c r="D16" s="1088"/>
      <c r="E16" s="1089"/>
    </row>
    <row r="17" spans="1:8" ht="15.75" thickBot="1" x14ac:dyDescent="0.3">
      <c r="A17" s="2" t="s">
        <v>5</v>
      </c>
      <c r="B17" s="1265" t="s">
        <v>6</v>
      </c>
      <c r="C17" s="1095"/>
      <c r="D17" s="1095"/>
      <c r="E17" s="1096"/>
    </row>
    <row r="18" spans="1:8" ht="15.75" thickBot="1" x14ac:dyDescent="0.3">
      <c r="A18" s="1266" t="s">
        <v>7</v>
      </c>
      <c r="B18" s="1267"/>
      <c r="C18" s="1267"/>
      <c r="D18" s="1267"/>
      <c r="E18" s="1297"/>
    </row>
    <row r="19" spans="1:8" ht="15.75" thickBot="1" x14ac:dyDescent="0.3">
      <c r="A19" s="1760" t="s">
        <v>1186</v>
      </c>
      <c r="B19" s="1761"/>
      <c r="C19" s="1761"/>
      <c r="D19" s="1761"/>
      <c r="E19" s="1762"/>
    </row>
    <row r="20" spans="1:8" ht="36.75" customHeight="1" thickBot="1" x14ac:dyDescent="0.3">
      <c r="A20" s="1760"/>
      <c r="B20" s="1761"/>
      <c r="C20" s="1761"/>
      <c r="D20" s="1761"/>
      <c r="E20" s="1762"/>
    </row>
    <row r="21" spans="1:8" ht="15.75" thickBot="1" x14ac:dyDescent="0.3">
      <c r="A21" s="1760"/>
      <c r="B21" s="1761"/>
      <c r="C21" s="1761"/>
      <c r="D21" s="1761"/>
      <c r="E21" s="1762"/>
    </row>
    <row r="22" spans="1:8" ht="74.25" customHeight="1" thickBot="1" x14ac:dyDescent="0.3">
      <c r="A22" s="3" t="s">
        <v>8</v>
      </c>
      <c r="B22" s="1763" t="s">
        <v>540</v>
      </c>
      <c r="C22" s="1764"/>
      <c r="D22" s="1764"/>
      <c r="E22" s="1765"/>
    </row>
    <row r="23" spans="1:8" ht="23.25" customHeight="1" x14ac:dyDescent="0.25">
      <c r="A23" s="1250" t="s">
        <v>9</v>
      </c>
      <c r="B23" s="245">
        <v>2018</v>
      </c>
      <c r="C23" s="245">
        <v>2019</v>
      </c>
      <c r="D23" s="245">
        <v>2020</v>
      </c>
      <c r="E23" s="245">
        <v>2021</v>
      </c>
    </row>
    <row r="24" spans="1:8" ht="15.75" thickBot="1" x14ac:dyDescent="0.3">
      <c r="A24" s="1251"/>
      <c r="B24" s="244" t="s">
        <v>10</v>
      </c>
      <c r="C24" s="244" t="s">
        <v>11</v>
      </c>
      <c r="D24" s="244" t="s">
        <v>11</v>
      </c>
      <c r="E24" s="244" t="s">
        <v>11</v>
      </c>
    </row>
    <row r="25" spans="1:8" ht="57" thickBot="1" x14ac:dyDescent="0.3">
      <c r="A25" s="221" t="s">
        <v>541</v>
      </c>
      <c r="B25" s="4">
        <v>0</v>
      </c>
      <c r="C25" s="4">
        <v>0</v>
      </c>
      <c r="D25" s="4">
        <v>0</v>
      </c>
      <c r="E25" s="4">
        <v>0</v>
      </c>
    </row>
    <row r="26" spans="1:8" ht="15.75" thickBot="1" x14ac:dyDescent="0.3">
      <c r="A26" s="5"/>
      <c r="B26" s="4"/>
      <c r="C26" s="4"/>
      <c r="D26" s="4"/>
      <c r="E26" s="4"/>
    </row>
    <row r="27" spans="1:8" ht="15.75" thickBot="1" x14ac:dyDescent="0.3">
      <c r="A27" s="5"/>
      <c r="B27" s="4"/>
      <c r="C27" s="4"/>
      <c r="D27" s="4"/>
      <c r="E27" s="4"/>
    </row>
    <row r="28" spans="1:8" ht="59.25" customHeight="1" thickBot="1" x14ac:dyDescent="0.3">
      <c r="A28" s="6" t="s">
        <v>12</v>
      </c>
      <c r="B28" s="1766" t="s">
        <v>1185</v>
      </c>
      <c r="C28" s="1767"/>
      <c r="D28" s="1767"/>
      <c r="E28" s="1768"/>
    </row>
    <row r="29" spans="1:8" ht="23.25" customHeight="1" thickBot="1" x14ac:dyDescent="0.3">
      <c r="A29" s="1245" t="s">
        <v>13</v>
      </c>
      <c r="B29" s="1246"/>
      <c r="C29" s="1246"/>
      <c r="D29" s="1246"/>
      <c r="E29" s="1298"/>
      <c r="F29" s="35"/>
      <c r="H29" s="35"/>
    </row>
    <row r="30" spans="1:8" ht="34.5" thickBot="1" x14ac:dyDescent="0.3">
      <c r="A30" s="434" t="s">
        <v>542</v>
      </c>
      <c r="B30" s="4">
        <v>1</v>
      </c>
      <c r="C30" s="4">
        <v>1</v>
      </c>
      <c r="D30" s="4">
        <v>1</v>
      </c>
      <c r="E30" s="4">
        <v>1</v>
      </c>
    </row>
    <row r="31" spans="1:8" ht="15.75" thickBot="1" x14ac:dyDescent="0.3">
      <c r="A31" s="433" t="s">
        <v>1184</v>
      </c>
      <c r="B31" s="4">
        <v>0.23</v>
      </c>
      <c r="C31" s="4">
        <v>0.25</v>
      </c>
      <c r="D31" s="4">
        <v>0.27800000000000002</v>
      </c>
      <c r="E31" s="4">
        <v>0.3</v>
      </c>
    </row>
    <row r="32" spans="1:8" ht="15.75" thickBot="1" x14ac:dyDescent="0.3">
      <c r="A32" s="5" t="s">
        <v>111</v>
      </c>
      <c r="B32" s="4" t="s">
        <v>112</v>
      </c>
      <c r="C32" s="4" t="s">
        <v>113</v>
      </c>
      <c r="D32" s="4" t="s">
        <v>113</v>
      </c>
      <c r="E32" s="4" t="s">
        <v>113</v>
      </c>
    </row>
    <row r="33" spans="1:9" ht="15.75" thickBot="1" x14ac:dyDescent="0.3">
      <c r="A33" s="1273" t="s">
        <v>14</v>
      </c>
      <c r="B33" s="1274"/>
      <c r="C33" s="1274"/>
      <c r="D33" s="1274"/>
      <c r="E33" s="1299"/>
    </row>
    <row r="34" spans="1:9" ht="15.75" thickBot="1" x14ac:dyDescent="0.3">
      <c r="A34" s="1275" t="s">
        <v>15</v>
      </c>
      <c r="B34" s="1276"/>
      <c r="C34" s="1276"/>
      <c r="D34" s="1276"/>
      <c r="E34" s="1317"/>
    </row>
    <row r="35" spans="1:9" ht="15.75" thickBot="1" x14ac:dyDescent="0.3">
      <c r="A35" s="7" t="s">
        <v>16</v>
      </c>
      <c r="B35" s="1243" t="s">
        <v>543</v>
      </c>
      <c r="C35" s="1244"/>
      <c r="D35" s="1244"/>
      <c r="E35" s="1315"/>
    </row>
    <row r="36" spans="1:9" ht="42" customHeight="1" thickBot="1" x14ac:dyDescent="0.3">
      <c r="A36" s="5" t="s">
        <v>17</v>
      </c>
      <c r="B36" s="1772" t="s">
        <v>1183</v>
      </c>
      <c r="C36" s="1773"/>
      <c r="D36" s="1773"/>
      <c r="E36" s="1774"/>
    </row>
    <row r="37" spans="1:9" ht="15.75" thickBot="1" x14ac:dyDescent="0.3">
      <c r="A37" s="5" t="s">
        <v>18</v>
      </c>
      <c r="B37" s="1248" t="s">
        <v>544</v>
      </c>
      <c r="C37" s="1249"/>
      <c r="D37" s="1249"/>
      <c r="E37" s="1316"/>
    </row>
    <row r="38" spans="1:9" ht="12.75" customHeight="1" x14ac:dyDescent="0.25">
      <c r="A38" s="1250"/>
      <c r="B38" s="8">
        <v>2018</v>
      </c>
      <c r="C38" s="8">
        <v>2019</v>
      </c>
      <c r="D38" s="8">
        <v>2020</v>
      </c>
      <c r="E38" s="8">
        <v>2021</v>
      </c>
    </row>
    <row r="39" spans="1:9" ht="9" customHeight="1" thickBot="1" x14ac:dyDescent="0.3">
      <c r="A39" s="1251"/>
      <c r="B39" s="9" t="s">
        <v>10</v>
      </c>
      <c r="C39" s="9" t="s">
        <v>11</v>
      </c>
      <c r="D39" s="9" t="s">
        <v>11</v>
      </c>
      <c r="E39" s="9" t="s">
        <v>11</v>
      </c>
    </row>
    <row r="40" spans="1:9" ht="15.75" thickBot="1" x14ac:dyDescent="0.3">
      <c r="A40" s="5" t="s">
        <v>19</v>
      </c>
      <c r="B40" s="194">
        <v>977</v>
      </c>
      <c r="C40" s="194">
        <v>1000</v>
      </c>
      <c r="D40" s="194">
        <v>1050</v>
      </c>
      <c r="E40" s="194">
        <v>1100</v>
      </c>
    </row>
    <row r="41" spans="1:9" s="235" customFormat="1" ht="15.75" thickBot="1" x14ac:dyDescent="0.3">
      <c r="A41" s="5" t="s">
        <v>20</v>
      </c>
      <c r="B41" s="10">
        <v>91000</v>
      </c>
      <c r="C41" s="10">
        <v>121000</v>
      </c>
      <c r="D41" s="10">
        <v>121000</v>
      </c>
      <c r="E41" s="10">
        <v>121000</v>
      </c>
    </row>
    <row r="42" spans="1:9" ht="15.75" thickBot="1" x14ac:dyDescent="0.3">
      <c r="A42" s="5" t="s">
        <v>21</v>
      </c>
      <c r="B42" s="10">
        <f>B41/B40</f>
        <v>93.142272262026609</v>
      </c>
      <c r="C42" s="10">
        <f>C41/C40</f>
        <v>121</v>
      </c>
      <c r="D42" s="10">
        <f>D41/D40</f>
        <v>115.23809523809524</v>
      </c>
      <c r="E42" s="10">
        <f>E41/E40</f>
        <v>110</v>
      </c>
    </row>
    <row r="43" spans="1:9" ht="15.75" thickBot="1" x14ac:dyDescent="0.3">
      <c r="A43" s="5" t="s">
        <v>22</v>
      </c>
      <c r="B43" s="225" t="s">
        <v>23</v>
      </c>
      <c r="C43" s="11">
        <f t="shared" ref="C43:E45" si="0">C40/B40-1</f>
        <v>2.3541453428863823E-2</v>
      </c>
      <c r="D43" s="11">
        <f t="shared" si="0"/>
        <v>5.0000000000000044E-2</v>
      </c>
      <c r="E43" s="11">
        <f t="shared" si="0"/>
        <v>4.7619047619047672E-2</v>
      </c>
      <c r="F43" s="12"/>
      <c r="G43" s="12"/>
      <c r="H43" s="12"/>
      <c r="I43" s="12"/>
    </row>
    <row r="44" spans="1:9" ht="15.75" thickBot="1" x14ac:dyDescent="0.3">
      <c r="A44" s="5" t="s">
        <v>24</v>
      </c>
      <c r="B44" s="225" t="s">
        <v>23</v>
      </c>
      <c r="C44" s="11">
        <f t="shared" si="0"/>
        <v>0.32967032967032961</v>
      </c>
      <c r="D44" s="11">
        <f t="shared" si="0"/>
        <v>0</v>
      </c>
      <c r="E44" s="11">
        <f t="shared" si="0"/>
        <v>0</v>
      </c>
    </row>
    <row r="45" spans="1:9" ht="15.75" thickBot="1" x14ac:dyDescent="0.3">
      <c r="A45" s="5" t="s">
        <v>25</v>
      </c>
      <c r="B45" s="225" t="s">
        <v>23</v>
      </c>
      <c r="C45" s="11">
        <f t="shared" si="0"/>
        <v>0.29908791208791219</v>
      </c>
      <c r="D45" s="11">
        <f t="shared" si="0"/>
        <v>-4.7619047619047561E-2</v>
      </c>
      <c r="E45" s="11">
        <f t="shared" si="0"/>
        <v>-4.5454545454545525E-2</v>
      </c>
    </row>
    <row r="46" spans="1:9" ht="15.75" thickBot="1" x14ac:dyDescent="0.3">
      <c r="A46" s="1252" t="s">
        <v>633</v>
      </c>
      <c r="B46" s="1253"/>
      <c r="C46" s="1253"/>
      <c r="D46" s="1253"/>
      <c r="E46" s="1300"/>
    </row>
    <row r="47" spans="1:9" ht="12.75" customHeight="1" x14ac:dyDescent="0.25">
      <c r="A47" s="1250"/>
      <c r="B47" s="8">
        <v>2018</v>
      </c>
      <c r="C47" s="8">
        <v>2019</v>
      </c>
      <c r="D47" s="8">
        <v>2020</v>
      </c>
      <c r="E47" s="8">
        <v>2021</v>
      </c>
    </row>
    <row r="48" spans="1:9" ht="9" customHeight="1" thickBot="1" x14ac:dyDescent="0.3">
      <c r="A48" s="1251"/>
      <c r="B48" s="9" t="s">
        <v>10</v>
      </c>
      <c r="C48" s="9" t="s">
        <v>11</v>
      </c>
      <c r="D48" s="9" t="s">
        <v>11</v>
      </c>
      <c r="E48" s="9" t="s">
        <v>11</v>
      </c>
    </row>
    <row r="49" spans="1:5" ht="15.75" thickBot="1" x14ac:dyDescent="0.3">
      <c r="A49" s="13" t="s">
        <v>26</v>
      </c>
      <c r="B49" s="14">
        <v>53500</v>
      </c>
      <c r="C49" s="14">
        <v>83000</v>
      </c>
      <c r="D49" s="14">
        <v>83000</v>
      </c>
      <c r="E49" s="14">
        <v>83000</v>
      </c>
    </row>
    <row r="50" spans="1:5" ht="24.75" thickBot="1" x14ac:dyDescent="0.3">
      <c r="A50" s="28" t="s">
        <v>27</v>
      </c>
      <c r="B50" s="15"/>
      <c r="C50" s="141"/>
      <c r="D50" s="141"/>
      <c r="E50" s="141"/>
    </row>
    <row r="51" spans="1:5" ht="24.75" thickBot="1" x14ac:dyDescent="0.3">
      <c r="A51" s="28" t="s">
        <v>863</v>
      </c>
      <c r="B51" s="15"/>
      <c r="C51" s="29"/>
      <c r="D51" s="29"/>
      <c r="E51" s="29"/>
    </row>
    <row r="52" spans="1:5" ht="15.75" thickBot="1" x14ac:dyDescent="0.3">
      <c r="A52" s="13" t="s">
        <v>28</v>
      </c>
      <c r="B52" s="14">
        <v>10500</v>
      </c>
      <c r="C52" s="14">
        <v>9000</v>
      </c>
      <c r="D52" s="14">
        <v>9000</v>
      </c>
      <c r="E52" s="14">
        <v>9000</v>
      </c>
    </row>
    <row r="53" spans="1:5" ht="36.75" thickBot="1" x14ac:dyDescent="0.3">
      <c r="A53" s="28" t="s">
        <v>29</v>
      </c>
      <c r="B53" s="15"/>
      <c r="C53" s="14"/>
      <c r="D53" s="14"/>
      <c r="E53" s="14"/>
    </row>
    <row r="54" spans="1:5" ht="36.75" thickBot="1" x14ac:dyDescent="0.3">
      <c r="A54" s="28" t="s">
        <v>864</v>
      </c>
      <c r="B54" s="15"/>
      <c r="C54" s="14"/>
      <c r="D54" s="14"/>
      <c r="E54" s="14"/>
    </row>
    <row r="55" spans="1:5" ht="15.75" thickBot="1" x14ac:dyDescent="0.3">
      <c r="A55" s="13" t="s">
        <v>30</v>
      </c>
      <c r="B55" s="15">
        <v>26580</v>
      </c>
      <c r="C55" s="15">
        <v>28580</v>
      </c>
      <c r="D55" s="15">
        <v>28580</v>
      </c>
      <c r="E55" s="14">
        <v>28580</v>
      </c>
    </row>
    <row r="56" spans="1:5" ht="24.75" thickBot="1" x14ac:dyDescent="0.3">
      <c r="A56" s="28" t="s">
        <v>31</v>
      </c>
      <c r="B56" s="15"/>
      <c r="C56" s="14">
        <v>0</v>
      </c>
      <c r="D56" s="14">
        <f>C56*1.03</f>
        <v>0</v>
      </c>
      <c r="E56" s="14">
        <f>D56*1.03</f>
        <v>0</v>
      </c>
    </row>
    <row r="57" spans="1:5" ht="24.75" thickBot="1" x14ac:dyDescent="0.3">
      <c r="A57" s="28" t="s">
        <v>865</v>
      </c>
      <c r="B57" s="15"/>
      <c r="C57" s="14">
        <v>0</v>
      </c>
      <c r="D57" s="14">
        <v>0</v>
      </c>
      <c r="E57" s="14">
        <v>0</v>
      </c>
    </row>
    <row r="58" spans="1:5" ht="15.75" thickBot="1" x14ac:dyDescent="0.3">
      <c r="A58" s="13" t="s">
        <v>32</v>
      </c>
      <c r="B58" s="15"/>
      <c r="C58" s="14"/>
      <c r="D58" s="14"/>
      <c r="E58" s="14"/>
    </row>
    <row r="59" spans="1:5" ht="24.75" thickBot="1" x14ac:dyDescent="0.3">
      <c r="A59" s="28" t="s">
        <v>33</v>
      </c>
      <c r="B59" s="15"/>
      <c r="C59" s="14"/>
      <c r="D59" s="14"/>
      <c r="E59" s="14"/>
    </row>
    <row r="60" spans="1:5" ht="24.75" thickBot="1" x14ac:dyDescent="0.3">
      <c r="A60" s="28" t="s">
        <v>866</v>
      </c>
      <c r="B60" s="15"/>
      <c r="C60" s="14"/>
      <c r="D60" s="14"/>
      <c r="E60" s="14"/>
    </row>
    <row r="61" spans="1:5" ht="15.75" thickBot="1" x14ac:dyDescent="0.3">
      <c r="A61" s="13" t="s">
        <v>34</v>
      </c>
      <c r="B61" s="15"/>
      <c r="C61" s="14"/>
      <c r="D61" s="14"/>
      <c r="E61" s="14"/>
    </row>
    <row r="62" spans="1:5" ht="24.75" thickBot="1" x14ac:dyDescent="0.3">
      <c r="A62" s="28" t="s">
        <v>35</v>
      </c>
      <c r="B62" s="15"/>
      <c r="C62" s="14"/>
      <c r="D62" s="14"/>
      <c r="E62" s="14"/>
    </row>
    <row r="63" spans="1:5" ht="24.75" thickBot="1" x14ac:dyDescent="0.3">
      <c r="A63" s="28" t="s">
        <v>867</v>
      </c>
      <c r="B63" s="15"/>
      <c r="C63" s="14"/>
      <c r="D63" s="14"/>
      <c r="E63" s="14"/>
    </row>
    <row r="64" spans="1:5" ht="15.75" thickBot="1" x14ac:dyDescent="0.3">
      <c r="A64" s="13" t="s">
        <v>36</v>
      </c>
      <c r="B64" s="15"/>
      <c r="C64" s="14"/>
      <c r="D64" s="14"/>
      <c r="E64" s="14"/>
    </row>
    <row r="65" spans="1:5" ht="24.75" thickBot="1" x14ac:dyDescent="0.3">
      <c r="A65" s="28" t="s">
        <v>37</v>
      </c>
      <c r="B65" s="15"/>
      <c r="C65" s="14"/>
      <c r="D65" s="14"/>
      <c r="E65" s="14"/>
    </row>
    <row r="66" spans="1:5" ht="24.75" thickBot="1" x14ac:dyDescent="0.3">
      <c r="A66" s="28" t="s">
        <v>868</v>
      </c>
      <c r="B66" s="15"/>
      <c r="C66" s="14"/>
      <c r="D66" s="14"/>
      <c r="E66" s="14"/>
    </row>
    <row r="67" spans="1:5" ht="15.75" thickBot="1" x14ac:dyDescent="0.3">
      <c r="A67" s="13" t="s">
        <v>38</v>
      </c>
      <c r="B67" s="15">
        <v>420</v>
      </c>
      <c r="C67" s="15">
        <v>420</v>
      </c>
      <c r="D67" s="15">
        <v>420</v>
      </c>
      <c r="E67" s="15">
        <v>420</v>
      </c>
    </row>
    <row r="68" spans="1:5" ht="36.75" thickBot="1" x14ac:dyDescent="0.3">
      <c r="A68" s="28" t="s">
        <v>39</v>
      </c>
      <c r="B68" s="15"/>
      <c r="C68" s="14"/>
      <c r="D68" s="14"/>
      <c r="E68" s="14"/>
    </row>
    <row r="69" spans="1:5" ht="36.75" thickBot="1" x14ac:dyDescent="0.3">
      <c r="A69" s="28" t="s">
        <v>869</v>
      </c>
      <c r="B69" s="15"/>
      <c r="C69" s="14"/>
      <c r="D69" s="14"/>
      <c r="E69" s="14"/>
    </row>
    <row r="70" spans="1:5" s="235" customFormat="1" ht="15.75" thickBot="1" x14ac:dyDescent="0.3">
      <c r="A70" s="432" t="s">
        <v>40</v>
      </c>
      <c r="B70" s="191">
        <f>B67+B64+B61+B58+B55+B52+B49</f>
        <v>91000</v>
      </c>
      <c r="C70" s="191">
        <f>C67+C64+C61+C58+C55+C52+C49</f>
        <v>121000</v>
      </c>
      <c r="D70" s="191">
        <f>D67+D64+D61+D58+D55+D52+D49</f>
        <v>121000</v>
      </c>
      <c r="E70" s="191">
        <f>E67+E64+E61+E58+E55+E52+E49</f>
        <v>121000</v>
      </c>
    </row>
    <row r="71" spans="1:5" ht="32.25" customHeight="1" thickBot="1" x14ac:dyDescent="0.3">
      <c r="A71" s="431"/>
      <c r="B71" s="430"/>
      <c r="C71" s="429"/>
      <c r="D71" s="429"/>
      <c r="E71" s="428"/>
    </row>
    <row r="72" spans="1:5" x14ac:dyDescent="0.25">
      <c r="A72" s="1255" t="s">
        <v>870</v>
      </c>
      <c r="B72" s="427" t="s">
        <v>1182</v>
      </c>
      <c r="C72" s="426"/>
      <c r="D72" s="426"/>
      <c r="E72" s="425"/>
    </row>
    <row r="73" spans="1:5" ht="23.25" customHeight="1" x14ac:dyDescent="0.25">
      <c r="A73" s="1255"/>
      <c r="B73" s="1775" t="s">
        <v>1181</v>
      </c>
      <c r="C73" s="1776"/>
      <c r="D73" s="1776"/>
      <c r="E73" s="1777"/>
    </row>
    <row r="74" spans="1:5" ht="15.75" thickBot="1" x14ac:dyDescent="0.3">
      <c r="A74" s="1256"/>
      <c r="B74" s="424" t="s">
        <v>1180</v>
      </c>
      <c r="C74" s="423"/>
      <c r="D74" s="423"/>
      <c r="E74" s="422"/>
    </row>
    <row r="75" spans="1:5" ht="15.75" thickBot="1" x14ac:dyDescent="0.3">
      <c r="A75" s="17" t="s">
        <v>41</v>
      </c>
      <c r="B75" s="18">
        <f>IF(B70-B41=0,0,"Error")</f>
        <v>0</v>
      </c>
      <c r="C75" s="18">
        <f>IF(C70-C41=0,0,"Error")</f>
        <v>0</v>
      </c>
      <c r="D75" s="18">
        <f>IF(D70-D41=0,0,"Error")</f>
        <v>0</v>
      </c>
      <c r="E75" s="18">
        <f>IF(E70-E41=0,0,"Error")</f>
        <v>0</v>
      </c>
    </row>
    <row r="76" spans="1:5" ht="15.75" thickBot="1" x14ac:dyDescent="0.3">
      <c r="A76" s="139" t="s">
        <v>637</v>
      </c>
      <c r="B76" s="1243" t="s">
        <v>106</v>
      </c>
      <c r="C76" s="1244"/>
      <c r="D76" s="1244"/>
      <c r="E76" s="1315"/>
    </row>
    <row r="77" spans="1:5" ht="15.75" thickBot="1" x14ac:dyDescent="0.3">
      <c r="A77" s="5" t="s">
        <v>17</v>
      </c>
      <c r="B77" s="1245" t="s">
        <v>106</v>
      </c>
      <c r="C77" s="1246"/>
      <c r="D77" s="1246"/>
      <c r="E77" s="1298"/>
    </row>
    <row r="78" spans="1:5" ht="15.75" thickBot="1" x14ac:dyDescent="0.3">
      <c r="A78" s="5" t="s">
        <v>18</v>
      </c>
      <c r="B78" s="1248" t="s">
        <v>106</v>
      </c>
      <c r="C78" s="1249"/>
      <c r="D78" s="1249"/>
      <c r="E78" s="1316"/>
    </row>
    <row r="79" spans="1:5" ht="15.75" thickBot="1" x14ac:dyDescent="0.3">
      <c r="A79" s="5" t="s">
        <v>19</v>
      </c>
      <c r="B79" s="10"/>
      <c r="C79" s="10"/>
      <c r="D79" s="10"/>
      <c r="E79" s="10"/>
    </row>
    <row r="80" spans="1:5" ht="12.75" customHeight="1" x14ac:dyDescent="0.25">
      <c r="A80" s="1250"/>
      <c r="B80" s="8">
        <v>2018</v>
      </c>
      <c r="C80" s="8">
        <v>2019</v>
      </c>
      <c r="D80" s="8">
        <v>2020</v>
      </c>
      <c r="E80" s="8">
        <v>2021</v>
      </c>
    </row>
    <row r="81" spans="1:5" ht="9" customHeight="1" thickBot="1" x14ac:dyDescent="0.3">
      <c r="A81" s="1251"/>
      <c r="B81" s="9" t="s">
        <v>10</v>
      </c>
      <c r="C81" s="9" t="s">
        <v>11</v>
      </c>
      <c r="D81" s="9" t="s">
        <v>11</v>
      </c>
      <c r="E81" s="9" t="s">
        <v>11</v>
      </c>
    </row>
    <row r="82" spans="1:5" ht="15.75" thickBot="1" x14ac:dyDescent="0.3">
      <c r="A82" s="5" t="s">
        <v>20</v>
      </c>
      <c r="B82" s="10"/>
      <c r="C82" s="10"/>
      <c r="D82" s="10"/>
      <c r="E82" s="10"/>
    </row>
    <row r="83" spans="1:5" ht="15.75" thickBot="1" x14ac:dyDescent="0.3">
      <c r="A83" s="5" t="s">
        <v>21</v>
      </c>
      <c r="B83" s="10" t="e">
        <f>B82/B79</f>
        <v>#DIV/0!</v>
      </c>
      <c r="C83" s="10" t="e">
        <f>C82/C79</f>
        <v>#DIV/0!</v>
      </c>
      <c r="D83" s="10" t="e">
        <f>D82/D79</f>
        <v>#DIV/0!</v>
      </c>
      <c r="E83" s="10" t="e">
        <f>E82/E79</f>
        <v>#DIV/0!</v>
      </c>
    </row>
    <row r="84" spans="1:5" ht="15.75" thickBot="1" x14ac:dyDescent="0.3">
      <c r="A84" s="5" t="s">
        <v>22</v>
      </c>
      <c r="B84" s="225"/>
      <c r="C84" s="11" t="e">
        <f>C79/B79-1</f>
        <v>#DIV/0!</v>
      </c>
      <c r="D84" s="11" t="e">
        <f>D79/C79-1</f>
        <v>#DIV/0!</v>
      </c>
      <c r="E84" s="11" t="e">
        <f>E79/D79-1</f>
        <v>#DIV/0!</v>
      </c>
    </row>
    <row r="85" spans="1:5" ht="15.75" thickBot="1" x14ac:dyDescent="0.3">
      <c r="A85" s="5" t="s">
        <v>24</v>
      </c>
      <c r="B85" s="225"/>
      <c r="C85" s="11" t="e">
        <f t="shared" ref="C85:E86" si="1">C82/B82-1</f>
        <v>#DIV/0!</v>
      </c>
      <c r="D85" s="11" t="e">
        <f t="shared" si="1"/>
        <v>#DIV/0!</v>
      </c>
      <c r="E85" s="11" t="e">
        <f t="shared" si="1"/>
        <v>#DIV/0!</v>
      </c>
    </row>
    <row r="86" spans="1:5" ht="15.75" thickBot="1" x14ac:dyDescent="0.3">
      <c r="A86" s="5" t="s">
        <v>25</v>
      </c>
      <c r="B86" s="225"/>
      <c r="C86" s="11" t="e">
        <f t="shared" si="1"/>
        <v>#DIV/0!</v>
      </c>
      <c r="D86" s="11" t="e">
        <f t="shared" si="1"/>
        <v>#DIV/0!</v>
      </c>
      <c r="E86" s="11" t="e">
        <f t="shared" si="1"/>
        <v>#DIV/0!</v>
      </c>
    </row>
    <row r="87" spans="1:5" ht="24.75" customHeight="1" thickBot="1" x14ac:dyDescent="0.3">
      <c r="A87" s="1252" t="s">
        <v>862</v>
      </c>
      <c r="B87" s="1253"/>
      <c r="C87" s="1253"/>
      <c r="D87" s="1253"/>
      <c r="E87" s="1300"/>
    </row>
    <row r="88" spans="1:5" ht="12.75" customHeight="1" x14ac:dyDescent="0.25">
      <c r="A88" s="1250"/>
      <c r="B88" s="8">
        <v>2018</v>
      </c>
      <c r="C88" s="8">
        <v>2019</v>
      </c>
      <c r="D88" s="8">
        <v>2020</v>
      </c>
      <c r="E88" s="8">
        <v>2021</v>
      </c>
    </row>
    <row r="89" spans="1:5" ht="9" customHeight="1" thickBot="1" x14ac:dyDescent="0.3">
      <c r="A89" s="1251"/>
      <c r="B89" s="9" t="s">
        <v>10</v>
      </c>
      <c r="C89" s="9" t="s">
        <v>11</v>
      </c>
      <c r="D89" s="9" t="s">
        <v>11</v>
      </c>
      <c r="E89" s="9" t="s">
        <v>11</v>
      </c>
    </row>
    <row r="90" spans="1:5" ht="24.75" customHeight="1" thickBot="1" x14ac:dyDescent="0.3">
      <c r="A90" s="13" t="s">
        <v>26</v>
      </c>
      <c r="B90" s="14"/>
      <c r="C90" s="14"/>
      <c r="D90" s="14"/>
      <c r="E90" s="14"/>
    </row>
    <row r="91" spans="1:5" ht="38.25" customHeight="1" thickBot="1" x14ac:dyDescent="0.3">
      <c r="A91" s="28" t="s">
        <v>27</v>
      </c>
      <c r="B91" s="15"/>
      <c r="C91" s="29"/>
      <c r="D91" s="29"/>
      <c r="E91" s="29"/>
    </row>
    <row r="92" spans="1:5" ht="24.75" customHeight="1" thickBot="1" x14ac:dyDescent="0.3">
      <c r="A92" s="28" t="s">
        <v>45</v>
      </c>
      <c r="B92" s="15"/>
      <c r="C92" s="29"/>
      <c r="D92" s="29"/>
      <c r="E92" s="29"/>
    </row>
    <row r="93" spans="1:5" ht="24.75" customHeight="1" thickBot="1" x14ac:dyDescent="0.3">
      <c r="A93" s="13" t="s">
        <v>28</v>
      </c>
      <c r="B93" s="14"/>
      <c r="C93" s="14"/>
      <c r="D93" s="14"/>
      <c r="E93" s="14"/>
    </row>
    <row r="94" spans="1:5" ht="39" customHeight="1" thickBot="1" x14ac:dyDescent="0.3">
      <c r="A94" s="28" t="s">
        <v>29</v>
      </c>
      <c r="B94" s="15"/>
      <c r="C94" s="14"/>
      <c r="D94" s="14"/>
      <c r="E94" s="14"/>
    </row>
    <row r="95" spans="1:5" ht="35.25" customHeight="1" thickBot="1" x14ac:dyDescent="0.3">
      <c r="A95" s="28" t="s">
        <v>46</v>
      </c>
      <c r="B95" s="15"/>
      <c r="C95" s="14"/>
      <c r="D95" s="14"/>
      <c r="E95" s="14"/>
    </row>
    <row r="96" spans="1:5" ht="24.75" customHeight="1" thickBot="1" x14ac:dyDescent="0.3">
      <c r="A96" s="13" t="s">
        <v>30</v>
      </c>
      <c r="B96" s="15"/>
      <c r="C96" s="14"/>
      <c r="D96" s="14"/>
      <c r="E96" s="14"/>
    </row>
    <row r="97" spans="1:5" ht="24.75" thickBot="1" x14ac:dyDescent="0.3">
      <c r="A97" s="28" t="s">
        <v>31</v>
      </c>
      <c r="B97" s="15"/>
      <c r="C97" s="14"/>
      <c r="D97" s="14"/>
      <c r="E97" s="14"/>
    </row>
    <row r="98" spans="1:5" ht="24.75" thickBot="1" x14ac:dyDescent="0.3">
      <c r="A98" s="28" t="s">
        <v>47</v>
      </c>
      <c r="B98" s="15"/>
      <c r="C98" s="14"/>
      <c r="D98" s="14"/>
      <c r="E98" s="14"/>
    </row>
    <row r="99" spans="1:5" ht="15.75" thickBot="1" x14ac:dyDescent="0.3">
      <c r="A99" s="13" t="s">
        <v>32</v>
      </c>
      <c r="B99" s="15"/>
      <c r="C99" s="14"/>
      <c r="D99" s="14"/>
      <c r="E99" s="14"/>
    </row>
    <row r="100" spans="1:5" ht="24.75" thickBot="1" x14ac:dyDescent="0.3">
      <c r="A100" s="28" t="s">
        <v>33</v>
      </c>
      <c r="B100" s="15"/>
      <c r="C100" s="14"/>
      <c r="D100" s="14"/>
      <c r="E100" s="14"/>
    </row>
    <row r="101" spans="1:5" ht="24.75" thickBot="1" x14ac:dyDescent="0.3">
      <c r="A101" s="28" t="s">
        <v>48</v>
      </c>
      <c r="B101" s="15"/>
      <c r="C101" s="14"/>
      <c r="D101" s="14"/>
      <c r="E101" s="14"/>
    </row>
    <row r="102" spans="1:5" ht="15.75" thickBot="1" x14ac:dyDescent="0.3">
      <c r="A102" s="13" t="s">
        <v>34</v>
      </c>
      <c r="B102" s="15"/>
      <c r="C102" s="14"/>
      <c r="D102" s="14"/>
      <c r="E102" s="14"/>
    </row>
    <row r="103" spans="1:5" ht="30.75" customHeight="1" thickBot="1" x14ac:dyDescent="0.3">
      <c r="A103" s="28" t="s">
        <v>35</v>
      </c>
      <c r="B103" s="15"/>
      <c r="C103" s="14"/>
      <c r="D103" s="14"/>
      <c r="E103" s="14"/>
    </row>
    <row r="104" spans="1:5" ht="26.25" customHeight="1" thickBot="1" x14ac:dyDescent="0.3">
      <c r="A104" s="28" t="s">
        <v>49</v>
      </c>
      <c r="B104" s="15"/>
      <c r="C104" s="14"/>
      <c r="D104" s="14"/>
      <c r="E104" s="14"/>
    </row>
    <row r="105" spans="1:5" ht="15.75" thickBot="1" x14ac:dyDescent="0.3">
      <c r="A105" s="13" t="s">
        <v>36</v>
      </c>
      <c r="B105" s="15"/>
      <c r="C105" s="14"/>
      <c r="D105" s="14"/>
      <c r="E105" s="14"/>
    </row>
    <row r="106" spans="1:5" ht="24.75" thickBot="1" x14ac:dyDescent="0.3">
      <c r="A106" s="28" t="s">
        <v>37</v>
      </c>
      <c r="B106" s="15"/>
      <c r="C106" s="14"/>
      <c r="D106" s="14"/>
      <c r="E106" s="14"/>
    </row>
    <row r="107" spans="1:5" ht="24.75" thickBot="1" x14ac:dyDescent="0.3">
      <c r="A107" s="28" t="s">
        <v>50</v>
      </c>
      <c r="B107" s="15"/>
      <c r="C107" s="14"/>
      <c r="D107" s="14"/>
      <c r="E107" s="14"/>
    </row>
    <row r="108" spans="1:5" ht="15.75" thickBot="1" x14ac:dyDescent="0.3">
      <c r="A108" s="13" t="s">
        <v>38</v>
      </c>
      <c r="B108" s="15"/>
      <c r="C108" s="14"/>
      <c r="D108" s="14"/>
      <c r="E108" s="14"/>
    </row>
    <row r="109" spans="1:5" ht="36.75" thickBot="1" x14ac:dyDescent="0.3">
      <c r="A109" s="28" t="s">
        <v>39</v>
      </c>
      <c r="B109" s="15"/>
      <c r="C109" s="14"/>
      <c r="D109" s="14"/>
      <c r="E109" s="14"/>
    </row>
    <row r="110" spans="1:5" ht="36.75" thickBot="1" x14ac:dyDescent="0.3">
      <c r="A110" s="28" t="s">
        <v>51</v>
      </c>
      <c r="B110" s="15"/>
      <c r="C110" s="14"/>
      <c r="D110" s="14"/>
      <c r="E110" s="14"/>
    </row>
    <row r="111" spans="1:5" ht="15.75" thickBot="1" x14ac:dyDescent="0.3">
      <c r="A111" s="135" t="s">
        <v>74</v>
      </c>
      <c r="B111" s="15">
        <f>B108+B105+B102+B99+B96+B93+B90</f>
        <v>0</v>
      </c>
      <c r="C111" s="15">
        <f>C108+C105+C102+C99+C96+C93+C90</f>
        <v>0</v>
      </c>
      <c r="D111" s="15">
        <f>D108+D105+D102+D99+D96+D93+D90</f>
        <v>0</v>
      </c>
      <c r="E111" s="15">
        <f>E108+E105+E102+E99+E96+E93+E90</f>
        <v>0</v>
      </c>
    </row>
    <row r="112" spans="1:5" ht="15" customHeight="1" x14ac:dyDescent="0.25">
      <c r="A112" s="1254" t="s">
        <v>116</v>
      </c>
      <c r="B112" s="1322"/>
      <c r="C112" s="1289"/>
      <c r="D112" s="1289"/>
      <c r="E112" s="1290"/>
    </row>
    <row r="113" spans="1:9" x14ac:dyDescent="0.25">
      <c r="A113" s="1255"/>
      <c r="B113" s="1291"/>
      <c r="C113" s="1292"/>
      <c r="D113" s="1292"/>
      <c r="E113" s="1293"/>
    </row>
    <row r="114" spans="1:9" ht="25.5" customHeight="1" thickBot="1" x14ac:dyDescent="0.3">
      <c r="A114" s="1256"/>
      <c r="B114" s="1294"/>
      <c r="C114" s="1295"/>
      <c r="D114" s="1295"/>
      <c r="E114" s="1296"/>
    </row>
    <row r="115" spans="1:9" ht="17.25" customHeight="1" thickBot="1" x14ac:dyDescent="0.3">
      <c r="A115" s="17" t="s">
        <v>41</v>
      </c>
      <c r="B115" s="18">
        <f>IF(B111-B82=0,0,"Error")</f>
        <v>0</v>
      </c>
      <c r="C115" s="18">
        <f>IF(C111-C82=0,0,"Error")</f>
        <v>0</v>
      </c>
      <c r="D115" s="18">
        <f>IF(D111-D82=0,0,"Error")</f>
        <v>0</v>
      </c>
      <c r="E115" s="18">
        <f>IF(E111-E82=0,0,"Error")</f>
        <v>0</v>
      </c>
    </row>
    <row r="116" spans="1:9" ht="15.75" thickBot="1" x14ac:dyDescent="0.3">
      <c r="A116" s="1275" t="s">
        <v>55</v>
      </c>
      <c r="B116" s="1276"/>
      <c r="C116" s="1276"/>
      <c r="D116" s="1276"/>
      <c r="E116" s="1317"/>
    </row>
    <row r="117" spans="1:9" ht="15.75" thickBot="1" x14ac:dyDescent="0.3">
      <c r="A117" s="1275" t="s">
        <v>56</v>
      </c>
      <c r="B117" s="1276"/>
      <c r="C117" s="1276"/>
      <c r="D117" s="1276"/>
      <c r="E117" s="1317"/>
    </row>
    <row r="118" spans="1:9" ht="15.75" thickBot="1" x14ac:dyDescent="0.3">
      <c r="A118" s="421" t="s">
        <v>1179</v>
      </c>
      <c r="B118" s="1778">
        <v>630001</v>
      </c>
      <c r="C118" s="1779"/>
      <c r="D118" s="1779"/>
      <c r="E118" s="1780"/>
    </row>
    <row r="119" spans="1:9" ht="15.75" thickBot="1" x14ac:dyDescent="0.3">
      <c r="A119" s="7" t="s">
        <v>16</v>
      </c>
      <c r="B119" s="1781" t="s">
        <v>1178</v>
      </c>
      <c r="C119" s="1782"/>
      <c r="D119" s="1782"/>
      <c r="E119" s="1783"/>
    </row>
    <row r="120" spans="1:9" ht="17.25" customHeight="1" thickBot="1" x14ac:dyDescent="0.3">
      <c r="A120" s="5" t="s">
        <v>17</v>
      </c>
      <c r="B120" s="1245" t="s">
        <v>545</v>
      </c>
      <c r="C120" s="1246"/>
      <c r="D120" s="1246"/>
      <c r="E120" s="1298"/>
    </row>
    <row r="121" spans="1:9" ht="15.75" thickBot="1" x14ac:dyDescent="0.3">
      <c r="A121" s="5" t="s">
        <v>18</v>
      </c>
      <c r="B121" s="1248" t="s">
        <v>73</v>
      </c>
      <c r="C121" s="1249"/>
      <c r="D121" s="1249"/>
      <c r="E121" s="1316"/>
    </row>
    <row r="122" spans="1:9" ht="12.75" customHeight="1" x14ac:dyDescent="0.25">
      <c r="A122" s="1250"/>
      <c r="B122" s="8">
        <v>2018</v>
      </c>
      <c r="C122" s="8">
        <v>2019</v>
      </c>
      <c r="D122" s="8">
        <v>2020</v>
      </c>
      <c r="E122" s="8">
        <v>2021</v>
      </c>
    </row>
    <row r="123" spans="1:9" ht="9" customHeight="1" thickBot="1" x14ac:dyDescent="0.3">
      <c r="A123" s="1251"/>
      <c r="B123" s="9" t="s">
        <v>10</v>
      </c>
      <c r="C123" s="9" t="s">
        <v>11</v>
      </c>
      <c r="D123" s="9" t="s">
        <v>11</v>
      </c>
      <c r="E123" s="9" t="s">
        <v>11</v>
      </c>
    </row>
    <row r="124" spans="1:9" ht="15.75" thickBot="1" x14ac:dyDescent="0.3">
      <c r="A124" s="5" t="s">
        <v>19</v>
      </c>
      <c r="B124" s="10">
        <v>35</v>
      </c>
      <c r="C124" s="10">
        <v>35</v>
      </c>
      <c r="D124" s="10">
        <v>36</v>
      </c>
      <c r="E124" s="10">
        <v>37</v>
      </c>
    </row>
    <row r="125" spans="1:9" ht="15.75" thickBot="1" x14ac:dyDescent="0.3">
      <c r="A125" s="5" t="s">
        <v>20</v>
      </c>
      <c r="B125" s="10">
        <v>1850</v>
      </c>
      <c r="C125" s="10">
        <v>1850</v>
      </c>
      <c r="D125" s="10">
        <v>1850</v>
      </c>
      <c r="E125" s="10">
        <v>1850</v>
      </c>
    </row>
    <row r="126" spans="1:9" ht="15.75" thickBot="1" x14ac:dyDescent="0.3">
      <c r="A126" s="5" t="s">
        <v>21</v>
      </c>
      <c r="B126" s="10">
        <f>B125/B124</f>
        <v>52.857142857142854</v>
      </c>
      <c r="C126" s="10">
        <f>C125/C124</f>
        <v>52.857142857142854</v>
      </c>
      <c r="D126" s="10">
        <f>D125/D124</f>
        <v>51.388888888888886</v>
      </c>
      <c r="E126" s="10">
        <f>E125/E124</f>
        <v>50</v>
      </c>
    </row>
    <row r="127" spans="1:9" ht="15.75" thickBot="1" x14ac:dyDescent="0.3">
      <c r="A127" s="5" t="s">
        <v>22</v>
      </c>
      <c r="B127" s="225" t="s">
        <v>23</v>
      </c>
      <c r="C127" s="11">
        <f t="shared" ref="C127:E129" si="2">C124/B124-1</f>
        <v>0</v>
      </c>
      <c r="D127" s="11">
        <f t="shared" si="2"/>
        <v>2.857142857142847E-2</v>
      </c>
      <c r="E127" s="11">
        <f t="shared" si="2"/>
        <v>2.7777777777777679E-2</v>
      </c>
      <c r="F127" s="12"/>
      <c r="G127" s="12"/>
      <c r="H127" s="12"/>
      <c r="I127" s="12"/>
    </row>
    <row r="128" spans="1:9" ht="15.75" thickBot="1" x14ac:dyDescent="0.3">
      <c r="A128" s="5" t="s">
        <v>24</v>
      </c>
      <c r="B128" s="225" t="s">
        <v>23</v>
      </c>
      <c r="C128" s="11">
        <f t="shared" si="2"/>
        <v>0</v>
      </c>
      <c r="D128" s="11">
        <f t="shared" si="2"/>
        <v>0</v>
      </c>
      <c r="E128" s="11">
        <f t="shared" si="2"/>
        <v>0</v>
      </c>
    </row>
    <row r="129" spans="1:5" ht="15.75" thickBot="1" x14ac:dyDescent="0.3">
      <c r="A129" s="5" t="s">
        <v>25</v>
      </c>
      <c r="B129" s="225" t="s">
        <v>23</v>
      </c>
      <c r="C129" s="11">
        <f t="shared" si="2"/>
        <v>0</v>
      </c>
      <c r="D129" s="11">
        <f t="shared" si="2"/>
        <v>-2.777777777777779E-2</v>
      </c>
      <c r="E129" s="11">
        <f t="shared" si="2"/>
        <v>-2.7027027027026973E-2</v>
      </c>
    </row>
    <row r="130" spans="1:5" ht="15.75" thickBot="1" x14ac:dyDescent="0.3">
      <c r="A130" s="1252" t="s">
        <v>633</v>
      </c>
      <c r="B130" s="1253"/>
      <c r="C130" s="1253"/>
      <c r="D130" s="1253"/>
      <c r="E130" s="1300"/>
    </row>
    <row r="131" spans="1:5" ht="12.75" customHeight="1" x14ac:dyDescent="0.25">
      <c r="A131" s="1250"/>
      <c r="B131" s="8">
        <v>2018</v>
      </c>
      <c r="C131" s="8">
        <v>2019</v>
      </c>
      <c r="D131" s="8">
        <v>2020</v>
      </c>
      <c r="E131" s="8">
        <v>2021</v>
      </c>
    </row>
    <row r="132" spans="1:5" ht="9" customHeight="1" thickBot="1" x14ac:dyDescent="0.3">
      <c r="A132" s="1251"/>
      <c r="B132" s="9" t="s">
        <v>10</v>
      </c>
      <c r="C132" s="9" t="s">
        <v>11</v>
      </c>
      <c r="D132" s="9" t="s">
        <v>11</v>
      </c>
      <c r="E132" s="9" t="s">
        <v>11</v>
      </c>
    </row>
    <row r="133" spans="1:5" ht="15.75" thickBot="1" x14ac:dyDescent="0.3">
      <c r="A133" s="13" t="s">
        <v>58</v>
      </c>
      <c r="B133" s="14"/>
      <c r="C133" s="14"/>
      <c r="D133" s="14"/>
      <c r="E133" s="14"/>
    </row>
    <row r="134" spans="1:5" ht="15.75" thickBot="1" x14ac:dyDescent="0.3">
      <c r="A134" s="13" t="s">
        <v>59</v>
      </c>
      <c r="B134" s="15">
        <v>1850</v>
      </c>
      <c r="C134" s="15">
        <v>1850</v>
      </c>
      <c r="D134" s="15">
        <v>1850</v>
      </c>
      <c r="E134" s="15">
        <v>1850</v>
      </c>
    </row>
    <row r="135" spans="1:5" ht="15.75" thickBot="1" x14ac:dyDescent="0.3">
      <c r="A135" s="16" t="s">
        <v>40</v>
      </c>
      <c r="B135" s="15">
        <f>B134+B133</f>
        <v>1850</v>
      </c>
      <c r="C135" s="15">
        <f>C134+C133</f>
        <v>1850</v>
      </c>
      <c r="D135" s="15">
        <f>D134+D133</f>
        <v>1850</v>
      </c>
      <c r="E135" s="15">
        <f>E134+E133</f>
        <v>1850</v>
      </c>
    </row>
    <row r="136" spans="1:5" x14ac:dyDescent="0.25">
      <c r="A136" s="1254" t="s">
        <v>60</v>
      </c>
      <c r="B136" s="1322"/>
      <c r="C136" s="1289"/>
      <c r="D136" s="1289"/>
      <c r="E136" s="1290"/>
    </row>
    <row r="137" spans="1:5" x14ac:dyDescent="0.25">
      <c r="A137" s="1255"/>
      <c r="B137" s="1291"/>
      <c r="C137" s="1292"/>
      <c r="D137" s="1292"/>
      <c r="E137" s="1293"/>
    </row>
    <row r="138" spans="1:5" ht="15.75" thickBot="1" x14ac:dyDescent="0.3">
      <c r="A138" s="1256"/>
      <c r="B138" s="1294"/>
      <c r="C138" s="1295"/>
      <c r="D138" s="1295"/>
      <c r="E138" s="1296"/>
    </row>
    <row r="139" spans="1:5" ht="15.75" thickBot="1" x14ac:dyDescent="0.3">
      <c r="A139" s="20" t="s">
        <v>61</v>
      </c>
      <c r="B139" s="1241" t="s">
        <v>124</v>
      </c>
      <c r="C139" s="1242"/>
      <c r="D139" s="1242"/>
      <c r="E139" s="1318"/>
    </row>
    <row r="140" spans="1:5" ht="15.75" thickBot="1" x14ac:dyDescent="0.3">
      <c r="A140" s="7" t="s">
        <v>123</v>
      </c>
      <c r="B140" s="1243">
        <v>630008</v>
      </c>
      <c r="C140" s="1244"/>
      <c r="D140" s="1244"/>
      <c r="E140" s="1315"/>
    </row>
    <row r="141" spans="1:5" ht="17.25" customHeight="1" thickBot="1" x14ac:dyDescent="0.3">
      <c r="A141" s="5" t="s">
        <v>17</v>
      </c>
      <c r="B141" s="1769" t="s">
        <v>1177</v>
      </c>
      <c r="C141" s="1770"/>
      <c r="D141" s="1770"/>
      <c r="E141" s="1771"/>
    </row>
    <row r="142" spans="1:5" ht="15.75" thickBot="1" x14ac:dyDescent="0.3">
      <c r="A142" s="5" t="s">
        <v>18</v>
      </c>
      <c r="B142" s="1248" t="s">
        <v>73</v>
      </c>
      <c r="C142" s="1249"/>
      <c r="D142" s="1249"/>
      <c r="E142" s="1316"/>
    </row>
    <row r="143" spans="1:5" ht="12.75" customHeight="1" x14ac:dyDescent="0.25">
      <c r="A143" s="1250"/>
      <c r="B143" s="8">
        <v>2018</v>
      </c>
      <c r="C143" s="8">
        <v>2019</v>
      </c>
      <c r="D143" s="8">
        <v>2020</v>
      </c>
      <c r="E143" s="8">
        <v>2021</v>
      </c>
    </row>
    <row r="144" spans="1:5" ht="9" customHeight="1" thickBot="1" x14ac:dyDescent="0.3">
      <c r="A144" s="1251"/>
      <c r="B144" s="9" t="s">
        <v>10</v>
      </c>
      <c r="C144" s="9" t="s">
        <v>11</v>
      </c>
      <c r="D144" s="9" t="s">
        <v>11</v>
      </c>
      <c r="E144" s="9" t="s">
        <v>11</v>
      </c>
    </row>
    <row r="145" spans="1:9" ht="15.75" thickBot="1" x14ac:dyDescent="0.3">
      <c r="A145" s="5" t="s">
        <v>19</v>
      </c>
      <c r="B145" s="10">
        <v>1</v>
      </c>
      <c r="C145" s="10">
        <v>1</v>
      </c>
      <c r="D145" s="10">
        <v>1</v>
      </c>
      <c r="E145" s="10">
        <v>1</v>
      </c>
    </row>
    <row r="146" spans="1:9" ht="15.75" thickBot="1" x14ac:dyDescent="0.3">
      <c r="A146" s="5" t="s">
        <v>20</v>
      </c>
      <c r="B146" s="10">
        <v>150</v>
      </c>
      <c r="C146" s="10">
        <v>150</v>
      </c>
      <c r="D146" s="10">
        <v>150</v>
      </c>
      <c r="E146" s="10">
        <v>150</v>
      </c>
    </row>
    <row r="147" spans="1:9" ht="15.75" thickBot="1" x14ac:dyDescent="0.3">
      <c r="A147" s="5" t="s">
        <v>21</v>
      </c>
      <c r="B147" s="10">
        <f>B146/B145</f>
        <v>150</v>
      </c>
      <c r="C147" s="10">
        <f>C146/C145</f>
        <v>150</v>
      </c>
      <c r="D147" s="10">
        <f>D146/D145</f>
        <v>150</v>
      </c>
      <c r="E147" s="10">
        <f>E146/E145</f>
        <v>150</v>
      </c>
    </row>
    <row r="148" spans="1:9" ht="15.75" thickBot="1" x14ac:dyDescent="0.3">
      <c r="A148" s="5" t="s">
        <v>22</v>
      </c>
      <c r="B148" s="225" t="s">
        <v>23</v>
      </c>
      <c r="C148" s="11">
        <f t="shared" ref="C148:E150" si="3">C145/B145-1</f>
        <v>0</v>
      </c>
      <c r="D148" s="11">
        <f t="shared" si="3"/>
        <v>0</v>
      </c>
      <c r="E148" s="11">
        <f t="shared" si="3"/>
        <v>0</v>
      </c>
      <c r="F148" s="12"/>
      <c r="G148" s="12"/>
      <c r="H148" s="12"/>
      <c r="I148" s="12"/>
    </row>
    <row r="149" spans="1:9" ht="15.75" thickBot="1" x14ac:dyDescent="0.3">
      <c r="A149" s="5" t="s">
        <v>24</v>
      </c>
      <c r="B149" s="225" t="s">
        <v>23</v>
      </c>
      <c r="C149" s="11">
        <f t="shared" si="3"/>
        <v>0</v>
      </c>
      <c r="D149" s="11">
        <f t="shared" si="3"/>
        <v>0</v>
      </c>
      <c r="E149" s="11">
        <f t="shared" si="3"/>
        <v>0</v>
      </c>
    </row>
    <row r="150" spans="1:9" ht="15.75" thickBot="1" x14ac:dyDescent="0.3">
      <c r="A150" s="5" t="s">
        <v>25</v>
      </c>
      <c r="B150" s="225" t="s">
        <v>23</v>
      </c>
      <c r="C150" s="11">
        <f t="shared" si="3"/>
        <v>0</v>
      </c>
      <c r="D150" s="11">
        <f t="shared" si="3"/>
        <v>0</v>
      </c>
      <c r="E150" s="11">
        <f t="shared" si="3"/>
        <v>0</v>
      </c>
    </row>
    <row r="151" spans="1:9" ht="15.75" thickBot="1" x14ac:dyDescent="0.3">
      <c r="A151" s="1252" t="s">
        <v>635</v>
      </c>
      <c r="B151" s="1253"/>
      <c r="C151" s="1253"/>
      <c r="D151" s="1253"/>
      <c r="E151" s="1300"/>
    </row>
    <row r="152" spans="1:9" ht="12.75" customHeight="1" x14ac:dyDescent="0.25">
      <c r="A152" s="1250"/>
      <c r="B152" s="8">
        <v>2018</v>
      </c>
      <c r="C152" s="8">
        <v>2019</v>
      </c>
      <c r="D152" s="8">
        <v>2020</v>
      </c>
      <c r="E152" s="8">
        <v>2021</v>
      </c>
    </row>
    <row r="153" spans="1:9" ht="9" customHeight="1" thickBot="1" x14ac:dyDescent="0.3">
      <c r="A153" s="1251"/>
      <c r="B153" s="9" t="s">
        <v>10</v>
      </c>
      <c r="C153" s="9" t="s">
        <v>11</v>
      </c>
      <c r="D153" s="9" t="s">
        <v>11</v>
      </c>
      <c r="E153" s="9" t="s">
        <v>11</v>
      </c>
    </row>
    <row r="154" spans="1:9" ht="15.75" thickBot="1" x14ac:dyDescent="0.3">
      <c r="A154" s="13" t="s">
        <v>58</v>
      </c>
      <c r="B154" s="14"/>
      <c r="C154" s="14"/>
      <c r="D154" s="14"/>
      <c r="E154" s="14"/>
    </row>
    <row r="155" spans="1:9" ht="15.75" thickBot="1" x14ac:dyDescent="0.3">
      <c r="A155" s="13" t="s">
        <v>59</v>
      </c>
      <c r="B155" s="15">
        <v>150</v>
      </c>
      <c r="C155" s="15">
        <v>150</v>
      </c>
      <c r="D155" s="15">
        <v>150</v>
      </c>
      <c r="E155" s="15">
        <v>150</v>
      </c>
    </row>
    <row r="156" spans="1:9" ht="15.75" thickBot="1" x14ac:dyDescent="0.3">
      <c r="A156" s="16" t="s">
        <v>74</v>
      </c>
      <c r="B156" s="15">
        <f>B155+B154</f>
        <v>150</v>
      </c>
      <c r="C156" s="15">
        <f>C155+C154</f>
        <v>150</v>
      </c>
      <c r="D156" s="15">
        <f>D155+D154</f>
        <v>150</v>
      </c>
      <c r="E156" s="15">
        <f>E155+E154</f>
        <v>150</v>
      </c>
    </row>
    <row r="157" spans="1:9" x14ac:dyDescent="0.25">
      <c r="A157" s="1254" t="s">
        <v>62</v>
      </c>
      <c r="B157" s="1322"/>
      <c r="C157" s="1289"/>
      <c r="D157" s="1289"/>
      <c r="E157" s="1290"/>
    </row>
    <row r="158" spans="1:9" x14ac:dyDescent="0.25">
      <c r="A158" s="1255"/>
      <c r="B158" s="1291"/>
      <c r="C158" s="1292"/>
      <c r="D158" s="1292"/>
      <c r="E158" s="1293"/>
    </row>
    <row r="159" spans="1:9" ht="15.75" thickBot="1" x14ac:dyDescent="0.3">
      <c r="A159" s="1256"/>
      <c r="B159" s="1294"/>
      <c r="C159" s="1295"/>
      <c r="D159" s="1295"/>
      <c r="E159" s="1296"/>
    </row>
    <row r="160" spans="1:9" ht="15.75" thickBot="1" x14ac:dyDescent="0.3">
      <c r="A160" s="1275" t="s">
        <v>63</v>
      </c>
      <c r="B160" s="1276"/>
      <c r="C160" s="1276"/>
      <c r="D160" s="1276"/>
      <c r="E160" s="1317"/>
    </row>
    <row r="161" spans="1:9" ht="15.75" thickBot="1" x14ac:dyDescent="0.3">
      <c r="A161" s="1275" t="s">
        <v>64</v>
      </c>
      <c r="B161" s="1276"/>
      <c r="C161" s="1276"/>
      <c r="D161" s="1276"/>
      <c r="E161" s="1317"/>
    </row>
    <row r="162" spans="1:9" ht="15.75" thickBot="1" x14ac:dyDescent="0.3">
      <c r="A162" s="20" t="s">
        <v>61</v>
      </c>
      <c r="B162" s="1241" t="s">
        <v>124</v>
      </c>
      <c r="C162" s="1242"/>
      <c r="D162" s="1242"/>
      <c r="E162" s="1318"/>
    </row>
    <row r="163" spans="1:9" ht="15.75" thickBot="1" x14ac:dyDescent="0.3">
      <c r="A163" s="7" t="s">
        <v>16</v>
      </c>
      <c r="B163" s="1243" t="s">
        <v>106</v>
      </c>
      <c r="C163" s="1244"/>
      <c r="D163" s="1244"/>
      <c r="E163" s="1315"/>
    </row>
    <row r="164" spans="1:9" ht="17.25" customHeight="1" thickBot="1" x14ac:dyDescent="0.3">
      <c r="A164" s="5" t="s">
        <v>17</v>
      </c>
      <c r="B164" s="1245" t="s">
        <v>106</v>
      </c>
      <c r="C164" s="1246"/>
      <c r="D164" s="1246"/>
      <c r="E164" s="1298"/>
    </row>
    <row r="165" spans="1:9" ht="15.75" thickBot="1" x14ac:dyDescent="0.3">
      <c r="A165" s="5" t="s">
        <v>18</v>
      </c>
      <c r="B165" s="1248" t="s">
        <v>106</v>
      </c>
      <c r="C165" s="1249"/>
      <c r="D165" s="1249"/>
      <c r="E165" s="1316"/>
    </row>
    <row r="166" spans="1:9" ht="12.75" customHeight="1" x14ac:dyDescent="0.25">
      <c r="A166" s="1250"/>
      <c r="B166" s="8">
        <v>2018</v>
      </c>
      <c r="C166" s="8">
        <v>2019</v>
      </c>
      <c r="D166" s="8">
        <v>2020</v>
      </c>
      <c r="E166" s="8">
        <v>2021</v>
      </c>
    </row>
    <row r="167" spans="1:9" ht="9" customHeight="1" thickBot="1" x14ac:dyDescent="0.3">
      <c r="A167" s="1251"/>
      <c r="B167" s="9" t="s">
        <v>10</v>
      </c>
      <c r="C167" s="9" t="s">
        <v>11</v>
      </c>
      <c r="D167" s="9" t="s">
        <v>11</v>
      </c>
      <c r="E167" s="9" t="s">
        <v>11</v>
      </c>
    </row>
    <row r="168" spans="1:9" ht="15.75" thickBot="1" x14ac:dyDescent="0.3">
      <c r="A168" s="5" t="s">
        <v>19</v>
      </c>
      <c r="B168" s="10"/>
      <c r="C168" s="10"/>
      <c r="D168" s="10"/>
      <c r="E168" s="10"/>
    </row>
    <row r="169" spans="1:9" ht="15.75" thickBot="1" x14ac:dyDescent="0.3">
      <c r="A169" s="5" t="s">
        <v>20</v>
      </c>
      <c r="B169" s="10"/>
      <c r="C169" s="10"/>
      <c r="D169" s="10"/>
      <c r="E169" s="10"/>
    </row>
    <row r="170" spans="1:9" ht="15.75" thickBot="1" x14ac:dyDescent="0.3">
      <c r="A170" s="5" t="s">
        <v>21</v>
      </c>
      <c r="B170" s="10" t="e">
        <f>B169/B168</f>
        <v>#DIV/0!</v>
      </c>
      <c r="C170" s="10" t="e">
        <f>C169/C168</f>
        <v>#DIV/0!</v>
      </c>
      <c r="D170" s="10" t="e">
        <f>D169/D168</f>
        <v>#DIV/0!</v>
      </c>
      <c r="E170" s="10" t="e">
        <f>E169/E168</f>
        <v>#DIV/0!</v>
      </c>
    </row>
    <row r="171" spans="1:9" ht="15.75" thickBot="1" x14ac:dyDescent="0.3">
      <c r="A171" s="5" t="s">
        <v>22</v>
      </c>
      <c r="B171" s="225" t="s">
        <v>23</v>
      </c>
      <c r="C171" s="11" t="e">
        <f t="shared" ref="C171:E173" si="4">C168/B168-1</f>
        <v>#DIV/0!</v>
      </c>
      <c r="D171" s="11" t="e">
        <f t="shared" si="4"/>
        <v>#DIV/0!</v>
      </c>
      <c r="E171" s="11" t="e">
        <f t="shared" si="4"/>
        <v>#DIV/0!</v>
      </c>
      <c r="F171" s="12"/>
      <c r="G171" s="12"/>
      <c r="H171" s="12"/>
      <c r="I171" s="12"/>
    </row>
    <row r="172" spans="1:9" ht="15.75" thickBot="1" x14ac:dyDescent="0.3">
      <c r="A172" s="5" t="s">
        <v>24</v>
      </c>
      <c r="B172" s="225" t="s">
        <v>23</v>
      </c>
      <c r="C172" s="11" t="e">
        <f t="shared" si="4"/>
        <v>#DIV/0!</v>
      </c>
      <c r="D172" s="11" t="e">
        <f t="shared" si="4"/>
        <v>#DIV/0!</v>
      </c>
      <c r="E172" s="11" t="e">
        <f t="shared" si="4"/>
        <v>#DIV/0!</v>
      </c>
    </row>
    <row r="173" spans="1:9" ht="15.75" thickBot="1" x14ac:dyDescent="0.3">
      <c r="A173" s="5" t="s">
        <v>25</v>
      </c>
      <c r="B173" s="225" t="s">
        <v>23</v>
      </c>
      <c r="C173" s="11" t="e">
        <f t="shared" si="4"/>
        <v>#DIV/0!</v>
      </c>
      <c r="D173" s="11" t="e">
        <f t="shared" si="4"/>
        <v>#DIV/0!</v>
      </c>
      <c r="E173" s="11" t="e">
        <f t="shared" si="4"/>
        <v>#DIV/0!</v>
      </c>
    </row>
    <row r="174" spans="1:9" ht="15.75" thickBot="1" x14ac:dyDescent="0.3">
      <c r="A174" s="1252" t="s">
        <v>633</v>
      </c>
      <c r="B174" s="1253"/>
      <c r="C174" s="1253"/>
      <c r="D174" s="1253"/>
      <c r="E174" s="1300"/>
    </row>
    <row r="175" spans="1:9" ht="12.75" customHeight="1" x14ac:dyDescent="0.25">
      <c r="A175" s="1250"/>
      <c r="B175" s="8">
        <v>2018</v>
      </c>
      <c r="C175" s="8">
        <v>2019</v>
      </c>
      <c r="D175" s="8">
        <v>2020</v>
      </c>
      <c r="E175" s="8">
        <v>2021</v>
      </c>
    </row>
    <row r="176" spans="1:9" ht="9" customHeight="1" thickBot="1" x14ac:dyDescent="0.3">
      <c r="A176" s="1251"/>
      <c r="B176" s="9" t="s">
        <v>10</v>
      </c>
      <c r="C176" s="9" t="s">
        <v>11</v>
      </c>
      <c r="D176" s="9" t="s">
        <v>11</v>
      </c>
      <c r="E176" s="9" t="s">
        <v>11</v>
      </c>
    </row>
    <row r="177" spans="1:9" ht="15.75" thickBot="1" x14ac:dyDescent="0.3">
      <c r="A177" s="13" t="s">
        <v>58</v>
      </c>
      <c r="B177" s="14"/>
      <c r="C177" s="14"/>
      <c r="D177" s="14"/>
      <c r="E177" s="14"/>
    </row>
    <row r="178" spans="1:9" ht="15.75" thickBot="1" x14ac:dyDescent="0.3">
      <c r="A178" s="13" t="s">
        <v>59</v>
      </c>
      <c r="B178" s="15"/>
      <c r="C178" s="14"/>
      <c r="D178" s="14"/>
      <c r="E178" s="14"/>
    </row>
    <row r="179" spans="1:9" ht="15.75" thickBot="1" x14ac:dyDescent="0.3">
      <c r="A179" s="16" t="s">
        <v>40</v>
      </c>
      <c r="B179" s="15">
        <f>B178+B177</f>
        <v>0</v>
      </c>
      <c r="C179" s="15">
        <f>C178+C177</f>
        <v>0</v>
      </c>
      <c r="D179" s="15">
        <f>D178+D177</f>
        <v>0</v>
      </c>
      <c r="E179" s="15">
        <f>E178+E177</f>
        <v>0</v>
      </c>
    </row>
    <row r="180" spans="1:9" x14ac:dyDescent="0.25">
      <c r="A180" s="1254" t="s">
        <v>60</v>
      </c>
      <c r="B180" s="1322"/>
      <c r="C180" s="1289"/>
      <c r="D180" s="1289"/>
      <c r="E180" s="1290"/>
    </row>
    <row r="181" spans="1:9" x14ac:dyDescent="0.25">
      <c r="A181" s="1255"/>
      <c r="B181" s="1291"/>
      <c r="C181" s="1292"/>
      <c r="D181" s="1292"/>
      <c r="E181" s="1293"/>
    </row>
    <row r="182" spans="1:9" ht="15.75" thickBot="1" x14ac:dyDescent="0.3">
      <c r="A182" s="1256"/>
      <c r="B182" s="1294"/>
      <c r="C182" s="1295"/>
      <c r="D182" s="1295"/>
      <c r="E182" s="1296"/>
    </row>
    <row r="183" spans="1:9" ht="15.75" thickBot="1" x14ac:dyDescent="0.3">
      <c r="A183" s="20" t="s">
        <v>61</v>
      </c>
      <c r="B183" s="1241" t="s">
        <v>124</v>
      </c>
      <c r="C183" s="1242"/>
      <c r="D183" s="1242"/>
      <c r="E183" s="1318"/>
    </row>
    <row r="184" spans="1:9" ht="15.75" thickBot="1" x14ac:dyDescent="0.3">
      <c r="A184" s="7" t="s">
        <v>123</v>
      </c>
      <c r="B184" s="1243" t="s">
        <v>106</v>
      </c>
      <c r="C184" s="1244"/>
      <c r="D184" s="1244"/>
      <c r="E184" s="1315"/>
    </row>
    <row r="185" spans="1:9" ht="17.25" customHeight="1" thickBot="1" x14ac:dyDescent="0.3">
      <c r="A185" s="5" t="s">
        <v>17</v>
      </c>
      <c r="B185" s="1245" t="s">
        <v>106</v>
      </c>
      <c r="C185" s="1246"/>
      <c r="D185" s="1246"/>
      <c r="E185" s="1298"/>
    </row>
    <row r="186" spans="1:9" ht="15.75" thickBot="1" x14ac:dyDescent="0.3">
      <c r="A186" s="5" t="s">
        <v>18</v>
      </c>
      <c r="B186" s="1248" t="s">
        <v>106</v>
      </c>
      <c r="C186" s="1249"/>
      <c r="D186" s="1249"/>
      <c r="E186" s="1316"/>
    </row>
    <row r="187" spans="1:9" ht="12.75" customHeight="1" x14ac:dyDescent="0.25">
      <c r="A187" s="1250"/>
      <c r="B187" s="8">
        <v>2018</v>
      </c>
      <c r="C187" s="8">
        <v>2019</v>
      </c>
      <c r="D187" s="8">
        <v>2020</v>
      </c>
      <c r="E187" s="8">
        <v>2021</v>
      </c>
    </row>
    <row r="188" spans="1:9" ht="9" customHeight="1" thickBot="1" x14ac:dyDescent="0.3">
      <c r="A188" s="1251"/>
      <c r="B188" s="9" t="s">
        <v>10</v>
      </c>
      <c r="C188" s="9" t="s">
        <v>11</v>
      </c>
      <c r="D188" s="9" t="s">
        <v>11</v>
      </c>
      <c r="E188" s="9" t="s">
        <v>11</v>
      </c>
    </row>
    <row r="189" spans="1:9" ht="15.75" thickBot="1" x14ac:dyDescent="0.3">
      <c r="A189" s="5" t="s">
        <v>19</v>
      </c>
      <c r="B189" s="10"/>
      <c r="C189" s="10"/>
      <c r="D189" s="10"/>
      <c r="E189" s="10"/>
    </row>
    <row r="190" spans="1:9" ht="15.75" thickBot="1" x14ac:dyDescent="0.3">
      <c r="A190" s="5" t="s">
        <v>20</v>
      </c>
      <c r="B190" s="10"/>
      <c r="C190" s="10"/>
      <c r="D190" s="10"/>
      <c r="E190" s="10"/>
    </row>
    <row r="191" spans="1:9" ht="15.75" thickBot="1" x14ac:dyDescent="0.3">
      <c r="A191" s="5" t="s">
        <v>21</v>
      </c>
      <c r="B191" s="10" t="e">
        <f>B190/B189</f>
        <v>#DIV/0!</v>
      </c>
      <c r="C191" s="10" t="e">
        <f>C190/C189</f>
        <v>#DIV/0!</v>
      </c>
      <c r="D191" s="10" t="e">
        <f>D190/D189</f>
        <v>#DIV/0!</v>
      </c>
      <c r="E191" s="10" t="e">
        <f>E190/E189</f>
        <v>#DIV/0!</v>
      </c>
    </row>
    <row r="192" spans="1:9" ht="15.75" thickBot="1" x14ac:dyDescent="0.3">
      <c r="A192" s="5" t="s">
        <v>22</v>
      </c>
      <c r="B192" s="225" t="s">
        <v>23</v>
      </c>
      <c r="C192" s="11" t="e">
        <f t="shared" ref="C192:E194" si="5">C189/B189-1</f>
        <v>#DIV/0!</v>
      </c>
      <c r="D192" s="11" t="e">
        <f t="shared" si="5"/>
        <v>#DIV/0!</v>
      </c>
      <c r="E192" s="11" t="e">
        <f t="shared" si="5"/>
        <v>#DIV/0!</v>
      </c>
      <c r="F192" s="12"/>
      <c r="G192" s="12"/>
      <c r="H192" s="12"/>
      <c r="I192" s="12"/>
    </row>
    <row r="193" spans="1:5" ht="15.75" thickBot="1" x14ac:dyDescent="0.3">
      <c r="A193" s="5" t="s">
        <v>24</v>
      </c>
      <c r="B193" s="225" t="s">
        <v>23</v>
      </c>
      <c r="C193" s="11" t="e">
        <f t="shared" si="5"/>
        <v>#DIV/0!</v>
      </c>
      <c r="D193" s="11" t="e">
        <f t="shared" si="5"/>
        <v>#DIV/0!</v>
      </c>
      <c r="E193" s="11" t="e">
        <f t="shared" si="5"/>
        <v>#DIV/0!</v>
      </c>
    </row>
    <row r="194" spans="1:5" ht="15.75" thickBot="1" x14ac:dyDescent="0.3">
      <c r="A194" s="5" t="s">
        <v>25</v>
      </c>
      <c r="B194" s="225" t="s">
        <v>23</v>
      </c>
      <c r="C194" s="11" t="e">
        <f t="shared" si="5"/>
        <v>#DIV/0!</v>
      </c>
      <c r="D194" s="11" t="e">
        <f t="shared" si="5"/>
        <v>#DIV/0!</v>
      </c>
      <c r="E194" s="11" t="e">
        <f t="shared" si="5"/>
        <v>#DIV/0!</v>
      </c>
    </row>
    <row r="195" spans="1:5" ht="15.75" thickBot="1" x14ac:dyDescent="0.3">
      <c r="A195" s="1252" t="s">
        <v>635</v>
      </c>
      <c r="B195" s="1253"/>
      <c r="C195" s="1253"/>
      <c r="D195" s="1253"/>
      <c r="E195" s="1300"/>
    </row>
    <row r="196" spans="1:5" ht="12.75" customHeight="1" x14ac:dyDescent="0.25">
      <c r="A196" s="1250"/>
      <c r="B196" s="8">
        <v>2018</v>
      </c>
      <c r="C196" s="8">
        <v>2019</v>
      </c>
      <c r="D196" s="8">
        <v>2020</v>
      </c>
      <c r="E196" s="8">
        <v>2021</v>
      </c>
    </row>
    <row r="197" spans="1:5" ht="24" customHeight="1" thickBot="1" x14ac:dyDescent="0.3">
      <c r="A197" s="1251"/>
      <c r="B197" s="9" t="s">
        <v>10</v>
      </c>
      <c r="C197" s="9" t="s">
        <v>11</v>
      </c>
      <c r="D197" s="9" t="s">
        <v>11</v>
      </c>
      <c r="E197" s="9" t="s">
        <v>11</v>
      </c>
    </row>
    <row r="198" spans="1:5" ht="15.75" thickBot="1" x14ac:dyDescent="0.3">
      <c r="A198" s="13" t="s">
        <v>58</v>
      </c>
      <c r="B198" s="14"/>
      <c r="C198" s="14"/>
      <c r="D198" s="14"/>
      <c r="E198" s="14"/>
    </row>
    <row r="199" spans="1:5" ht="15.75" thickBot="1" x14ac:dyDescent="0.3">
      <c r="A199" s="13" t="s">
        <v>59</v>
      </c>
      <c r="B199" s="15"/>
      <c r="C199" s="14"/>
      <c r="D199" s="14"/>
      <c r="E199" s="14"/>
    </row>
    <row r="200" spans="1:5" ht="15.75" thickBot="1" x14ac:dyDescent="0.3">
      <c r="A200" s="16" t="s">
        <v>74</v>
      </c>
      <c r="B200" s="15">
        <f>B199+B198</f>
        <v>0</v>
      </c>
      <c r="C200" s="15">
        <f>C199+C198</f>
        <v>0</v>
      </c>
      <c r="D200" s="15">
        <f>D199+D198</f>
        <v>0</v>
      </c>
      <c r="E200" s="15">
        <f>E199+E198</f>
        <v>0</v>
      </c>
    </row>
    <row r="201" spans="1:5" x14ac:dyDescent="0.25">
      <c r="A201" s="1254" t="s">
        <v>62</v>
      </c>
      <c r="B201" s="1322"/>
      <c r="C201" s="1289"/>
      <c r="D201" s="1289"/>
      <c r="E201" s="1290"/>
    </row>
    <row r="202" spans="1:5" x14ac:dyDescent="0.25">
      <c r="A202" s="1255"/>
      <c r="B202" s="1291"/>
      <c r="C202" s="1292"/>
      <c r="D202" s="1292"/>
      <c r="E202" s="1293"/>
    </row>
    <row r="203" spans="1:5" ht="15.75" thickBot="1" x14ac:dyDescent="0.3">
      <c r="A203" s="1256"/>
      <c r="B203" s="1294"/>
      <c r="C203" s="1295"/>
      <c r="D203" s="1295"/>
      <c r="E203" s="1296"/>
    </row>
    <row r="204" spans="1:5" ht="15.75" customHeight="1" thickBot="1" x14ac:dyDescent="0.3">
      <c r="A204" s="6" t="s">
        <v>67</v>
      </c>
      <c r="B204" s="1277" t="s">
        <v>106</v>
      </c>
      <c r="C204" s="1271"/>
      <c r="D204" s="1271"/>
      <c r="E204" s="1759"/>
    </row>
    <row r="205" spans="1:5" ht="15.75" customHeight="1" thickBot="1" x14ac:dyDescent="0.3">
      <c r="A205" s="1245" t="s">
        <v>68</v>
      </c>
      <c r="B205" s="1246"/>
      <c r="C205" s="1246"/>
      <c r="D205" s="1246"/>
      <c r="E205" s="1298"/>
    </row>
    <row r="206" spans="1:5" ht="15.75" thickBot="1" x14ac:dyDescent="0.3">
      <c r="A206" s="221" t="s">
        <v>164</v>
      </c>
      <c r="B206" s="4" t="s">
        <v>112</v>
      </c>
      <c r="C206" s="4" t="s">
        <v>113</v>
      </c>
      <c r="D206" s="4" t="s">
        <v>113</v>
      </c>
      <c r="E206" s="4" t="s">
        <v>113</v>
      </c>
    </row>
    <row r="207" spans="1:5" ht="15.75" customHeight="1" thickBot="1" x14ac:dyDescent="0.3">
      <c r="A207" s="5" t="s">
        <v>165</v>
      </c>
      <c r="B207" s="4" t="s">
        <v>112</v>
      </c>
      <c r="C207" s="4" t="s">
        <v>113</v>
      </c>
      <c r="D207" s="4" t="s">
        <v>113</v>
      </c>
      <c r="E207" s="4" t="s">
        <v>113</v>
      </c>
    </row>
    <row r="208" spans="1:5" ht="23.25" customHeight="1" thickBot="1" x14ac:dyDescent="0.3">
      <c r="A208" s="5" t="s">
        <v>111</v>
      </c>
      <c r="B208" s="4" t="s">
        <v>112</v>
      </c>
      <c r="C208" s="4" t="s">
        <v>113</v>
      </c>
      <c r="D208" s="4" t="s">
        <v>113</v>
      </c>
      <c r="E208" s="4" t="s">
        <v>113</v>
      </c>
    </row>
    <row r="209" spans="1:5" ht="23.25" customHeight="1" thickBot="1" x14ac:dyDescent="0.3">
      <c r="A209" s="1278" t="s">
        <v>69</v>
      </c>
      <c r="B209" s="1279"/>
      <c r="C209" s="1279"/>
      <c r="D209" s="1279"/>
      <c r="E209" s="1355"/>
    </row>
    <row r="210" spans="1:5" ht="23.25" customHeight="1" thickBot="1" x14ac:dyDescent="0.3">
      <c r="A210" s="1280" t="s">
        <v>70</v>
      </c>
      <c r="B210" s="1281"/>
      <c r="C210" s="1281"/>
      <c r="D210" s="1281"/>
      <c r="E210" s="1354"/>
    </row>
    <row r="211" spans="1:5" ht="12.75" customHeight="1" x14ac:dyDescent="0.25">
      <c r="A211" s="1250"/>
      <c r="B211" s="8">
        <v>2018</v>
      </c>
      <c r="C211" s="8">
        <v>2019</v>
      </c>
      <c r="D211" s="8">
        <v>2020</v>
      </c>
      <c r="E211" s="8">
        <v>2021</v>
      </c>
    </row>
    <row r="212" spans="1:5" ht="9" customHeight="1" thickBot="1" x14ac:dyDescent="0.3">
      <c r="A212" s="1251"/>
      <c r="B212" s="9" t="s">
        <v>10</v>
      </c>
      <c r="C212" s="9" t="s">
        <v>11</v>
      </c>
      <c r="D212" s="9" t="s">
        <v>11</v>
      </c>
      <c r="E212" s="9" t="s">
        <v>11</v>
      </c>
    </row>
    <row r="213" spans="1:5" ht="26.25" customHeight="1" thickBot="1" x14ac:dyDescent="0.3">
      <c r="A213" s="7" t="s">
        <v>16</v>
      </c>
      <c r="B213" s="1243" t="s">
        <v>106</v>
      </c>
      <c r="C213" s="1244"/>
      <c r="D213" s="1244"/>
      <c r="E213" s="1315"/>
    </row>
    <row r="214" spans="1:5" ht="16.5" customHeight="1" thickBot="1" x14ac:dyDescent="0.3">
      <c r="A214" s="5" t="s">
        <v>17</v>
      </c>
      <c r="B214" s="1245" t="s">
        <v>106</v>
      </c>
      <c r="C214" s="1246"/>
      <c r="D214" s="1246"/>
      <c r="E214" s="1298"/>
    </row>
    <row r="215" spans="1:5" ht="15.75" customHeight="1" thickBot="1" x14ac:dyDescent="0.3">
      <c r="A215" s="5" t="s">
        <v>18</v>
      </c>
      <c r="B215" s="1248" t="s">
        <v>106</v>
      </c>
      <c r="C215" s="1249"/>
      <c r="D215" s="1249"/>
      <c r="E215" s="1316"/>
    </row>
    <row r="216" spans="1:5" ht="12.75" customHeight="1" x14ac:dyDescent="0.25">
      <c r="A216" s="1250"/>
      <c r="B216" s="8">
        <v>2018</v>
      </c>
      <c r="C216" s="8">
        <v>2019</v>
      </c>
      <c r="D216" s="8">
        <v>2020</v>
      </c>
      <c r="E216" s="8">
        <v>2021</v>
      </c>
    </row>
    <row r="217" spans="1:5" ht="9" customHeight="1" thickBot="1" x14ac:dyDescent="0.3">
      <c r="A217" s="1251"/>
      <c r="B217" s="9" t="s">
        <v>10</v>
      </c>
      <c r="C217" s="9" t="s">
        <v>11</v>
      </c>
      <c r="D217" s="9" t="s">
        <v>11</v>
      </c>
      <c r="E217" s="9" t="s">
        <v>11</v>
      </c>
    </row>
    <row r="218" spans="1:5" ht="15.75" customHeight="1" thickBot="1" x14ac:dyDescent="0.3">
      <c r="A218" s="5" t="s">
        <v>19</v>
      </c>
      <c r="B218" s="10"/>
      <c r="C218" s="60"/>
      <c r="D218" s="60"/>
      <c r="E218" s="60"/>
    </row>
    <row r="219" spans="1:5" ht="15.75" thickBot="1" x14ac:dyDescent="0.3">
      <c r="A219" s="5" t="s">
        <v>20</v>
      </c>
      <c r="B219" s="10"/>
      <c r="C219" s="10"/>
      <c r="D219" s="10"/>
      <c r="E219" s="10"/>
    </row>
    <row r="220" spans="1:5" ht="15.75" thickBot="1" x14ac:dyDescent="0.3">
      <c r="A220" s="5" t="s">
        <v>21</v>
      </c>
      <c r="B220" s="10" t="e">
        <f>B219/B218</f>
        <v>#DIV/0!</v>
      </c>
      <c r="C220" s="10" t="e">
        <f>C219/C218</f>
        <v>#DIV/0!</v>
      </c>
      <c r="D220" s="10" t="e">
        <f>D219/D218</f>
        <v>#DIV/0!</v>
      </c>
      <c r="E220" s="10" t="e">
        <f>E219/E218</f>
        <v>#DIV/0!</v>
      </c>
    </row>
    <row r="221" spans="1:5" ht="15.75" thickBot="1" x14ac:dyDescent="0.3">
      <c r="A221" s="5" t="s">
        <v>22</v>
      </c>
      <c r="B221" s="225"/>
      <c r="C221" s="11" t="e">
        <f t="shared" ref="C221:E223" si="6">C218/B218-1</f>
        <v>#DIV/0!</v>
      </c>
      <c r="D221" s="11" t="e">
        <f t="shared" si="6"/>
        <v>#DIV/0!</v>
      </c>
      <c r="E221" s="11" t="e">
        <f t="shared" si="6"/>
        <v>#DIV/0!</v>
      </c>
    </row>
    <row r="222" spans="1:5" ht="15.75" thickBot="1" x14ac:dyDescent="0.3">
      <c r="A222" s="5" t="s">
        <v>24</v>
      </c>
      <c r="B222" s="225"/>
      <c r="C222" s="11" t="e">
        <f t="shared" si="6"/>
        <v>#DIV/0!</v>
      </c>
      <c r="D222" s="11" t="e">
        <f t="shared" si="6"/>
        <v>#DIV/0!</v>
      </c>
      <c r="E222" s="11" t="e">
        <f t="shared" si="6"/>
        <v>#DIV/0!</v>
      </c>
    </row>
    <row r="223" spans="1:5" ht="15.75" thickBot="1" x14ac:dyDescent="0.3">
      <c r="A223" s="5" t="s">
        <v>25</v>
      </c>
      <c r="B223" s="225"/>
      <c r="C223" s="11" t="e">
        <f t="shared" si="6"/>
        <v>#DIV/0!</v>
      </c>
      <c r="D223" s="11" t="e">
        <f t="shared" si="6"/>
        <v>#DIV/0!</v>
      </c>
      <c r="E223" s="11" t="e">
        <f t="shared" si="6"/>
        <v>#DIV/0!</v>
      </c>
    </row>
    <row r="224" spans="1:5" ht="12.75" customHeight="1" x14ac:dyDescent="0.25">
      <c r="A224" s="1250"/>
      <c r="B224" s="8">
        <v>2018</v>
      </c>
      <c r="C224" s="8">
        <v>2019</v>
      </c>
      <c r="D224" s="8">
        <v>2020</v>
      </c>
      <c r="E224" s="8">
        <v>2021</v>
      </c>
    </row>
    <row r="225" spans="1:5" ht="9" customHeight="1" thickBot="1" x14ac:dyDescent="0.3">
      <c r="A225" s="1251"/>
      <c r="B225" s="9" t="s">
        <v>10</v>
      </c>
      <c r="C225" s="9" t="s">
        <v>11</v>
      </c>
      <c r="D225" s="9" t="s">
        <v>11</v>
      </c>
      <c r="E225" s="9" t="s">
        <v>11</v>
      </c>
    </row>
    <row r="226" spans="1:5" ht="15.75" thickBot="1" x14ac:dyDescent="0.3">
      <c r="A226" s="1252" t="s">
        <v>636</v>
      </c>
      <c r="B226" s="1253"/>
      <c r="C226" s="1253"/>
      <c r="D226" s="1253"/>
      <c r="E226" s="1300"/>
    </row>
    <row r="227" spans="1:5" ht="12.75" customHeight="1" x14ac:dyDescent="0.25">
      <c r="A227" s="1250"/>
      <c r="B227" s="8">
        <v>2018</v>
      </c>
      <c r="C227" s="8">
        <v>2019</v>
      </c>
      <c r="D227" s="8">
        <v>2020</v>
      </c>
      <c r="E227" s="8">
        <v>2021</v>
      </c>
    </row>
    <row r="228" spans="1:5" ht="9" customHeight="1" thickBot="1" x14ac:dyDescent="0.3">
      <c r="A228" s="1251"/>
      <c r="B228" s="9" t="s">
        <v>10</v>
      </c>
      <c r="C228" s="9" t="s">
        <v>11</v>
      </c>
      <c r="D228" s="9" t="s">
        <v>11</v>
      </c>
      <c r="E228" s="9" t="s">
        <v>11</v>
      </c>
    </row>
    <row r="229" spans="1:5" ht="15.75" thickBot="1" x14ac:dyDescent="0.3">
      <c r="A229" s="13" t="s">
        <v>26</v>
      </c>
      <c r="B229" s="14"/>
      <c r="C229" s="14"/>
      <c r="D229" s="14"/>
      <c r="E229" s="14"/>
    </row>
    <row r="230" spans="1:5" ht="24.75" thickBot="1" x14ac:dyDescent="0.3">
      <c r="A230" s="28" t="s">
        <v>27</v>
      </c>
      <c r="B230" s="15"/>
      <c r="C230" s="29"/>
      <c r="D230" s="29"/>
      <c r="E230" s="29"/>
    </row>
    <row r="231" spans="1:5" ht="24.75" thickBot="1" x14ac:dyDescent="0.3">
      <c r="A231" s="28" t="s">
        <v>45</v>
      </c>
      <c r="B231" s="15"/>
      <c r="C231" s="29"/>
      <c r="D231" s="29"/>
      <c r="E231" s="29"/>
    </row>
    <row r="232" spans="1:5" ht="15.75" thickBot="1" x14ac:dyDescent="0.3">
      <c r="A232" s="13" t="s">
        <v>28</v>
      </c>
      <c r="B232" s="14"/>
      <c r="C232" s="14"/>
      <c r="D232" s="14"/>
      <c r="E232" s="14"/>
    </row>
    <row r="233" spans="1:5" ht="36.75" thickBot="1" x14ac:dyDescent="0.3">
      <c r="A233" s="28" t="s">
        <v>29</v>
      </c>
      <c r="B233" s="15"/>
      <c r="C233" s="14"/>
      <c r="D233" s="14"/>
      <c r="E233" s="14"/>
    </row>
    <row r="234" spans="1:5" ht="36.75" thickBot="1" x14ac:dyDescent="0.3">
      <c r="A234" s="28" t="s">
        <v>46</v>
      </c>
      <c r="B234" s="15"/>
      <c r="C234" s="14"/>
      <c r="D234" s="14"/>
      <c r="E234" s="14"/>
    </row>
    <row r="235" spans="1:5" ht="15.75" thickBot="1" x14ac:dyDescent="0.3">
      <c r="A235" s="13" t="s">
        <v>30</v>
      </c>
      <c r="B235" s="15"/>
      <c r="C235" s="14"/>
      <c r="D235" s="14"/>
      <c r="E235" s="14"/>
    </row>
    <row r="236" spans="1:5" ht="24.75" thickBot="1" x14ac:dyDescent="0.3">
      <c r="A236" s="28" t="s">
        <v>31</v>
      </c>
      <c r="B236" s="15"/>
      <c r="C236" s="14"/>
      <c r="D236" s="14"/>
      <c r="E236" s="14"/>
    </row>
    <row r="237" spans="1:5" ht="24.75" thickBot="1" x14ac:dyDescent="0.3">
      <c r="A237" s="28" t="s">
        <v>47</v>
      </c>
      <c r="B237" s="15"/>
      <c r="C237" s="14"/>
      <c r="D237" s="14"/>
      <c r="E237" s="14"/>
    </row>
    <row r="238" spans="1:5" ht="15.75" thickBot="1" x14ac:dyDescent="0.3">
      <c r="A238" s="13" t="s">
        <v>32</v>
      </c>
      <c r="B238" s="15"/>
      <c r="C238" s="14"/>
      <c r="D238" s="14"/>
      <c r="E238" s="14"/>
    </row>
    <row r="239" spans="1:5" ht="24.75" thickBot="1" x14ac:dyDescent="0.3">
      <c r="A239" s="28" t="s">
        <v>33</v>
      </c>
      <c r="B239" s="15"/>
      <c r="C239" s="14"/>
      <c r="D239" s="14"/>
      <c r="E239" s="14"/>
    </row>
    <row r="240" spans="1:5" ht="24.75" thickBot="1" x14ac:dyDescent="0.3">
      <c r="A240" s="28" t="s">
        <v>48</v>
      </c>
      <c r="B240" s="15"/>
      <c r="C240" s="14"/>
      <c r="D240" s="14"/>
      <c r="E240" s="14"/>
    </row>
    <row r="241" spans="1:5" ht="15.75" thickBot="1" x14ac:dyDescent="0.3">
      <c r="A241" s="13" t="s">
        <v>34</v>
      </c>
      <c r="B241" s="15"/>
      <c r="C241" s="14"/>
      <c r="D241" s="14"/>
      <c r="E241" s="14"/>
    </row>
    <row r="242" spans="1:5" ht="24.75" thickBot="1" x14ac:dyDescent="0.3">
      <c r="A242" s="28" t="s">
        <v>35</v>
      </c>
      <c r="B242" s="15"/>
      <c r="C242" s="14"/>
      <c r="D242" s="14"/>
      <c r="E242" s="14"/>
    </row>
    <row r="243" spans="1:5" ht="24.75" thickBot="1" x14ac:dyDescent="0.3">
      <c r="A243" s="28" t="s">
        <v>49</v>
      </c>
      <c r="B243" s="15"/>
      <c r="C243" s="14"/>
      <c r="D243" s="14"/>
      <c r="E243" s="14"/>
    </row>
    <row r="244" spans="1:5" ht="15.75" thickBot="1" x14ac:dyDescent="0.3">
      <c r="A244" s="13" t="s">
        <v>36</v>
      </c>
      <c r="B244" s="15"/>
      <c r="C244" s="14"/>
      <c r="D244" s="14"/>
      <c r="E244" s="14"/>
    </row>
    <row r="245" spans="1:5" ht="24.75" thickBot="1" x14ac:dyDescent="0.3">
      <c r="A245" s="28" t="s">
        <v>37</v>
      </c>
      <c r="B245" s="15"/>
      <c r="C245" s="14"/>
      <c r="D245" s="14"/>
      <c r="E245" s="14"/>
    </row>
    <row r="246" spans="1:5" ht="24.75" thickBot="1" x14ac:dyDescent="0.3">
      <c r="A246" s="28" t="s">
        <v>50</v>
      </c>
      <c r="B246" s="15"/>
      <c r="C246" s="14"/>
      <c r="D246" s="14"/>
      <c r="E246" s="14"/>
    </row>
    <row r="247" spans="1:5" ht="15.75" thickBot="1" x14ac:dyDescent="0.3">
      <c r="A247" s="13" t="s">
        <v>38</v>
      </c>
      <c r="B247" s="15"/>
      <c r="C247" s="14"/>
      <c r="D247" s="14"/>
      <c r="E247" s="14"/>
    </row>
    <row r="248" spans="1:5" ht="36.75" thickBot="1" x14ac:dyDescent="0.3">
      <c r="A248" s="28" t="s">
        <v>39</v>
      </c>
      <c r="B248" s="15"/>
      <c r="C248" s="14"/>
      <c r="D248" s="14"/>
      <c r="E248" s="14"/>
    </row>
    <row r="249" spans="1:5" ht="36.75" thickBot="1" x14ac:dyDescent="0.3">
      <c r="A249" s="28" t="s">
        <v>51</v>
      </c>
      <c r="B249" s="15"/>
      <c r="C249" s="14"/>
      <c r="D249" s="14"/>
      <c r="E249" s="14"/>
    </row>
    <row r="250" spans="1:5" ht="24.75" thickBot="1" x14ac:dyDescent="0.3">
      <c r="A250" s="137" t="s">
        <v>71</v>
      </c>
      <c r="B250" s="138">
        <f>B247+B244+B241+B238+B235+B232+B229</f>
        <v>0</v>
      </c>
      <c r="C250" s="138">
        <f>C247+C244+C241+C238+C235+C232+C229</f>
        <v>0</v>
      </c>
      <c r="D250" s="138">
        <f>D247+D244+D241+D238+D235+D232+D229</f>
        <v>0</v>
      </c>
      <c r="E250" s="138">
        <f>E247+E244+E241+E238+E235+E232+E229</f>
        <v>0</v>
      </c>
    </row>
    <row r="251" spans="1:5" x14ac:dyDescent="0.25">
      <c r="A251" s="1254" t="s">
        <v>115</v>
      </c>
      <c r="B251" s="1289" t="s">
        <v>23</v>
      </c>
      <c r="C251" s="1289"/>
      <c r="D251" s="1289"/>
      <c r="E251" s="1290"/>
    </row>
    <row r="252" spans="1:5" x14ac:dyDescent="0.25">
      <c r="A252" s="1255"/>
      <c r="B252" s="1292"/>
      <c r="C252" s="1292"/>
      <c r="D252" s="1292"/>
      <c r="E252" s="1293"/>
    </row>
    <row r="253" spans="1:5" ht="15.75" thickBot="1" x14ac:dyDescent="0.3">
      <c r="A253" s="1256"/>
      <c r="B253" s="1295"/>
      <c r="C253" s="1295"/>
      <c r="D253" s="1295"/>
      <c r="E253" s="1296"/>
    </row>
    <row r="254" spans="1:5" ht="15.75" thickBot="1" x14ac:dyDescent="0.3">
      <c r="A254" s="17" t="s">
        <v>41</v>
      </c>
      <c r="B254" s="18">
        <f>IF(B250-B219=0,0,"Error")</f>
        <v>0</v>
      </c>
      <c r="C254" s="18">
        <f>IF(C250-C219=0,0,"Error")</f>
        <v>0</v>
      </c>
      <c r="D254" s="18">
        <f>IF(D250-D219=0,0,"Error")</f>
        <v>0</v>
      </c>
      <c r="E254" s="18">
        <f>IF(E250-E219=0,0,"Error")</f>
        <v>0</v>
      </c>
    </row>
    <row r="255" spans="1:5" ht="15.75" thickBot="1" x14ac:dyDescent="0.3">
      <c r="A255" s="139" t="s">
        <v>637</v>
      </c>
      <c r="B255" s="1243" t="s">
        <v>106</v>
      </c>
      <c r="C255" s="1244"/>
      <c r="D255" s="1244"/>
      <c r="E255" s="1315"/>
    </row>
    <row r="256" spans="1:5" ht="15.75" thickBot="1" x14ac:dyDescent="0.3">
      <c r="A256" s="5" t="s">
        <v>17</v>
      </c>
      <c r="B256" s="1245" t="s">
        <v>106</v>
      </c>
      <c r="C256" s="1246"/>
      <c r="D256" s="1246"/>
      <c r="E256" s="1298"/>
    </row>
    <row r="257" spans="1:5" ht="15.75" thickBot="1" x14ac:dyDescent="0.3">
      <c r="A257" s="5" t="s">
        <v>18</v>
      </c>
      <c r="B257" s="1248" t="s">
        <v>106</v>
      </c>
      <c r="C257" s="1249"/>
      <c r="D257" s="1249"/>
      <c r="E257" s="1316"/>
    </row>
    <row r="258" spans="1:5" ht="12.75" customHeight="1" x14ac:dyDescent="0.25">
      <c r="A258" s="1250"/>
      <c r="B258" s="8">
        <v>2018</v>
      </c>
      <c r="C258" s="8">
        <v>2019</v>
      </c>
      <c r="D258" s="8">
        <v>2020</v>
      </c>
      <c r="E258" s="8">
        <v>2021</v>
      </c>
    </row>
    <row r="259" spans="1:5" ht="9" customHeight="1" thickBot="1" x14ac:dyDescent="0.3">
      <c r="A259" s="1251"/>
      <c r="B259" s="9" t="s">
        <v>10</v>
      </c>
      <c r="C259" s="9" t="s">
        <v>11</v>
      </c>
      <c r="D259" s="9" t="s">
        <v>11</v>
      </c>
      <c r="E259" s="9" t="s">
        <v>11</v>
      </c>
    </row>
    <row r="260" spans="1:5" ht="15.75" thickBot="1" x14ac:dyDescent="0.3">
      <c r="A260" s="5" t="s">
        <v>19</v>
      </c>
      <c r="B260" s="10"/>
      <c r="C260" s="10"/>
      <c r="D260" s="10"/>
      <c r="E260" s="10"/>
    </row>
    <row r="261" spans="1:5" ht="15.75" thickBot="1" x14ac:dyDescent="0.3">
      <c r="A261" s="5" t="s">
        <v>20</v>
      </c>
      <c r="B261" s="10"/>
      <c r="C261" s="10"/>
      <c r="D261" s="10"/>
      <c r="E261" s="10"/>
    </row>
    <row r="262" spans="1:5" ht="15.75" thickBot="1" x14ac:dyDescent="0.3">
      <c r="A262" s="5" t="s">
        <v>21</v>
      </c>
      <c r="B262" s="10" t="e">
        <f>B261/B260</f>
        <v>#DIV/0!</v>
      </c>
      <c r="C262" s="10" t="e">
        <f>C261/C260</f>
        <v>#DIV/0!</v>
      </c>
      <c r="D262" s="10" t="e">
        <f>D261/D260</f>
        <v>#DIV/0!</v>
      </c>
      <c r="E262" s="10" t="e">
        <f>E261/E260</f>
        <v>#DIV/0!</v>
      </c>
    </row>
    <row r="263" spans="1:5" ht="15.75" thickBot="1" x14ac:dyDescent="0.3">
      <c r="A263" s="5" t="s">
        <v>22</v>
      </c>
      <c r="B263" s="225"/>
      <c r="C263" s="11" t="e">
        <f t="shared" ref="C263:E265" si="7">C260/B260-1</f>
        <v>#DIV/0!</v>
      </c>
      <c r="D263" s="11" t="e">
        <f t="shared" si="7"/>
        <v>#DIV/0!</v>
      </c>
      <c r="E263" s="11" t="e">
        <f t="shared" si="7"/>
        <v>#DIV/0!</v>
      </c>
    </row>
    <row r="264" spans="1:5" ht="15.75" thickBot="1" x14ac:dyDescent="0.3">
      <c r="A264" s="5" t="s">
        <v>24</v>
      </c>
      <c r="B264" s="225"/>
      <c r="C264" s="11" t="e">
        <f t="shared" si="7"/>
        <v>#DIV/0!</v>
      </c>
      <c r="D264" s="11" t="e">
        <f t="shared" si="7"/>
        <v>#DIV/0!</v>
      </c>
      <c r="E264" s="11" t="e">
        <f t="shared" si="7"/>
        <v>#DIV/0!</v>
      </c>
    </row>
    <row r="265" spans="1:5" ht="15.75" thickBot="1" x14ac:dyDescent="0.3">
      <c r="A265" s="5" t="s">
        <v>25</v>
      </c>
      <c r="B265" s="225"/>
      <c r="C265" s="11" t="e">
        <f t="shared" si="7"/>
        <v>#DIV/0!</v>
      </c>
      <c r="D265" s="11" t="e">
        <f t="shared" si="7"/>
        <v>#DIV/0!</v>
      </c>
      <c r="E265" s="11" t="e">
        <f t="shared" si="7"/>
        <v>#DIV/0!</v>
      </c>
    </row>
    <row r="266" spans="1:5" ht="15.75" thickBot="1" x14ac:dyDescent="0.3">
      <c r="A266" s="1252" t="s">
        <v>635</v>
      </c>
      <c r="B266" s="1253"/>
      <c r="C266" s="1253"/>
      <c r="D266" s="1253"/>
      <c r="E266" s="1300"/>
    </row>
    <row r="267" spans="1:5" ht="12.75" customHeight="1" x14ac:dyDescent="0.25">
      <c r="A267" s="1250"/>
      <c r="B267" s="8">
        <v>2018</v>
      </c>
      <c r="C267" s="8">
        <v>2019</v>
      </c>
      <c r="D267" s="8">
        <v>2020</v>
      </c>
      <c r="E267" s="8">
        <v>2021</v>
      </c>
    </row>
    <row r="268" spans="1:5" ht="9" customHeight="1" thickBot="1" x14ac:dyDescent="0.3">
      <c r="A268" s="1251"/>
      <c r="B268" s="9" t="s">
        <v>10</v>
      </c>
      <c r="C268" s="9" t="s">
        <v>11</v>
      </c>
      <c r="D268" s="9" t="s">
        <v>11</v>
      </c>
      <c r="E268" s="9" t="s">
        <v>11</v>
      </c>
    </row>
    <row r="269" spans="1:5" ht="15.75" thickBot="1" x14ac:dyDescent="0.3">
      <c r="A269" s="13" t="s">
        <v>26</v>
      </c>
      <c r="B269" s="14"/>
      <c r="C269" s="14"/>
      <c r="D269" s="14"/>
      <c r="E269" s="14"/>
    </row>
    <row r="270" spans="1:5" ht="24.75" thickBot="1" x14ac:dyDescent="0.3">
      <c r="A270" s="28" t="s">
        <v>27</v>
      </c>
      <c r="B270" s="15"/>
      <c r="C270" s="29"/>
      <c r="D270" s="29"/>
      <c r="E270" s="29"/>
    </row>
    <row r="271" spans="1:5" ht="24.75" thickBot="1" x14ac:dyDescent="0.3">
      <c r="A271" s="28" t="s">
        <v>45</v>
      </c>
      <c r="B271" s="15"/>
      <c r="C271" s="29"/>
      <c r="D271" s="29"/>
      <c r="E271" s="29"/>
    </row>
    <row r="272" spans="1:5" ht="15.75" thickBot="1" x14ac:dyDescent="0.3">
      <c r="A272" s="13" t="s">
        <v>28</v>
      </c>
      <c r="B272" s="14"/>
      <c r="C272" s="14"/>
      <c r="D272" s="14"/>
      <c r="E272" s="14"/>
    </row>
    <row r="273" spans="1:5" ht="36.75" thickBot="1" x14ac:dyDescent="0.3">
      <c r="A273" s="28" t="s">
        <v>29</v>
      </c>
      <c r="B273" s="15"/>
      <c r="C273" s="14"/>
      <c r="D273" s="14"/>
      <c r="E273" s="14"/>
    </row>
    <row r="274" spans="1:5" ht="36.75" thickBot="1" x14ac:dyDescent="0.3">
      <c r="A274" s="28" t="s">
        <v>46</v>
      </c>
      <c r="B274" s="15"/>
      <c r="C274" s="14"/>
      <c r="D274" s="14"/>
      <c r="E274" s="14"/>
    </row>
    <row r="275" spans="1:5" ht="15.75" thickBot="1" x14ac:dyDescent="0.3">
      <c r="A275" s="13" t="s">
        <v>30</v>
      </c>
      <c r="B275" s="15"/>
      <c r="C275" s="14"/>
      <c r="D275" s="14"/>
      <c r="E275" s="14"/>
    </row>
    <row r="276" spans="1:5" ht="24.75" thickBot="1" x14ac:dyDescent="0.3">
      <c r="A276" s="28" t="s">
        <v>31</v>
      </c>
      <c r="B276" s="15"/>
      <c r="C276" s="14"/>
      <c r="D276" s="14"/>
      <c r="E276" s="14"/>
    </row>
    <row r="277" spans="1:5" ht="24.75" thickBot="1" x14ac:dyDescent="0.3">
      <c r="A277" s="28" t="s">
        <v>47</v>
      </c>
      <c r="B277" s="15"/>
      <c r="C277" s="14"/>
      <c r="D277" s="14"/>
      <c r="E277" s="14"/>
    </row>
    <row r="278" spans="1:5" ht="15.75" thickBot="1" x14ac:dyDescent="0.3">
      <c r="A278" s="13" t="s">
        <v>32</v>
      </c>
      <c r="B278" s="15"/>
      <c r="C278" s="14"/>
      <c r="D278" s="14"/>
      <c r="E278" s="14"/>
    </row>
    <row r="279" spans="1:5" ht="24.75" thickBot="1" x14ac:dyDescent="0.3">
      <c r="A279" s="28" t="s">
        <v>33</v>
      </c>
      <c r="B279" s="15"/>
      <c r="C279" s="14"/>
      <c r="D279" s="14"/>
      <c r="E279" s="14"/>
    </row>
    <row r="280" spans="1:5" ht="24.75" thickBot="1" x14ac:dyDescent="0.3">
      <c r="A280" s="28" t="s">
        <v>48</v>
      </c>
      <c r="B280" s="15"/>
      <c r="C280" s="14"/>
      <c r="D280" s="14"/>
      <c r="E280" s="14"/>
    </row>
    <row r="281" spans="1:5" ht="15.75" thickBot="1" x14ac:dyDescent="0.3">
      <c r="A281" s="13" t="s">
        <v>34</v>
      </c>
      <c r="B281" s="15"/>
      <c r="C281" s="14"/>
      <c r="D281" s="14"/>
      <c r="E281" s="14"/>
    </row>
    <row r="282" spans="1:5" ht="24.75" thickBot="1" x14ac:dyDescent="0.3">
      <c r="A282" s="28" t="s">
        <v>35</v>
      </c>
      <c r="B282" s="15"/>
      <c r="C282" s="14"/>
      <c r="D282" s="14"/>
      <c r="E282" s="14"/>
    </row>
    <row r="283" spans="1:5" ht="24.75" thickBot="1" x14ac:dyDescent="0.3">
      <c r="A283" s="28" t="s">
        <v>49</v>
      </c>
      <c r="B283" s="15"/>
      <c r="C283" s="14"/>
      <c r="D283" s="14"/>
      <c r="E283" s="14"/>
    </row>
    <row r="284" spans="1:5" ht="15.75" thickBot="1" x14ac:dyDescent="0.3">
      <c r="A284" s="13" t="s">
        <v>36</v>
      </c>
      <c r="B284" s="15"/>
      <c r="C284" s="14"/>
      <c r="D284" s="14"/>
      <c r="E284" s="14"/>
    </row>
    <row r="285" spans="1:5" ht="24.75" thickBot="1" x14ac:dyDescent="0.3">
      <c r="A285" s="28" t="s">
        <v>37</v>
      </c>
      <c r="B285" s="15"/>
      <c r="C285" s="14"/>
      <c r="D285" s="14"/>
      <c r="E285" s="14"/>
    </row>
    <row r="286" spans="1:5" ht="24.75" thickBot="1" x14ac:dyDescent="0.3">
      <c r="A286" s="28" t="s">
        <v>50</v>
      </c>
      <c r="B286" s="15"/>
      <c r="C286" s="14"/>
      <c r="D286" s="14"/>
      <c r="E286" s="14"/>
    </row>
    <row r="287" spans="1:5" ht="15.75" thickBot="1" x14ac:dyDescent="0.3">
      <c r="A287" s="13" t="s">
        <v>38</v>
      </c>
      <c r="B287" s="15"/>
      <c r="C287" s="14"/>
      <c r="D287" s="14"/>
      <c r="E287" s="14"/>
    </row>
    <row r="288" spans="1:5" ht="36.75" thickBot="1" x14ac:dyDescent="0.3">
      <c r="A288" s="28" t="s">
        <v>39</v>
      </c>
      <c r="B288" s="15"/>
      <c r="C288" s="14"/>
      <c r="D288" s="14"/>
      <c r="E288" s="14"/>
    </row>
    <row r="289" spans="1:5" ht="36.75" thickBot="1" x14ac:dyDescent="0.3">
      <c r="A289" s="28" t="s">
        <v>51</v>
      </c>
      <c r="B289" s="15"/>
      <c r="C289" s="14"/>
      <c r="D289" s="14"/>
      <c r="E289" s="14"/>
    </row>
    <row r="290" spans="1:5" ht="24.75" thickBot="1" x14ac:dyDescent="0.3">
      <c r="A290" s="137" t="s">
        <v>71</v>
      </c>
      <c r="B290" s="140">
        <f>B287+B281+B284+B278+B275+B272+B269</f>
        <v>0</v>
      </c>
      <c r="C290" s="140">
        <f>C287+C281+C284+C278+C275+C272+C269</f>
        <v>0</v>
      </c>
      <c r="D290" s="140">
        <f>D287+D281+D284+D278+D275+D272+D269</f>
        <v>0</v>
      </c>
      <c r="E290" s="140">
        <f>E287+E281+E284+E278+E275+E272+E269</f>
        <v>0</v>
      </c>
    </row>
    <row r="291" spans="1:5" x14ac:dyDescent="0.25">
      <c r="A291" s="1254" t="s">
        <v>116</v>
      </c>
      <c r="B291" s="1289"/>
      <c r="C291" s="1289"/>
      <c r="D291" s="1289"/>
      <c r="E291" s="1290"/>
    </row>
    <row r="292" spans="1:5" x14ac:dyDescent="0.25">
      <c r="A292" s="1255"/>
      <c r="B292" s="1292"/>
      <c r="C292" s="1292"/>
      <c r="D292" s="1292"/>
      <c r="E292" s="1293"/>
    </row>
    <row r="293" spans="1:5" ht="15.75" thickBot="1" x14ac:dyDescent="0.3">
      <c r="A293" s="1256"/>
      <c r="B293" s="1295"/>
      <c r="C293" s="1295"/>
      <c r="D293" s="1295"/>
      <c r="E293" s="1296"/>
    </row>
    <row r="294" spans="1:5" ht="15.75" thickBot="1" x14ac:dyDescent="0.3">
      <c r="A294" s="17" t="s">
        <v>41</v>
      </c>
      <c r="B294" s="18">
        <f>IF(B290-B261=0,0,"Error")</f>
        <v>0</v>
      </c>
      <c r="C294" s="18">
        <f>IF(C290-C261=0,0,"Error")</f>
        <v>0</v>
      </c>
      <c r="D294" s="18">
        <f>IF(D290-D261=0,0,"Error")</f>
        <v>0</v>
      </c>
      <c r="E294" s="18">
        <f>IF(E290-E261=0,0,"Error")</f>
        <v>0</v>
      </c>
    </row>
    <row r="295" spans="1:5" ht="15.75" thickBot="1" x14ac:dyDescent="0.3">
      <c r="A295" s="1275" t="s">
        <v>63</v>
      </c>
      <c r="B295" s="1276"/>
      <c r="C295" s="1276"/>
      <c r="D295" s="1276"/>
      <c r="E295" s="1317"/>
    </row>
    <row r="296" spans="1:5" ht="15.75" thickBot="1" x14ac:dyDescent="0.3">
      <c r="A296" s="1275" t="s">
        <v>56</v>
      </c>
      <c r="B296" s="1276"/>
      <c r="C296" s="1276"/>
      <c r="D296" s="1276"/>
      <c r="E296" s="1317"/>
    </row>
    <row r="297" spans="1:5" ht="15.75" thickBot="1" x14ac:dyDescent="0.3">
      <c r="A297" s="20" t="s">
        <v>61</v>
      </c>
      <c r="B297" s="1241" t="s">
        <v>124</v>
      </c>
      <c r="C297" s="1242"/>
      <c r="D297" s="1242"/>
      <c r="E297" s="1318"/>
    </row>
    <row r="298" spans="1:5" ht="15.75" thickBot="1" x14ac:dyDescent="0.3">
      <c r="A298" s="7" t="s">
        <v>16</v>
      </c>
      <c r="B298" s="1243" t="s">
        <v>106</v>
      </c>
      <c r="C298" s="1244"/>
      <c r="D298" s="1244"/>
      <c r="E298" s="1315"/>
    </row>
    <row r="299" spans="1:5" ht="17.25" customHeight="1" thickBot="1" x14ac:dyDescent="0.3">
      <c r="A299" s="5" t="s">
        <v>17</v>
      </c>
      <c r="B299" s="1245" t="s">
        <v>106</v>
      </c>
      <c r="C299" s="1246"/>
      <c r="D299" s="1246"/>
      <c r="E299" s="1298"/>
    </row>
    <row r="300" spans="1:5" ht="15.75" thickBot="1" x14ac:dyDescent="0.3">
      <c r="A300" s="5" t="s">
        <v>18</v>
      </c>
      <c r="B300" s="1248" t="s">
        <v>106</v>
      </c>
      <c r="C300" s="1249"/>
      <c r="D300" s="1249"/>
      <c r="E300" s="1316"/>
    </row>
    <row r="301" spans="1:5" ht="12.75" customHeight="1" x14ac:dyDescent="0.25">
      <c r="A301" s="1250"/>
      <c r="B301" s="8">
        <v>2018</v>
      </c>
      <c r="C301" s="8">
        <v>2019</v>
      </c>
      <c r="D301" s="8">
        <v>2020</v>
      </c>
      <c r="E301" s="8">
        <v>2021</v>
      </c>
    </row>
    <row r="302" spans="1:5" ht="9" customHeight="1" thickBot="1" x14ac:dyDescent="0.3">
      <c r="A302" s="1251"/>
      <c r="B302" s="9" t="s">
        <v>10</v>
      </c>
      <c r="C302" s="9" t="s">
        <v>11</v>
      </c>
      <c r="D302" s="9" t="s">
        <v>11</v>
      </c>
      <c r="E302" s="9" t="s">
        <v>11</v>
      </c>
    </row>
    <row r="303" spans="1:5" ht="15.75" thickBot="1" x14ac:dyDescent="0.3">
      <c r="A303" s="5" t="s">
        <v>19</v>
      </c>
      <c r="B303" s="10"/>
      <c r="C303" s="10"/>
      <c r="D303" s="10"/>
      <c r="E303" s="10"/>
    </row>
    <row r="304" spans="1:5" ht="15.75" thickBot="1" x14ac:dyDescent="0.3">
      <c r="A304" s="5" t="s">
        <v>20</v>
      </c>
      <c r="B304" s="10"/>
      <c r="C304" s="10"/>
      <c r="D304" s="10"/>
      <c r="E304" s="10"/>
    </row>
    <row r="305" spans="1:9" ht="15.75" thickBot="1" x14ac:dyDescent="0.3">
      <c r="A305" s="5" t="s">
        <v>21</v>
      </c>
      <c r="B305" s="10" t="e">
        <f>B304/B303</f>
        <v>#DIV/0!</v>
      </c>
      <c r="C305" s="10" t="e">
        <f>C304/C303</f>
        <v>#DIV/0!</v>
      </c>
      <c r="D305" s="10" t="e">
        <f>D304/D303</f>
        <v>#DIV/0!</v>
      </c>
      <c r="E305" s="10" t="e">
        <f>E304/E303</f>
        <v>#DIV/0!</v>
      </c>
    </row>
    <row r="306" spans="1:9" ht="15.75" thickBot="1" x14ac:dyDescent="0.3">
      <c r="A306" s="5" t="s">
        <v>22</v>
      </c>
      <c r="B306" s="225" t="s">
        <v>23</v>
      </c>
      <c r="C306" s="11" t="e">
        <f t="shared" ref="C306:E308" si="8">C303/B303-1</f>
        <v>#DIV/0!</v>
      </c>
      <c r="D306" s="11" t="e">
        <f t="shared" si="8"/>
        <v>#DIV/0!</v>
      </c>
      <c r="E306" s="11" t="e">
        <f t="shared" si="8"/>
        <v>#DIV/0!</v>
      </c>
      <c r="F306" s="12"/>
      <c r="G306" s="12"/>
      <c r="H306" s="12"/>
      <c r="I306" s="12"/>
    </row>
    <row r="307" spans="1:9" ht="15.75" thickBot="1" x14ac:dyDescent="0.3">
      <c r="A307" s="5" t="s">
        <v>24</v>
      </c>
      <c r="B307" s="225" t="s">
        <v>23</v>
      </c>
      <c r="C307" s="11" t="e">
        <f t="shared" si="8"/>
        <v>#DIV/0!</v>
      </c>
      <c r="D307" s="11" t="e">
        <f t="shared" si="8"/>
        <v>#DIV/0!</v>
      </c>
      <c r="E307" s="11" t="e">
        <f t="shared" si="8"/>
        <v>#DIV/0!</v>
      </c>
    </row>
    <row r="308" spans="1:9" ht="15.75" thickBot="1" x14ac:dyDescent="0.3">
      <c r="A308" s="5" t="s">
        <v>25</v>
      </c>
      <c r="B308" s="225" t="s">
        <v>23</v>
      </c>
      <c r="C308" s="11" t="e">
        <f t="shared" si="8"/>
        <v>#DIV/0!</v>
      </c>
      <c r="D308" s="11" t="e">
        <f t="shared" si="8"/>
        <v>#DIV/0!</v>
      </c>
      <c r="E308" s="11" t="e">
        <f t="shared" si="8"/>
        <v>#DIV/0!</v>
      </c>
    </row>
    <row r="309" spans="1:9" ht="15.75" thickBot="1" x14ac:dyDescent="0.3">
      <c r="A309" s="1252" t="s">
        <v>633</v>
      </c>
      <c r="B309" s="1253"/>
      <c r="C309" s="1253"/>
      <c r="D309" s="1253"/>
      <c r="E309" s="1300"/>
    </row>
    <row r="310" spans="1:9" ht="12.75" customHeight="1" x14ac:dyDescent="0.25">
      <c r="A310" s="1250"/>
      <c r="B310" s="8">
        <v>2018</v>
      </c>
      <c r="C310" s="8">
        <v>2019</v>
      </c>
      <c r="D310" s="8">
        <v>2020</v>
      </c>
      <c r="E310" s="8">
        <v>2021</v>
      </c>
    </row>
    <row r="311" spans="1:9" ht="9" customHeight="1" thickBot="1" x14ac:dyDescent="0.3">
      <c r="A311" s="1251"/>
      <c r="B311" s="9" t="s">
        <v>10</v>
      </c>
      <c r="C311" s="9" t="s">
        <v>11</v>
      </c>
      <c r="D311" s="9" t="s">
        <v>11</v>
      </c>
      <c r="E311" s="9" t="s">
        <v>11</v>
      </c>
    </row>
    <row r="312" spans="1:9" ht="15.75" thickBot="1" x14ac:dyDescent="0.3">
      <c r="A312" s="13" t="s">
        <v>58</v>
      </c>
      <c r="B312" s="14"/>
      <c r="C312" s="14"/>
      <c r="D312" s="14"/>
      <c r="E312" s="14"/>
    </row>
    <row r="313" spans="1:9" ht="15.75" thickBot="1" x14ac:dyDescent="0.3">
      <c r="A313" s="13" t="s">
        <v>59</v>
      </c>
      <c r="B313" s="15"/>
      <c r="C313" s="14"/>
      <c r="D313" s="14"/>
      <c r="E313" s="14"/>
    </row>
    <row r="314" spans="1:9" ht="15.75" thickBot="1" x14ac:dyDescent="0.3">
      <c r="A314" s="16" t="s">
        <v>40</v>
      </c>
      <c r="B314" s="15">
        <f>B313+B312</f>
        <v>0</v>
      </c>
      <c r="C314" s="15">
        <f>C313+C312</f>
        <v>0</v>
      </c>
      <c r="D314" s="15">
        <f>D313+D312</f>
        <v>0</v>
      </c>
      <c r="E314" s="15">
        <f>E313+E312</f>
        <v>0</v>
      </c>
    </row>
    <row r="315" spans="1:9" x14ac:dyDescent="0.25">
      <c r="A315" s="1254" t="s">
        <v>60</v>
      </c>
      <c r="B315" s="1322"/>
      <c r="C315" s="1289"/>
      <c r="D315" s="1289"/>
      <c r="E315" s="1290"/>
    </row>
    <row r="316" spans="1:9" x14ac:dyDescent="0.25">
      <c r="A316" s="1255"/>
      <c r="B316" s="1291"/>
      <c r="C316" s="1292"/>
      <c r="D316" s="1292"/>
      <c r="E316" s="1293"/>
    </row>
    <row r="317" spans="1:9" ht="15.75" thickBot="1" x14ac:dyDescent="0.3">
      <c r="A317" s="1256"/>
      <c r="B317" s="1294"/>
      <c r="C317" s="1295"/>
      <c r="D317" s="1295"/>
      <c r="E317" s="1296"/>
    </row>
    <row r="318" spans="1:9" ht="15.75" thickBot="1" x14ac:dyDescent="0.3">
      <c r="A318" s="20" t="s">
        <v>61</v>
      </c>
      <c r="B318" s="1241" t="s">
        <v>124</v>
      </c>
      <c r="C318" s="1242"/>
      <c r="D318" s="1242"/>
      <c r="E318" s="1318"/>
    </row>
    <row r="319" spans="1:9" ht="15.75" thickBot="1" x14ac:dyDescent="0.3">
      <c r="A319" s="7" t="s">
        <v>123</v>
      </c>
      <c r="B319" s="1243" t="s">
        <v>106</v>
      </c>
      <c r="C319" s="1244"/>
      <c r="D319" s="1244"/>
      <c r="E319" s="1315"/>
    </row>
    <row r="320" spans="1:9" ht="17.25" customHeight="1" thickBot="1" x14ac:dyDescent="0.3">
      <c r="A320" s="5" t="s">
        <v>17</v>
      </c>
      <c r="B320" s="1245" t="s">
        <v>106</v>
      </c>
      <c r="C320" s="1246"/>
      <c r="D320" s="1246"/>
      <c r="E320" s="1298"/>
    </row>
    <row r="321" spans="1:9" ht="15.75" thickBot="1" x14ac:dyDescent="0.3">
      <c r="A321" s="5" t="s">
        <v>18</v>
      </c>
      <c r="B321" s="1248" t="s">
        <v>106</v>
      </c>
      <c r="C321" s="1249"/>
      <c r="D321" s="1249"/>
      <c r="E321" s="1316"/>
    </row>
    <row r="322" spans="1:9" ht="12.75" customHeight="1" x14ac:dyDescent="0.25">
      <c r="A322" s="1250"/>
      <c r="B322" s="8">
        <v>2018</v>
      </c>
      <c r="C322" s="8">
        <v>2019</v>
      </c>
      <c r="D322" s="8">
        <v>2020</v>
      </c>
      <c r="E322" s="8">
        <v>2021</v>
      </c>
    </row>
    <row r="323" spans="1:9" ht="9" customHeight="1" thickBot="1" x14ac:dyDescent="0.3">
      <c r="A323" s="1251"/>
      <c r="B323" s="9" t="s">
        <v>10</v>
      </c>
      <c r="C323" s="9" t="s">
        <v>11</v>
      </c>
      <c r="D323" s="9" t="s">
        <v>11</v>
      </c>
      <c r="E323" s="9" t="s">
        <v>11</v>
      </c>
    </row>
    <row r="324" spans="1:9" ht="15.75" thickBot="1" x14ac:dyDescent="0.3">
      <c r="A324" s="5" t="s">
        <v>19</v>
      </c>
      <c r="B324" s="10"/>
      <c r="C324" s="10"/>
      <c r="D324" s="10"/>
      <c r="E324" s="10"/>
    </row>
    <row r="325" spans="1:9" ht="15.75" thickBot="1" x14ac:dyDescent="0.3">
      <c r="A325" s="5" t="s">
        <v>20</v>
      </c>
      <c r="B325" s="10"/>
      <c r="C325" s="10"/>
      <c r="D325" s="10"/>
      <c r="E325" s="10"/>
    </row>
    <row r="326" spans="1:9" ht="15.75" thickBot="1" x14ac:dyDescent="0.3">
      <c r="A326" s="5" t="s">
        <v>21</v>
      </c>
      <c r="B326" s="10" t="e">
        <f>B325/B324</f>
        <v>#DIV/0!</v>
      </c>
      <c r="C326" s="10" t="e">
        <f>C325/C324</f>
        <v>#DIV/0!</v>
      </c>
      <c r="D326" s="10" t="e">
        <f>D325/D324</f>
        <v>#DIV/0!</v>
      </c>
      <c r="E326" s="10" t="e">
        <f>E325/E324</f>
        <v>#DIV/0!</v>
      </c>
    </row>
    <row r="327" spans="1:9" ht="15.75" thickBot="1" x14ac:dyDescent="0.3">
      <c r="A327" s="5" t="s">
        <v>22</v>
      </c>
      <c r="B327" s="225" t="s">
        <v>23</v>
      </c>
      <c r="C327" s="11" t="e">
        <f t="shared" ref="C327:E329" si="9">C324/B324-1</f>
        <v>#DIV/0!</v>
      </c>
      <c r="D327" s="11" t="e">
        <f t="shared" si="9"/>
        <v>#DIV/0!</v>
      </c>
      <c r="E327" s="11" t="e">
        <f t="shared" si="9"/>
        <v>#DIV/0!</v>
      </c>
      <c r="F327" s="12"/>
      <c r="G327" s="12"/>
      <c r="H327" s="12"/>
      <c r="I327" s="12"/>
    </row>
    <row r="328" spans="1:9" ht="15.75" thickBot="1" x14ac:dyDescent="0.3">
      <c r="A328" s="5" t="s">
        <v>24</v>
      </c>
      <c r="B328" s="225" t="s">
        <v>23</v>
      </c>
      <c r="C328" s="11" t="e">
        <f t="shared" si="9"/>
        <v>#DIV/0!</v>
      </c>
      <c r="D328" s="11" t="e">
        <f t="shared" si="9"/>
        <v>#DIV/0!</v>
      </c>
      <c r="E328" s="11" t="e">
        <f t="shared" si="9"/>
        <v>#DIV/0!</v>
      </c>
    </row>
    <row r="329" spans="1:9" ht="15.75" thickBot="1" x14ac:dyDescent="0.3">
      <c r="A329" s="5" t="s">
        <v>25</v>
      </c>
      <c r="B329" s="225" t="s">
        <v>23</v>
      </c>
      <c r="C329" s="11" t="e">
        <f t="shared" si="9"/>
        <v>#DIV/0!</v>
      </c>
      <c r="D329" s="11" t="e">
        <f t="shared" si="9"/>
        <v>#DIV/0!</v>
      </c>
      <c r="E329" s="11" t="e">
        <f t="shared" si="9"/>
        <v>#DIV/0!</v>
      </c>
    </row>
    <row r="330" spans="1:9" ht="15.75" thickBot="1" x14ac:dyDescent="0.3">
      <c r="A330" s="1252" t="s">
        <v>635</v>
      </c>
      <c r="B330" s="1253"/>
      <c r="C330" s="1253"/>
      <c r="D330" s="1253"/>
      <c r="E330" s="1300"/>
    </row>
    <row r="331" spans="1:9" ht="12.75" customHeight="1" x14ac:dyDescent="0.25">
      <c r="A331" s="1250"/>
      <c r="B331" s="8">
        <v>2018</v>
      </c>
      <c r="C331" s="8">
        <v>2019</v>
      </c>
      <c r="D331" s="8">
        <v>2020</v>
      </c>
      <c r="E331" s="8">
        <v>2021</v>
      </c>
    </row>
    <row r="332" spans="1:9" ht="9" customHeight="1" thickBot="1" x14ac:dyDescent="0.3">
      <c r="A332" s="1251"/>
      <c r="B332" s="9" t="s">
        <v>10</v>
      </c>
      <c r="C332" s="9" t="s">
        <v>11</v>
      </c>
      <c r="D332" s="9" t="s">
        <v>11</v>
      </c>
      <c r="E332" s="9" t="s">
        <v>11</v>
      </c>
    </row>
    <row r="333" spans="1:9" ht="15.75" thickBot="1" x14ac:dyDescent="0.3">
      <c r="A333" s="13" t="s">
        <v>58</v>
      </c>
      <c r="B333" s="14"/>
      <c r="C333" s="14"/>
      <c r="D333" s="14"/>
      <c r="E333" s="14"/>
    </row>
    <row r="334" spans="1:9" ht="15.75" thickBot="1" x14ac:dyDescent="0.3">
      <c r="A334" s="13" t="s">
        <v>59</v>
      </c>
      <c r="B334" s="15"/>
      <c r="C334" s="14"/>
      <c r="D334" s="14"/>
      <c r="E334" s="14"/>
    </row>
    <row r="335" spans="1:9" ht="15.75" thickBot="1" x14ac:dyDescent="0.3">
      <c r="A335" s="16" t="s">
        <v>74</v>
      </c>
      <c r="B335" s="15">
        <f>B334+B333</f>
        <v>0</v>
      </c>
      <c r="C335" s="15">
        <f>C334+C333</f>
        <v>0</v>
      </c>
      <c r="D335" s="15">
        <f>D334+D333</f>
        <v>0</v>
      </c>
      <c r="E335" s="15">
        <f>E334+E333</f>
        <v>0</v>
      </c>
    </row>
    <row r="336" spans="1:9" x14ac:dyDescent="0.25">
      <c r="A336" s="1254" t="s">
        <v>62</v>
      </c>
      <c r="B336" s="1322"/>
      <c r="C336" s="1289"/>
      <c r="D336" s="1289"/>
      <c r="E336" s="1290"/>
    </row>
    <row r="337" spans="1:9" ht="11.25" customHeight="1" thickBot="1" x14ac:dyDescent="0.3">
      <c r="A337" s="1255"/>
      <c r="B337" s="1291"/>
      <c r="C337" s="1292"/>
      <c r="D337" s="1292"/>
      <c r="E337" s="1293"/>
    </row>
    <row r="338" spans="1:9" ht="15.75" hidden="1" thickBot="1" x14ac:dyDescent="0.3">
      <c r="A338" s="1256"/>
      <c r="B338" s="1294"/>
      <c r="C338" s="1295"/>
      <c r="D338" s="1295"/>
      <c r="E338" s="1296"/>
    </row>
    <row r="339" spans="1:9" ht="15.75" thickBot="1" x14ac:dyDescent="0.3">
      <c r="A339" s="1275" t="s">
        <v>63</v>
      </c>
      <c r="B339" s="1276"/>
      <c r="C339" s="1276"/>
      <c r="D339" s="1276"/>
      <c r="E339" s="1317"/>
    </row>
    <row r="340" spans="1:9" ht="15.75" thickBot="1" x14ac:dyDescent="0.3">
      <c r="A340" s="1275" t="s">
        <v>64</v>
      </c>
      <c r="B340" s="1276"/>
      <c r="C340" s="1276"/>
      <c r="D340" s="1276"/>
      <c r="E340" s="1317"/>
    </row>
    <row r="341" spans="1:9" ht="15.75" thickBot="1" x14ac:dyDescent="0.3">
      <c r="A341" s="20" t="s">
        <v>61</v>
      </c>
      <c r="B341" s="1241" t="s">
        <v>124</v>
      </c>
      <c r="C341" s="1242"/>
      <c r="D341" s="1242"/>
      <c r="E341" s="1318"/>
    </row>
    <row r="342" spans="1:9" ht="15.75" thickBot="1" x14ac:dyDescent="0.3">
      <c r="A342" s="7" t="s">
        <v>16</v>
      </c>
      <c r="B342" s="1243" t="s">
        <v>106</v>
      </c>
      <c r="C342" s="1244"/>
      <c r="D342" s="1244"/>
      <c r="E342" s="1315"/>
    </row>
    <row r="343" spans="1:9" ht="17.25" customHeight="1" thickBot="1" x14ac:dyDescent="0.3">
      <c r="A343" s="5" t="s">
        <v>17</v>
      </c>
      <c r="B343" s="1245" t="s">
        <v>106</v>
      </c>
      <c r="C343" s="1246"/>
      <c r="D343" s="1246"/>
      <c r="E343" s="1298"/>
    </row>
    <row r="344" spans="1:9" ht="15.75" thickBot="1" x14ac:dyDescent="0.3">
      <c r="A344" s="5" t="s">
        <v>18</v>
      </c>
      <c r="B344" s="1248" t="s">
        <v>106</v>
      </c>
      <c r="C344" s="1249"/>
      <c r="D344" s="1249"/>
      <c r="E344" s="1316"/>
    </row>
    <row r="345" spans="1:9" ht="12.75" customHeight="1" x14ac:dyDescent="0.25">
      <c r="A345" s="1250"/>
      <c r="B345" s="8">
        <v>2018</v>
      </c>
      <c r="C345" s="8">
        <v>2019</v>
      </c>
      <c r="D345" s="8">
        <v>2020</v>
      </c>
      <c r="E345" s="8">
        <v>2021</v>
      </c>
    </row>
    <row r="346" spans="1:9" ht="9" customHeight="1" thickBot="1" x14ac:dyDescent="0.3">
      <c r="A346" s="1251"/>
      <c r="B346" s="9" t="s">
        <v>10</v>
      </c>
      <c r="C346" s="9" t="s">
        <v>11</v>
      </c>
      <c r="D346" s="9" t="s">
        <v>11</v>
      </c>
      <c r="E346" s="9" t="s">
        <v>11</v>
      </c>
    </row>
    <row r="347" spans="1:9" ht="15.75" thickBot="1" x14ac:dyDescent="0.3">
      <c r="A347" s="5" t="s">
        <v>19</v>
      </c>
      <c r="B347" s="10"/>
      <c r="C347" s="10"/>
      <c r="D347" s="10"/>
      <c r="E347" s="10"/>
    </row>
    <row r="348" spans="1:9" ht="15.75" thickBot="1" x14ac:dyDescent="0.3">
      <c r="A348" s="5" t="s">
        <v>20</v>
      </c>
      <c r="B348" s="10"/>
      <c r="C348" s="10"/>
      <c r="D348" s="10"/>
      <c r="E348" s="10"/>
    </row>
    <row r="349" spans="1:9" ht="15.75" thickBot="1" x14ac:dyDescent="0.3">
      <c r="A349" s="5" t="s">
        <v>21</v>
      </c>
      <c r="B349" s="10" t="e">
        <f>B348/B347</f>
        <v>#DIV/0!</v>
      </c>
      <c r="C349" s="10" t="e">
        <f>C348/C347</f>
        <v>#DIV/0!</v>
      </c>
      <c r="D349" s="10" t="e">
        <f>D348/D347</f>
        <v>#DIV/0!</v>
      </c>
      <c r="E349" s="10" t="e">
        <f>E348/E347</f>
        <v>#DIV/0!</v>
      </c>
    </row>
    <row r="350" spans="1:9" ht="15.75" thickBot="1" x14ac:dyDescent="0.3">
      <c r="A350" s="5" t="s">
        <v>22</v>
      </c>
      <c r="B350" s="225" t="s">
        <v>23</v>
      </c>
      <c r="C350" s="11" t="e">
        <f t="shared" ref="C350:E352" si="10">C347/B347-1</f>
        <v>#DIV/0!</v>
      </c>
      <c r="D350" s="11" t="e">
        <f t="shared" si="10"/>
        <v>#DIV/0!</v>
      </c>
      <c r="E350" s="11" t="e">
        <f t="shared" si="10"/>
        <v>#DIV/0!</v>
      </c>
      <c r="F350" s="12"/>
      <c r="G350" s="12"/>
      <c r="H350" s="12"/>
      <c r="I350" s="12"/>
    </row>
    <row r="351" spans="1:9" ht="15.75" thickBot="1" x14ac:dyDescent="0.3">
      <c r="A351" s="5" t="s">
        <v>24</v>
      </c>
      <c r="B351" s="225" t="s">
        <v>23</v>
      </c>
      <c r="C351" s="11" t="e">
        <f t="shared" si="10"/>
        <v>#DIV/0!</v>
      </c>
      <c r="D351" s="11" t="e">
        <f t="shared" si="10"/>
        <v>#DIV/0!</v>
      </c>
      <c r="E351" s="11" t="e">
        <f t="shared" si="10"/>
        <v>#DIV/0!</v>
      </c>
    </row>
    <row r="352" spans="1:9" ht="15.75" thickBot="1" x14ac:dyDescent="0.3">
      <c r="A352" s="5" t="s">
        <v>25</v>
      </c>
      <c r="B352" s="225" t="s">
        <v>23</v>
      </c>
      <c r="C352" s="11" t="e">
        <f t="shared" si="10"/>
        <v>#DIV/0!</v>
      </c>
      <c r="D352" s="11" t="e">
        <f t="shared" si="10"/>
        <v>#DIV/0!</v>
      </c>
      <c r="E352" s="11" t="e">
        <f t="shared" si="10"/>
        <v>#DIV/0!</v>
      </c>
    </row>
    <row r="353" spans="1:5" ht="15.75" thickBot="1" x14ac:dyDescent="0.3">
      <c r="A353" s="1252" t="s">
        <v>633</v>
      </c>
      <c r="B353" s="1253"/>
      <c r="C353" s="1253"/>
      <c r="D353" s="1253"/>
      <c r="E353" s="1300"/>
    </row>
    <row r="354" spans="1:5" ht="12.75" customHeight="1" x14ac:dyDescent="0.25">
      <c r="A354" s="1250"/>
      <c r="B354" s="8">
        <v>2018</v>
      </c>
      <c r="C354" s="8">
        <v>2019</v>
      </c>
      <c r="D354" s="8">
        <v>2020</v>
      </c>
      <c r="E354" s="8">
        <v>2021</v>
      </c>
    </row>
    <row r="355" spans="1:5" ht="9" customHeight="1" thickBot="1" x14ac:dyDescent="0.3">
      <c r="A355" s="1251"/>
      <c r="B355" s="9" t="s">
        <v>10</v>
      </c>
      <c r="C355" s="9" t="s">
        <v>11</v>
      </c>
      <c r="D355" s="9" t="s">
        <v>11</v>
      </c>
      <c r="E355" s="9" t="s">
        <v>11</v>
      </c>
    </row>
    <row r="356" spans="1:5" ht="15.75" thickBot="1" x14ac:dyDescent="0.3">
      <c r="A356" s="13" t="s">
        <v>58</v>
      </c>
      <c r="B356" s="14"/>
      <c r="C356" s="14"/>
      <c r="D356" s="14"/>
      <c r="E356" s="14"/>
    </row>
    <row r="357" spans="1:5" ht="15.75" thickBot="1" x14ac:dyDescent="0.3">
      <c r="A357" s="13" t="s">
        <v>59</v>
      </c>
      <c r="B357" s="15"/>
      <c r="C357" s="14"/>
      <c r="D357" s="14"/>
      <c r="E357" s="14"/>
    </row>
    <row r="358" spans="1:5" ht="15.75" thickBot="1" x14ac:dyDescent="0.3">
      <c r="A358" s="16" t="s">
        <v>40</v>
      </c>
      <c r="B358" s="15">
        <f>B357+B356</f>
        <v>0</v>
      </c>
      <c r="C358" s="15">
        <f>C357+C356</f>
        <v>0</v>
      </c>
      <c r="D358" s="15">
        <f>D357+D356</f>
        <v>0</v>
      </c>
      <c r="E358" s="15">
        <f>E357+E356</f>
        <v>0</v>
      </c>
    </row>
    <row r="359" spans="1:5" x14ac:dyDescent="0.25">
      <c r="A359" s="1254" t="s">
        <v>60</v>
      </c>
      <c r="B359" s="1322"/>
      <c r="C359" s="1289"/>
      <c r="D359" s="1289"/>
      <c r="E359" s="1290"/>
    </row>
    <row r="360" spans="1:5" x14ac:dyDescent="0.25">
      <c r="A360" s="1255"/>
      <c r="B360" s="1291"/>
      <c r="C360" s="1292"/>
      <c r="D360" s="1292"/>
      <c r="E360" s="1293"/>
    </row>
    <row r="361" spans="1:5" ht="2.25" customHeight="1" thickBot="1" x14ac:dyDescent="0.3">
      <c r="A361" s="1256"/>
      <c r="B361" s="1294"/>
      <c r="C361" s="1295"/>
      <c r="D361" s="1295"/>
      <c r="E361" s="1296"/>
    </row>
    <row r="362" spans="1:5" ht="15.75" thickBot="1" x14ac:dyDescent="0.3">
      <c r="A362" s="20" t="s">
        <v>61</v>
      </c>
      <c r="B362" s="1241" t="s">
        <v>124</v>
      </c>
      <c r="C362" s="1242"/>
      <c r="D362" s="1242"/>
      <c r="E362" s="1318"/>
    </row>
    <row r="363" spans="1:5" ht="15.75" thickBot="1" x14ac:dyDescent="0.3">
      <c r="A363" s="7" t="s">
        <v>123</v>
      </c>
      <c r="B363" s="1243" t="s">
        <v>106</v>
      </c>
      <c r="C363" s="1244"/>
      <c r="D363" s="1244"/>
      <c r="E363" s="1315"/>
    </row>
    <row r="364" spans="1:5" ht="17.25" customHeight="1" thickBot="1" x14ac:dyDescent="0.3">
      <c r="A364" s="5" t="s">
        <v>17</v>
      </c>
      <c r="B364" s="1245" t="s">
        <v>106</v>
      </c>
      <c r="C364" s="1246"/>
      <c r="D364" s="1246"/>
      <c r="E364" s="1298"/>
    </row>
    <row r="365" spans="1:5" ht="15.75" thickBot="1" x14ac:dyDescent="0.3">
      <c r="A365" s="5" t="s">
        <v>18</v>
      </c>
      <c r="B365" s="1248" t="s">
        <v>106</v>
      </c>
      <c r="C365" s="1249"/>
      <c r="D365" s="1249"/>
      <c r="E365" s="1316"/>
    </row>
    <row r="366" spans="1:5" ht="12.75" customHeight="1" x14ac:dyDescent="0.25">
      <c r="A366" s="1250"/>
      <c r="B366" s="8">
        <v>2018</v>
      </c>
      <c r="C366" s="8">
        <v>2019</v>
      </c>
      <c r="D366" s="8">
        <v>2020</v>
      </c>
      <c r="E366" s="8">
        <v>2021</v>
      </c>
    </row>
    <row r="367" spans="1:5" ht="9" customHeight="1" thickBot="1" x14ac:dyDescent="0.3">
      <c r="A367" s="1251"/>
      <c r="B367" s="9" t="s">
        <v>10</v>
      </c>
      <c r="C367" s="9" t="s">
        <v>11</v>
      </c>
      <c r="D367" s="9" t="s">
        <v>11</v>
      </c>
      <c r="E367" s="9" t="s">
        <v>11</v>
      </c>
    </row>
    <row r="368" spans="1:5" ht="15.75" thickBot="1" x14ac:dyDescent="0.3">
      <c r="A368" s="5" t="s">
        <v>19</v>
      </c>
      <c r="B368" s="10"/>
      <c r="C368" s="10"/>
      <c r="D368" s="10"/>
      <c r="E368" s="10"/>
    </row>
    <row r="369" spans="1:9" ht="15.75" thickBot="1" x14ac:dyDescent="0.3">
      <c r="A369" s="5" t="s">
        <v>20</v>
      </c>
      <c r="B369" s="10"/>
      <c r="C369" s="10"/>
      <c r="D369" s="10"/>
      <c r="E369" s="10"/>
    </row>
    <row r="370" spans="1:9" ht="15.75" thickBot="1" x14ac:dyDescent="0.3">
      <c r="A370" s="5" t="s">
        <v>21</v>
      </c>
      <c r="B370" s="10" t="e">
        <f>B369/B368</f>
        <v>#DIV/0!</v>
      </c>
      <c r="C370" s="10" t="e">
        <f>C369/C368</f>
        <v>#DIV/0!</v>
      </c>
      <c r="D370" s="10" t="e">
        <f>D369/D368</f>
        <v>#DIV/0!</v>
      </c>
      <c r="E370" s="10" t="e">
        <f>E369/E368</f>
        <v>#DIV/0!</v>
      </c>
    </row>
    <row r="371" spans="1:9" ht="15.75" thickBot="1" x14ac:dyDescent="0.3">
      <c r="A371" s="5" t="s">
        <v>22</v>
      </c>
      <c r="B371" s="225" t="s">
        <v>23</v>
      </c>
      <c r="C371" s="11" t="e">
        <f t="shared" ref="C371:E373" si="11">C368/B368-1</f>
        <v>#DIV/0!</v>
      </c>
      <c r="D371" s="11" t="e">
        <f t="shared" si="11"/>
        <v>#DIV/0!</v>
      </c>
      <c r="E371" s="11" t="e">
        <f t="shared" si="11"/>
        <v>#DIV/0!</v>
      </c>
      <c r="F371" s="12"/>
      <c r="G371" s="12"/>
      <c r="H371" s="12"/>
      <c r="I371" s="12"/>
    </row>
    <row r="372" spans="1:9" ht="15.75" thickBot="1" x14ac:dyDescent="0.3">
      <c r="A372" s="5" t="s">
        <v>24</v>
      </c>
      <c r="B372" s="225" t="s">
        <v>23</v>
      </c>
      <c r="C372" s="11" t="e">
        <f t="shared" si="11"/>
        <v>#DIV/0!</v>
      </c>
      <c r="D372" s="11" t="e">
        <f t="shared" si="11"/>
        <v>#DIV/0!</v>
      </c>
      <c r="E372" s="11" t="e">
        <f t="shared" si="11"/>
        <v>#DIV/0!</v>
      </c>
    </row>
    <row r="373" spans="1:9" ht="15.75" thickBot="1" x14ac:dyDescent="0.3">
      <c r="A373" s="5" t="s">
        <v>25</v>
      </c>
      <c r="B373" s="225" t="s">
        <v>23</v>
      </c>
      <c r="C373" s="11" t="e">
        <f t="shared" si="11"/>
        <v>#DIV/0!</v>
      </c>
      <c r="D373" s="11" t="e">
        <f t="shared" si="11"/>
        <v>#DIV/0!</v>
      </c>
      <c r="E373" s="11" t="e">
        <f t="shared" si="11"/>
        <v>#DIV/0!</v>
      </c>
    </row>
    <row r="374" spans="1:9" ht="15.75" thickBot="1" x14ac:dyDescent="0.3">
      <c r="A374" s="1252" t="s">
        <v>635</v>
      </c>
      <c r="B374" s="1253"/>
      <c r="C374" s="1253"/>
      <c r="D374" s="1253"/>
      <c r="E374" s="1300"/>
    </row>
    <row r="375" spans="1:9" ht="12.75" customHeight="1" x14ac:dyDescent="0.25">
      <c r="A375" s="1250"/>
      <c r="B375" s="8">
        <v>2018</v>
      </c>
      <c r="C375" s="8">
        <v>2019</v>
      </c>
      <c r="D375" s="8">
        <v>2020</v>
      </c>
      <c r="E375" s="8">
        <v>2021</v>
      </c>
    </row>
    <row r="376" spans="1:9" ht="9" customHeight="1" thickBot="1" x14ac:dyDescent="0.3">
      <c r="A376" s="1251"/>
      <c r="B376" s="9" t="s">
        <v>10</v>
      </c>
      <c r="C376" s="9" t="s">
        <v>11</v>
      </c>
      <c r="D376" s="9" t="s">
        <v>11</v>
      </c>
      <c r="E376" s="9" t="s">
        <v>11</v>
      </c>
    </row>
    <row r="377" spans="1:9" ht="15.75" thickBot="1" x14ac:dyDescent="0.3">
      <c r="A377" s="13" t="s">
        <v>58</v>
      </c>
      <c r="B377" s="14"/>
      <c r="C377" s="14"/>
      <c r="D377" s="14"/>
      <c r="E377" s="14"/>
    </row>
    <row r="378" spans="1:9" ht="15.75" thickBot="1" x14ac:dyDescent="0.3">
      <c r="A378" s="13" t="s">
        <v>59</v>
      </c>
      <c r="B378" s="15"/>
      <c r="C378" s="14"/>
      <c r="D378" s="14"/>
      <c r="E378" s="14"/>
    </row>
    <row r="379" spans="1:9" ht="15.75" thickBot="1" x14ac:dyDescent="0.3">
      <c r="A379" s="16" t="s">
        <v>74</v>
      </c>
      <c r="B379" s="15">
        <f>B378+B377</f>
        <v>0</v>
      </c>
      <c r="C379" s="15">
        <f>C378+C377</f>
        <v>0</v>
      </c>
      <c r="D379" s="15">
        <f>D378+D377</f>
        <v>0</v>
      </c>
      <c r="E379" s="15">
        <f>E378+E377</f>
        <v>0</v>
      </c>
    </row>
    <row r="380" spans="1:9" x14ac:dyDescent="0.25">
      <c r="A380" s="1254" t="s">
        <v>62</v>
      </c>
      <c r="B380" s="1322"/>
      <c r="C380" s="1289"/>
      <c r="D380" s="1289"/>
      <c r="E380" s="1290"/>
    </row>
    <row r="381" spans="1:9" x14ac:dyDescent="0.25">
      <c r="A381" s="1255"/>
      <c r="B381" s="1291"/>
      <c r="C381" s="1292"/>
      <c r="D381" s="1292"/>
      <c r="E381" s="1293"/>
    </row>
    <row r="382" spans="1:9" ht="4.5" customHeight="1" thickBot="1" x14ac:dyDescent="0.3">
      <c r="A382" s="1256"/>
      <c r="B382" s="1294"/>
      <c r="C382" s="1295"/>
      <c r="D382" s="1295"/>
      <c r="E382" s="1296"/>
    </row>
    <row r="383" spans="1:9" ht="15.75" thickBot="1" x14ac:dyDescent="0.3">
      <c r="A383" s="315"/>
      <c r="B383" s="238"/>
      <c r="C383" s="238"/>
      <c r="D383" s="238"/>
      <c r="E383" s="238"/>
    </row>
    <row r="384" spans="1:9" ht="27" customHeight="1" thickBot="1" x14ac:dyDescent="0.3">
      <c r="A384" s="6" t="s">
        <v>82</v>
      </c>
      <c r="B384" s="24">
        <f>B369+B348+B325+B304+B261+B219+B190+B169+B146+B125+B82+B41</f>
        <v>93000</v>
      </c>
      <c r="C384" s="24">
        <f>C369+C348+C325+C304+C261+C219+C190+C169+C146+C125+C82+C41</f>
        <v>123000</v>
      </c>
      <c r="D384" s="24">
        <f>D369+D348+D325+D304+D261+D219+D190+D169+D146+D125+D82+D41</f>
        <v>123000</v>
      </c>
      <c r="E384" s="24">
        <f>E369+E348+E325+E304+E261+E219+E190+E169+E146+E125+E82+E41</f>
        <v>123000</v>
      </c>
    </row>
    <row r="385" spans="1:5" ht="24.75" thickBot="1" x14ac:dyDescent="0.3">
      <c r="A385" s="6" t="s">
        <v>83</v>
      </c>
      <c r="B385" s="24">
        <f>B387+B389+B391+B393+B395+B397+B399+B401+B403</f>
        <v>93000</v>
      </c>
      <c r="C385" s="24">
        <f>C387+C389+C391+C393+C395+C397+C399+C401+C403</f>
        <v>123000</v>
      </c>
      <c r="D385" s="24">
        <f>D387+D389+D391+D393+D395+D397+D399+D401+D403</f>
        <v>123000</v>
      </c>
      <c r="E385" s="24">
        <f>E387+E389+E391+E393+E395+E397+E399+E401+E403</f>
        <v>123000</v>
      </c>
    </row>
    <row r="386" spans="1:5" ht="24.75" thickBot="1" x14ac:dyDescent="0.3">
      <c r="A386" s="25" t="s">
        <v>84</v>
      </c>
      <c r="B386" s="26"/>
      <c r="C386" s="27">
        <f>C385/B385-1</f>
        <v>0.32258064516129026</v>
      </c>
      <c r="D386" s="27">
        <f>D385/C385-1</f>
        <v>0</v>
      </c>
      <c r="E386" s="27">
        <f>E385/D385-1</f>
        <v>0</v>
      </c>
    </row>
    <row r="387" spans="1:5" ht="15.75" thickBot="1" x14ac:dyDescent="0.3">
      <c r="A387" s="13" t="s">
        <v>26</v>
      </c>
      <c r="B387" s="14">
        <f>B269+B229+B90+B49</f>
        <v>53500</v>
      </c>
      <c r="C387" s="14">
        <f>C269+C229+C90+C49</f>
        <v>83000</v>
      </c>
      <c r="D387" s="14">
        <f>D269+D229+D90+D49</f>
        <v>83000</v>
      </c>
      <c r="E387" s="14">
        <f>E269+E229+E90+E49</f>
        <v>83000</v>
      </c>
    </row>
    <row r="388" spans="1:5" ht="15.75" thickBot="1" x14ac:dyDescent="0.3">
      <c r="A388" s="28" t="s">
        <v>85</v>
      </c>
      <c r="B388" s="15"/>
      <c r="C388" s="29">
        <f>C387/B387-1</f>
        <v>0.55140186915887845</v>
      </c>
      <c r="D388" s="29">
        <f>D387/C387-1</f>
        <v>0</v>
      </c>
      <c r="E388" s="29">
        <f>E387/D387-1</f>
        <v>0</v>
      </c>
    </row>
    <row r="389" spans="1:5" ht="15.75" thickBot="1" x14ac:dyDescent="0.3">
      <c r="A389" s="13" t="s">
        <v>28</v>
      </c>
      <c r="B389" s="14">
        <f>B272+B232+B93+B52</f>
        <v>10500</v>
      </c>
      <c r="C389" s="14">
        <f>C272+C232+C93+C52</f>
        <v>9000</v>
      </c>
      <c r="D389" s="14">
        <f>D272+D232+D93+D52</f>
        <v>9000</v>
      </c>
      <c r="E389" s="14">
        <f>E272+E232+E93+E52</f>
        <v>9000</v>
      </c>
    </row>
    <row r="390" spans="1:5" ht="24.75" thickBot="1" x14ac:dyDescent="0.3">
      <c r="A390" s="28" t="s">
        <v>86</v>
      </c>
      <c r="B390" s="15"/>
      <c r="C390" s="29">
        <f>C389/B389-1</f>
        <v>-0.1428571428571429</v>
      </c>
      <c r="D390" s="29">
        <f>D389/C389-1</f>
        <v>0</v>
      </c>
      <c r="E390" s="29">
        <f>E389/D389-1</f>
        <v>0</v>
      </c>
    </row>
    <row r="391" spans="1:5" ht="15.75" thickBot="1" x14ac:dyDescent="0.3">
      <c r="A391" s="13" t="s">
        <v>30</v>
      </c>
      <c r="B391" s="14">
        <f>B275+B235+B96+B55</f>
        <v>26580</v>
      </c>
      <c r="C391" s="14">
        <f>C275+C235+C96+C55</f>
        <v>28580</v>
      </c>
      <c r="D391" s="14">
        <f>D275+D235+D96+D55</f>
        <v>28580</v>
      </c>
      <c r="E391" s="14">
        <f>E275+E235+E96+E55</f>
        <v>28580</v>
      </c>
    </row>
    <row r="392" spans="1:5" ht="15.75" thickBot="1" x14ac:dyDescent="0.3">
      <c r="A392" s="28" t="s">
        <v>87</v>
      </c>
      <c r="B392" s="15"/>
      <c r="C392" s="29">
        <f>C391/B391-1</f>
        <v>7.5244544770504129E-2</v>
      </c>
      <c r="D392" s="29">
        <f>D391/C391-1</f>
        <v>0</v>
      </c>
      <c r="E392" s="29">
        <f>E391/D391-1</f>
        <v>0</v>
      </c>
    </row>
    <row r="393" spans="1:5" ht="15.75" thickBot="1" x14ac:dyDescent="0.3">
      <c r="A393" s="13" t="s">
        <v>32</v>
      </c>
      <c r="B393" s="14">
        <f>B278+B238+B99+B58</f>
        <v>0</v>
      </c>
      <c r="C393" s="14">
        <f>C278+C238+C99+C58</f>
        <v>0</v>
      </c>
      <c r="D393" s="14">
        <f>D278+D238+D99+D58</f>
        <v>0</v>
      </c>
      <c r="E393" s="14">
        <f>E278+E238+E99+E58</f>
        <v>0</v>
      </c>
    </row>
    <row r="394" spans="1:5" ht="15.75" thickBot="1" x14ac:dyDescent="0.3">
      <c r="A394" s="28" t="s">
        <v>88</v>
      </c>
      <c r="B394" s="15"/>
      <c r="C394" s="29" t="e">
        <f>C393/B393-1</f>
        <v>#DIV/0!</v>
      </c>
      <c r="D394" s="29" t="e">
        <f>D393/C393-1</f>
        <v>#DIV/0!</v>
      </c>
      <c r="E394" s="29" t="e">
        <f>E393/D393-1</f>
        <v>#DIV/0!</v>
      </c>
    </row>
    <row r="395" spans="1:5" ht="15.75" thickBot="1" x14ac:dyDescent="0.3">
      <c r="A395" s="13" t="s">
        <v>34</v>
      </c>
      <c r="B395" s="14">
        <f>B281+B241+B102+B61</f>
        <v>0</v>
      </c>
      <c r="C395" s="14">
        <f>C281+C241+C102+C61</f>
        <v>0</v>
      </c>
      <c r="D395" s="14">
        <f>D281+D241+D102+D61</f>
        <v>0</v>
      </c>
      <c r="E395" s="14">
        <f>E281+E241+E102+E61</f>
        <v>0</v>
      </c>
    </row>
    <row r="396" spans="1:5" ht="15.75" thickBot="1" x14ac:dyDescent="0.3">
      <c r="A396" s="28" t="s">
        <v>89</v>
      </c>
      <c r="B396" s="15"/>
      <c r="C396" s="29" t="e">
        <f>C395/B395-1</f>
        <v>#DIV/0!</v>
      </c>
      <c r="D396" s="29" t="e">
        <f>D395/C395-1</f>
        <v>#DIV/0!</v>
      </c>
      <c r="E396" s="29" t="e">
        <f>E395/D395-1</f>
        <v>#DIV/0!</v>
      </c>
    </row>
    <row r="397" spans="1:5" ht="15.75" thickBot="1" x14ac:dyDescent="0.3">
      <c r="A397" s="13" t="s">
        <v>36</v>
      </c>
      <c r="B397" s="14">
        <f>B284+B244+B105+B64</f>
        <v>0</v>
      </c>
      <c r="C397" s="14">
        <f>C284+C244+C105+C64</f>
        <v>0</v>
      </c>
      <c r="D397" s="14">
        <f>D284+D244+D105+D64</f>
        <v>0</v>
      </c>
      <c r="E397" s="14">
        <f>E284+E244+E105+E64</f>
        <v>0</v>
      </c>
    </row>
    <row r="398" spans="1:5" ht="15.75" thickBot="1" x14ac:dyDescent="0.3">
      <c r="A398" s="28" t="s">
        <v>90</v>
      </c>
      <c r="B398" s="15"/>
      <c r="C398" s="29" t="e">
        <f>C397/B397-1</f>
        <v>#DIV/0!</v>
      </c>
      <c r="D398" s="29" t="e">
        <f>D397/C397-1</f>
        <v>#DIV/0!</v>
      </c>
      <c r="E398" s="29" t="e">
        <f>E397/D397-1</f>
        <v>#DIV/0!</v>
      </c>
    </row>
    <row r="399" spans="1:5" ht="15.75" thickBot="1" x14ac:dyDescent="0.3">
      <c r="A399" s="13" t="s">
        <v>38</v>
      </c>
      <c r="B399" s="14">
        <f>B287+B247+B108+B67</f>
        <v>420</v>
      </c>
      <c r="C399" s="14">
        <f>C287+C247+C108+C67</f>
        <v>420</v>
      </c>
      <c r="D399" s="14">
        <f>D287+D247+D108+D67</f>
        <v>420</v>
      </c>
      <c r="E399" s="14">
        <f>E287+E247+E108+E67</f>
        <v>420</v>
      </c>
    </row>
    <row r="400" spans="1:5" ht="24.75" thickBot="1" x14ac:dyDescent="0.3">
      <c r="A400" s="28" t="s">
        <v>91</v>
      </c>
      <c r="B400" s="15"/>
      <c r="C400" s="29">
        <f>C399/B399-1</f>
        <v>0</v>
      </c>
      <c r="D400" s="29">
        <f>D399/C399-1</f>
        <v>0</v>
      </c>
      <c r="E400" s="29">
        <f>E399/D399-1</f>
        <v>0</v>
      </c>
    </row>
    <row r="401" spans="1:5" ht="15.75" thickBot="1" x14ac:dyDescent="0.3">
      <c r="A401" s="13" t="s">
        <v>92</v>
      </c>
      <c r="B401" s="14">
        <f>B133+B154+B177+B198+B312+B333+B356+B377</f>
        <v>0</v>
      </c>
      <c r="C401" s="14">
        <f>C133+C154+C177+C198+C312+C333+C356+C377</f>
        <v>0</v>
      </c>
      <c r="D401" s="14">
        <f>D133+D154+D177+D198+D312+D333+D356+D377</f>
        <v>0</v>
      </c>
      <c r="E401" s="14">
        <f>E133+E154+E177+E198+E312+E333+E356+E377</f>
        <v>0</v>
      </c>
    </row>
    <row r="402" spans="1:5" ht="15.75" thickBot="1" x14ac:dyDescent="0.3">
      <c r="A402" s="28" t="s">
        <v>93</v>
      </c>
      <c r="B402" s="15"/>
      <c r="C402" s="29" t="e">
        <f>C401/B401-1</f>
        <v>#DIV/0!</v>
      </c>
      <c r="D402" s="29" t="e">
        <f>D401/C401-1</f>
        <v>#DIV/0!</v>
      </c>
      <c r="E402" s="29" t="e">
        <f>E401/D401-1</f>
        <v>#DIV/0!</v>
      </c>
    </row>
    <row r="403" spans="1:5" ht="15.75" thickBot="1" x14ac:dyDescent="0.3">
      <c r="A403" s="13" t="s">
        <v>94</v>
      </c>
      <c r="B403" s="14">
        <f>B134+B155+B178+B199+B313+B334+B357+B378</f>
        <v>2000</v>
      </c>
      <c r="C403" s="14">
        <f>C134+C155+C178+C199+C313+C334+C357+C378</f>
        <v>2000</v>
      </c>
      <c r="D403" s="14">
        <f>D134+D155+D178+D199+D313+D334+D357+D378</f>
        <v>2000</v>
      </c>
      <c r="E403" s="14">
        <f>E134+E155+E178+E199+E313+E334+E357+E378</f>
        <v>2000</v>
      </c>
    </row>
    <row r="404" spans="1:5" ht="15.75" thickBot="1" x14ac:dyDescent="0.3">
      <c r="A404" s="28" t="s">
        <v>95</v>
      </c>
      <c r="B404" s="15"/>
      <c r="C404" s="29">
        <f>C403/B403-1</f>
        <v>0</v>
      </c>
      <c r="D404" s="29">
        <f>D403/C403-1</f>
        <v>0</v>
      </c>
      <c r="E404" s="29">
        <f>E403/D403-1</f>
        <v>0</v>
      </c>
    </row>
    <row r="405" spans="1:5" x14ac:dyDescent="0.25">
      <c r="A405" s="1306" t="s">
        <v>871</v>
      </c>
      <c r="B405" s="1309"/>
      <c r="C405" s="1309"/>
      <c r="D405" s="1309"/>
      <c r="E405" s="1310"/>
    </row>
    <row r="406" spans="1:5" x14ac:dyDescent="0.25">
      <c r="A406" s="1307"/>
      <c r="B406" s="1311"/>
      <c r="C406" s="1311"/>
      <c r="D406" s="1311"/>
      <c r="E406" s="1312"/>
    </row>
    <row r="407" spans="1:5" ht="3" customHeight="1" thickBot="1" x14ac:dyDescent="0.3">
      <c r="A407" s="1308"/>
      <c r="B407" s="1313"/>
      <c r="C407" s="1313"/>
      <c r="D407" s="1313"/>
      <c r="E407" s="1314"/>
    </row>
    <row r="408" spans="1:5" ht="15.75" thickBot="1" x14ac:dyDescent="0.3">
      <c r="A408" s="17" t="s">
        <v>41</v>
      </c>
      <c r="B408" s="18">
        <f>IF(B385-B384=0,0,"Error")</f>
        <v>0</v>
      </c>
      <c r="C408" s="18">
        <f>IF(C385-C384=0,0,"Error")</f>
        <v>0</v>
      </c>
      <c r="D408" s="18">
        <f>IF(D385-D384=0,0,"Error")</f>
        <v>0</v>
      </c>
      <c r="E408" s="18">
        <f>IF(E385-E384=0,0,"Error")</f>
        <v>0</v>
      </c>
    </row>
    <row r="409" spans="1:5" ht="24.75" thickBot="1" x14ac:dyDescent="0.3">
      <c r="A409" s="30" t="s">
        <v>96</v>
      </c>
      <c r="B409" s="14" t="s">
        <v>23</v>
      </c>
      <c r="C409" s="14" t="s">
        <v>23</v>
      </c>
      <c r="D409" s="14" t="s">
        <v>23</v>
      </c>
      <c r="E409" s="14" t="s">
        <v>23</v>
      </c>
    </row>
    <row r="410" spans="1:5" ht="24.75" thickBot="1" x14ac:dyDescent="0.3">
      <c r="A410" s="30" t="s">
        <v>97</v>
      </c>
      <c r="B410" s="14" t="s">
        <v>23</v>
      </c>
      <c r="C410" s="14" t="s">
        <v>23</v>
      </c>
      <c r="D410" s="14" t="s">
        <v>23</v>
      </c>
      <c r="E410" s="14" t="s">
        <v>23</v>
      </c>
    </row>
  </sheetData>
  <mergeCells count="139">
    <mergeCell ref="A331:A332"/>
    <mergeCell ref="A336:A338"/>
    <mergeCell ref="B336:E338"/>
    <mergeCell ref="A339:E339"/>
    <mergeCell ref="B318:E318"/>
    <mergeCell ref="A330:E330"/>
    <mergeCell ref="B359:E361"/>
    <mergeCell ref="A380:A382"/>
    <mergeCell ref="B380:E382"/>
    <mergeCell ref="B362:E362"/>
    <mergeCell ref="B363:E363"/>
    <mergeCell ref="B364:E364"/>
    <mergeCell ref="B365:E365"/>
    <mergeCell ref="A366:A367"/>
    <mergeCell ref="A374:E374"/>
    <mergeCell ref="A375:A376"/>
    <mergeCell ref="A340:E340"/>
    <mergeCell ref="B341:E341"/>
    <mergeCell ref="B342:E342"/>
    <mergeCell ref="B343:E343"/>
    <mergeCell ref="A345:A346"/>
    <mergeCell ref="A353:E353"/>
    <mergeCell ref="A354:A355"/>
    <mergeCell ref="A359:A361"/>
    <mergeCell ref="B344:E344"/>
    <mergeCell ref="B319:E319"/>
    <mergeCell ref="B320:E320"/>
    <mergeCell ref="B321:E321"/>
    <mergeCell ref="A322:A323"/>
    <mergeCell ref="B73:E73"/>
    <mergeCell ref="A295:E295"/>
    <mergeCell ref="B299:E299"/>
    <mergeCell ref="B300:E300"/>
    <mergeCell ref="A201:A203"/>
    <mergeCell ref="B118:E118"/>
    <mergeCell ref="B163:E163"/>
    <mergeCell ref="B164:E164"/>
    <mergeCell ref="B165:E165"/>
    <mergeCell ref="A166:A167"/>
    <mergeCell ref="A174:E174"/>
    <mergeCell ref="A157:A159"/>
    <mergeCell ref="B157:E159"/>
    <mergeCell ref="A160:E160"/>
    <mergeCell ref="A161:E161"/>
    <mergeCell ref="A224:A225"/>
    <mergeCell ref="A227:A228"/>
    <mergeCell ref="A226:E226"/>
    <mergeCell ref="B119:E119"/>
    <mergeCell ref="A266:E266"/>
    <mergeCell ref="B36:E36"/>
    <mergeCell ref="B35:E35"/>
    <mergeCell ref="B214:E214"/>
    <mergeCell ref="B215:E215"/>
    <mergeCell ref="A251:A253"/>
    <mergeCell ref="B251:E253"/>
    <mergeCell ref="B37:E37"/>
    <mergeCell ref="A116:E116"/>
    <mergeCell ref="A209:E209"/>
    <mergeCell ref="A152:A153"/>
    <mergeCell ref="B121:E121"/>
    <mergeCell ref="A122:A123"/>
    <mergeCell ref="A130:E130"/>
    <mergeCell ref="A131:A132"/>
    <mergeCell ref="B136:E138"/>
    <mergeCell ref="B213:E213"/>
    <mergeCell ref="A87:E87"/>
    <mergeCell ref="B162:E162"/>
    <mergeCell ref="B186:E186"/>
    <mergeCell ref="A187:A188"/>
    <mergeCell ref="A195:E195"/>
    <mergeCell ref="A196:A197"/>
    <mergeCell ref="B257:E257"/>
    <mergeCell ref="B298:E298"/>
    <mergeCell ref="A13:E13"/>
    <mergeCell ref="A216:A217"/>
    <mergeCell ref="A258:A259"/>
    <mergeCell ref="A33:E33"/>
    <mergeCell ref="A46:E46"/>
    <mergeCell ref="A38:A39"/>
    <mergeCell ref="A47:A48"/>
    <mergeCell ref="A80:A81"/>
    <mergeCell ref="A34:E34"/>
    <mergeCell ref="A211:A212"/>
    <mergeCell ref="B120:E120"/>
    <mergeCell ref="B15:E15"/>
    <mergeCell ref="B16:E16"/>
    <mergeCell ref="B17:E17"/>
    <mergeCell ref="A18:E18"/>
    <mergeCell ref="A19:E21"/>
    <mergeCell ref="B22:E22"/>
    <mergeCell ref="A23:A24"/>
    <mergeCell ref="B28:E28"/>
    <mergeCell ref="A117:E117"/>
    <mergeCell ref="B141:E141"/>
    <mergeCell ref="B142:E142"/>
    <mergeCell ref="B185:E185"/>
    <mergeCell ref="A291:A293"/>
    <mergeCell ref="B291:E293"/>
    <mergeCell ref="A72:A74"/>
    <mergeCell ref="B204:E204"/>
    <mergeCell ref="A29:E29"/>
    <mergeCell ref="A205:E205"/>
    <mergeCell ref="A405:A407"/>
    <mergeCell ref="B405:E407"/>
    <mergeCell ref="A267:A268"/>
    <mergeCell ref="A301:A302"/>
    <mergeCell ref="A309:E309"/>
    <mergeCell ref="A310:A311"/>
    <mergeCell ref="A315:A317"/>
    <mergeCell ref="B315:E317"/>
    <mergeCell ref="A296:E296"/>
    <mergeCell ref="B297:E297"/>
    <mergeCell ref="B76:E76"/>
    <mergeCell ref="B77:E77"/>
    <mergeCell ref="B78:E78"/>
    <mergeCell ref="A112:A114"/>
    <mergeCell ref="B112:E114"/>
    <mergeCell ref="A88:A89"/>
    <mergeCell ref="B201:E203"/>
    <mergeCell ref="B256:E256"/>
    <mergeCell ref="B5:E5"/>
    <mergeCell ref="B6:E6"/>
    <mergeCell ref="B7:E7"/>
    <mergeCell ref="C8:E8"/>
    <mergeCell ref="C9:E9"/>
    <mergeCell ref="C10:E10"/>
    <mergeCell ref="A12:E12"/>
    <mergeCell ref="B255:E255"/>
    <mergeCell ref="A143:A144"/>
    <mergeCell ref="B140:E140"/>
    <mergeCell ref="A151:E151"/>
    <mergeCell ref="A175:A176"/>
    <mergeCell ref="A180:A182"/>
    <mergeCell ref="B180:E182"/>
    <mergeCell ref="B183:E183"/>
    <mergeCell ref="B184:E184"/>
    <mergeCell ref="A136:A138"/>
    <mergeCell ref="A210:E210"/>
    <mergeCell ref="B139:E139"/>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I512"/>
  <sheetViews>
    <sheetView view="pageBreakPreview" topLeftCell="A488" zoomScale="60" zoomScaleNormal="120" workbookViewId="0">
      <selection activeCell="M32" sqref="M32"/>
    </sheetView>
  </sheetViews>
  <sheetFormatPr defaultRowHeight="15" x14ac:dyDescent="0.25"/>
  <cols>
    <col min="1" max="1" width="34.5703125" customWidth="1"/>
    <col min="2" max="2" width="25.5703125" customWidth="1"/>
    <col min="3" max="3" width="11.7109375" customWidth="1"/>
    <col min="4" max="4" width="17.42578125" customWidth="1"/>
    <col min="5" max="5" width="15.28515625" bestFit="1" customWidth="1"/>
    <col min="6" max="6" width="11" customWidth="1"/>
    <col min="7" max="7" width="12.140625" bestFit="1" customWidth="1"/>
  </cols>
  <sheetData>
    <row r="1" spans="1:5" x14ac:dyDescent="0.25">
      <c r="A1" s="189" t="s">
        <v>898</v>
      </c>
      <c r="B1" s="188"/>
      <c r="C1" s="188"/>
      <c r="D1" s="188"/>
    </row>
    <row r="2" spans="1:5" ht="15.75" thickBot="1" x14ac:dyDescent="0.3"/>
    <row r="3" spans="1:5" ht="30.75" thickBot="1" x14ac:dyDescent="0.3">
      <c r="A3" s="437" t="s">
        <v>897</v>
      </c>
      <c r="B3" s="1232" t="s">
        <v>1236</v>
      </c>
      <c r="C3" s="1784"/>
      <c r="D3" s="1784"/>
      <c r="E3" s="1785"/>
    </row>
    <row r="4" spans="1:5" ht="30.75" thickBot="1" x14ac:dyDescent="0.3">
      <c r="A4" s="120" t="s">
        <v>895</v>
      </c>
      <c r="B4" s="1786" t="s">
        <v>1235</v>
      </c>
      <c r="C4" s="1787"/>
      <c r="D4" s="1787"/>
      <c r="E4" s="1788"/>
    </row>
    <row r="5" spans="1:5" ht="75" customHeight="1" thickBot="1" x14ac:dyDescent="0.3">
      <c r="A5" s="120" t="s">
        <v>914</v>
      </c>
      <c r="B5" s="1789" t="s">
        <v>1234</v>
      </c>
      <c r="C5" s="1375"/>
      <c r="D5" s="1375"/>
      <c r="E5" s="1376"/>
    </row>
    <row r="6" spans="1:5" ht="16.5" thickBot="1" x14ac:dyDescent="0.3">
      <c r="A6" s="120" t="s">
        <v>891</v>
      </c>
      <c r="B6" s="167" t="s">
        <v>912</v>
      </c>
      <c r="C6" s="1093" t="s">
        <v>7</v>
      </c>
      <c r="D6" s="1093"/>
      <c r="E6" s="1094"/>
    </row>
    <row r="7" spans="1:5" ht="15.75" thickBot="1" x14ac:dyDescent="0.3">
      <c r="A7" s="120" t="s">
        <v>929</v>
      </c>
      <c r="B7" s="187" t="s">
        <v>548</v>
      </c>
      <c r="C7" s="1095" t="s">
        <v>547</v>
      </c>
      <c r="D7" s="1095"/>
      <c r="E7" s="1096"/>
    </row>
    <row r="8" spans="1:5" ht="15.75" thickBot="1" x14ac:dyDescent="0.3">
      <c r="A8" s="120" t="s">
        <v>927</v>
      </c>
      <c r="B8" s="186"/>
      <c r="C8" s="1095"/>
      <c r="D8" s="1095"/>
      <c r="E8" s="1096"/>
    </row>
    <row r="9" spans="1:5" ht="18" customHeight="1" x14ac:dyDescent="0.25">
      <c r="A9" s="1558" t="s">
        <v>948</v>
      </c>
      <c r="B9" s="1558"/>
      <c r="C9" s="1558"/>
      <c r="D9" s="1558"/>
      <c r="E9" s="1558"/>
    </row>
    <row r="10" spans="1:5" ht="15.75" thickBot="1" x14ac:dyDescent="0.3"/>
    <row r="11" spans="1:5" ht="15.75" thickBot="1" x14ac:dyDescent="0.3">
      <c r="A11" s="2" t="s">
        <v>2</v>
      </c>
      <c r="B11" s="1796" t="s">
        <v>547</v>
      </c>
      <c r="C11" s="1263"/>
      <c r="D11" s="1263"/>
      <c r="E11" s="1263"/>
    </row>
    <row r="12" spans="1:5" ht="15.75" thickBot="1" x14ac:dyDescent="0.3">
      <c r="A12" s="2" t="s">
        <v>3</v>
      </c>
      <c r="B12" s="1264" t="s">
        <v>548</v>
      </c>
      <c r="C12" s="1088"/>
      <c r="D12" s="1088"/>
      <c r="E12" s="1089"/>
    </row>
    <row r="13" spans="1:5" ht="15.75" thickBot="1" x14ac:dyDescent="0.3">
      <c r="A13" s="2" t="s">
        <v>5</v>
      </c>
      <c r="B13" s="1265" t="s">
        <v>6</v>
      </c>
      <c r="C13" s="1095"/>
      <c r="D13" s="1095"/>
      <c r="E13" s="1096"/>
    </row>
    <row r="14" spans="1:5" ht="15.75" thickBot="1" x14ac:dyDescent="0.3">
      <c r="A14" s="1266" t="s">
        <v>7</v>
      </c>
      <c r="B14" s="1267"/>
      <c r="C14" s="1267"/>
      <c r="D14" s="1267"/>
      <c r="E14" s="1297"/>
    </row>
    <row r="15" spans="1:5" ht="15.75" thickBot="1" x14ac:dyDescent="0.3">
      <c r="A15" s="1797" t="s">
        <v>549</v>
      </c>
      <c r="B15" s="1798"/>
      <c r="C15" s="1798"/>
      <c r="D15" s="1798"/>
      <c r="E15" s="1799"/>
    </row>
    <row r="16" spans="1:5" ht="36.75" customHeight="1" thickBot="1" x14ac:dyDescent="0.3">
      <c r="A16" s="1797"/>
      <c r="B16" s="1798"/>
      <c r="C16" s="1798"/>
      <c r="D16" s="1798"/>
      <c r="E16" s="1799"/>
    </row>
    <row r="17" spans="1:8" ht="15.75" thickBot="1" x14ac:dyDescent="0.3">
      <c r="A17" s="1797"/>
      <c r="B17" s="1798"/>
      <c r="C17" s="1798"/>
      <c r="D17" s="1798"/>
      <c r="E17" s="1799"/>
    </row>
    <row r="18" spans="1:8" ht="58.15" customHeight="1" thickBot="1" x14ac:dyDescent="0.3">
      <c r="A18" s="3" t="s">
        <v>8</v>
      </c>
      <c r="B18" s="1302" t="s">
        <v>550</v>
      </c>
      <c r="C18" s="1303"/>
      <c r="D18" s="1303"/>
      <c r="E18" s="1304"/>
    </row>
    <row r="19" spans="1:8" ht="23.25" customHeight="1" x14ac:dyDescent="0.25">
      <c r="A19" s="1250" t="s">
        <v>9</v>
      </c>
      <c r="B19" s="245">
        <v>2018</v>
      </c>
      <c r="C19" s="245">
        <v>2019</v>
      </c>
      <c r="D19" s="245">
        <v>2020</v>
      </c>
      <c r="E19" s="245">
        <v>2021</v>
      </c>
    </row>
    <row r="20" spans="1:8" ht="15.75" thickBot="1" x14ac:dyDescent="0.3">
      <c r="A20" s="1251"/>
      <c r="B20" s="244" t="s">
        <v>10</v>
      </c>
      <c r="C20" s="244" t="s">
        <v>11</v>
      </c>
      <c r="D20" s="244" t="s">
        <v>11</v>
      </c>
      <c r="E20" s="244" t="s">
        <v>11</v>
      </c>
    </row>
    <row r="21" spans="1:8" ht="15.75" thickBot="1" x14ac:dyDescent="0.3">
      <c r="A21" s="221" t="s">
        <v>164</v>
      </c>
      <c r="B21" s="4" t="s">
        <v>112</v>
      </c>
      <c r="C21" s="4" t="s">
        <v>113</v>
      </c>
      <c r="D21" s="4" t="s">
        <v>113</v>
      </c>
      <c r="E21" s="4" t="s">
        <v>113</v>
      </c>
    </row>
    <row r="22" spans="1:8" ht="15.75" thickBot="1" x14ac:dyDescent="0.3">
      <c r="A22" s="5" t="s">
        <v>165</v>
      </c>
      <c r="B22" s="4" t="s">
        <v>112</v>
      </c>
      <c r="C22" s="4" t="s">
        <v>113</v>
      </c>
      <c r="D22" s="4" t="s">
        <v>113</v>
      </c>
      <c r="E22" s="4" t="s">
        <v>113</v>
      </c>
    </row>
    <row r="23" spans="1:8" ht="15.75" thickBot="1" x14ac:dyDescent="0.3">
      <c r="A23" s="5" t="s">
        <v>111</v>
      </c>
      <c r="B23" s="4" t="s">
        <v>112</v>
      </c>
      <c r="C23" s="4" t="s">
        <v>113</v>
      </c>
      <c r="D23" s="4" t="s">
        <v>113</v>
      </c>
      <c r="E23" s="4" t="s">
        <v>113</v>
      </c>
    </row>
    <row r="24" spans="1:8" ht="15.75" thickBot="1" x14ac:dyDescent="0.3">
      <c r="A24" s="6" t="s">
        <v>12</v>
      </c>
      <c r="B24" s="1272" t="s">
        <v>551</v>
      </c>
      <c r="C24" s="1270"/>
      <c r="D24" s="1270"/>
      <c r="E24" s="1305"/>
    </row>
    <row r="25" spans="1:8" ht="23.25" customHeight="1" thickBot="1" x14ac:dyDescent="0.3">
      <c r="A25" s="1245" t="s">
        <v>13</v>
      </c>
      <c r="B25" s="1246"/>
      <c r="C25" s="1246"/>
      <c r="D25" s="1246"/>
      <c r="E25" s="1298"/>
      <c r="F25" s="35"/>
      <c r="H25" s="35"/>
    </row>
    <row r="26" spans="1:8" ht="23.25" thickBot="1" x14ac:dyDescent="0.3">
      <c r="A26" s="221" t="s">
        <v>552</v>
      </c>
      <c r="B26" s="4">
        <v>1</v>
      </c>
      <c r="C26" s="4">
        <v>1</v>
      </c>
      <c r="D26" s="4">
        <v>1</v>
      </c>
      <c r="E26" s="4">
        <v>1</v>
      </c>
    </row>
    <row r="27" spans="1:8" ht="15.75" thickBot="1" x14ac:dyDescent="0.3">
      <c r="A27" s="5" t="s">
        <v>165</v>
      </c>
      <c r="B27" s="4" t="s">
        <v>112</v>
      </c>
      <c r="C27" s="4" t="s">
        <v>113</v>
      </c>
      <c r="D27" s="4" t="s">
        <v>113</v>
      </c>
      <c r="E27" s="4" t="s">
        <v>113</v>
      </c>
    </row>
    <row r="28" spans="1:8" ht="15.75" thickBot="1" x14ac:dyDescent="0.3">
      <c r="A28" s="5" t="s">
        <v>111</v>
      </c>
      <c r="B28" s="4" t="s">
        <v>112</v>
      </c>
      <c r="C28" s="4" t="s">
        <v>113</v>
      </c>
      <c r="D28" s="4" t="s">
        <v>113</v>
      </c>
      <c r="E28" s="4" t="s">
        <v>113</v>
      </c>
    </row>
    <row r="29" spans="1:8" ht="15.75" thickBot="1" x14ac:dyDescent="0.3">
      <c r="A29" s="1273" t="s">
        <v>14</v>
      </c>
      <c r="B29" s="1274"/>
      <c r="C29" s="1274"/>
      <c r="D29" s="1274"/>
      <c r="E29" s="1299"/>
    </row>
    <row r="30" spans="1:8" ht="15.75" thickBot="1" x14ac:dyDescent="0.3">
      <c r="A30" s="1275" t="s">
        <v>15</v>
      </c>
      <c r="B30" s="1276"/>
      <c r="C30" s="1276"/>
      <c r="D30" s="1276"/>
      <c r="E30" s="1317"/>
    </row>
    <row r="31" spans="1:8" ht="15.75" thickBot="1" x14ac:dyDescent="0.3">
      <c r="A31" s="7" t="s">
        <v>16</v>
      </c>
      <c r="B31" s="1243" t="s">
        <v>553</v>
      </c>
      <c r="C31" s="1244"/>
      <c r="D31" s="1244"/>
      <c r="E31" s="1315"/>
    </row>
    <row r="32" spans="1:8" ht="154.9" customHeight="1" thickBot="1" x14ac:dyDescent="0.3">
      <c r="A32" s="5" t="s">
        <v>17</v>
      </c>
      <c r="B32" s="1772" t="s">
        <v>554</v>
      </c>
      <c r="C32" s="1773"/>
      <c r="D32" s="1773"/>
      <c r="E32" s="1774"/>
    </row>
    <row r="33" spans="1:9" ht="15.75" thickBot="1" x14ac:dyDescent="0.3">
      <c r="A33" s="5" t="s">
        <v>18</v>
      </c>
      <c r="B33" s="1326" t="s">
        <v>1233</v>
      </c>
      <c r="C33" s="1327"/>
      <c r="D33" s="1327"/>
      <c r="E33" s="1328"/>
    </row>
    <row r="34" spans="1:9" ht="12.75" customHeight="1" x14ac:dyDescent="0.25">
      <c r="A34" s="1250"/>
      <c r="B34" s="8">
        <v>2018</v>
      </c>
      <c r="C34" s="8">
        <v>2019</v>
      </c>
      <c r="D34" s="8">
        <v>2020</v>
      </c>
      <c r="E34" s="8">
        <v>2021</v>
      </c>
    </row>
    <row r="35" spans="1:9" ht="9" customHeight="1" thickBot="1" x14ac:dyDescent="0.3">
      <c r="A35" s="1251"/>
      <c r="B35" s="9" t="s">
        <v>10</v>
      </c>
      <c r="C35" s="9" t="s">
        <v>11</v>
      </c>
      <c r="D35" s="9" t="s">
        <v>11</v>
      </c>
      <c r="E35" s="9" t="s">
        <v>11</v>
      </c>
    </row>
    <row r="36" spans="1:9" ht="15.75" thickBot="1" x14ac:dyDescent="0.3">
      <c r="A36" s="5" t="s">
        <v>19</v>
      </c>
      <c r="B36" s="10">
        <v>200</v>
      </c>
      <c r="C36" s="10">
        <v>200</v>
      </c>
      <c r="D36" s="10">
        <v>200</v>
      </c>
      <c r="E36" s="10">
        <v>200</v>
      </c>
    </row>
    <row r="37" spans="1:9" ht="15.75" thickBot="1" x14ac:dyDescent="0.3">
      <c r="A37" s="5" t="s">
        <v>20</v>
      </c>
      <c r="B37" s="10">
        <f>B66</f>
        <v>177200</v>
      </c>
      <c r="C37" s="10">
        <f>C66</f>
        <v>175000</v>
      </c>
      <c r="D37" s="10">
        <f>D66</f>
        <v>175000</v>
      </c>
      <c r="E37" s="10">
        <f>E66</f>
        <v>175000</v>
      </c>
    </row>
    <row r="38" spans="1:9" ht="15.75" thickBot="1" x14ac:dyDescent="0.3">
      <c r="A38" s="5" t="s">
        <v>21</v>
      </c>
      <c r="B38" s="10">
        <f>B37/B36</f>
        <v>886</v>
      </c>
      <c r="C38" s="10">
        <f>C37/C36</f>
        <v>875</v>
      </c>
      <c r="D38" s="10">
        <f>D37/D36</f>
        <v>875</v>
      </c>
      <c r="E38" s="10">
        <f>E37/E36</f>
        <v>875</v>
      </c>
    </row>
    <row r="39" spans="1:9" ht="15.75" thickBot="1" x14ac:dyDescent="0.3">
      <c r="A39" s="5" t="s">
        <v>22</v>
      </c>
      <c r="B39" s="225" t="s">
        <v>23</v>
      </c>
      <c r="C39" s="11">
        <f t="shared" ref="C39:E41" si="0">C36/B36-1</f>
        <v>0</v>
      </c>
      <c r="D39" s="11">
        <f t="shared" si="0"/>
        <v>0</v>
      </c>
      <c r="E39" s="11">
        <f t="shared" si="0"/>
        <v>0</v>
      </c>
      <c r="F39" s="12"/>
      <c r="G39" s="12"/>
      <c r="H39" s="12"/>
      <c r="I39" s="12"/>
    </row>
    <row r="40" spans="1:9" ht="15.75" thickBot="1" x14ac:dyDescent="0.3">
      <c r="A40" s="5" t="s">
        <v>24</v>
      </c>
      <c r="B40" s="225" t="s">
        <v>23</v>
      </c>
      <c r="C40" s="11">
        <f t="shared" si="0"/>
        <v>-1.241534988713322E-2</v>
      </c>
      <c r="D40" s="11">
        <f t="shared" si="0"/>
        <v>0</v>
      </c>
      <c r="E40" s="11">
        <f t="shared" si="0"/>
        <v>0</v>
      </c>
    </row>
    <row r="41" spans="1:9" ht="15.75" thickBot="1" x14ac:dyDescent="0.3">
      <c r="A41" s="5" t="s">
        <v>25</v>
      </c>
      <c r="B41" s="225" t="s">
        <v>23</v>
      </c>
      <c r="C41" s="11">
        <f t="shared" si="0"/>
        <v>-1.241534988713322E-2</v>
      </c>
      <c r="D41" s="11">
        <f t="shared" si="0"/>
        <v>0</v>
      </c>
      <c r="E41" s="11">
        <f t="shared" si="0"/>
        <v>0</v>
      </c>
    </row>
    <row r="42" spans="1:9" ht="15.75" thickBot="1" x14ac:dyDescent="0.3">
      <c r="A42" s="1790" t="s">
        <v>633</v>
      </c>
      <c r="B42" s="1791"/>
      <c r="C42" s="1791"/>
      <c r="D42" s="1791"/>
      <c r="E42" s="1792"/>
    </row>
    <row r="43" spans="1:9" ht="12.75" customHeight="1" x14ac:dyDescent="0.25">
      <c r="A43" s="1250"/>
      <c r="B43" s="8">
        <v>2018</v>
      </c>
      <c r="C43" s="8">
        <v>2019</v>
      </c>
      <c r="D43" s="8">
        <v>2020</v>
      </c>
      <c r="E43" s="8">
        <v>2021</v>
      </c>
    </row>
    <row r="44" spans="1:9" ht="9" customHeight="1" thickBot="1" x14ac:dyDescent="0.3">
      <c r="A44" s="1251"/>
      <c r="B44" s="9" t="s">
        <v>10</v>
      </c>
      <c r="C44" s="9" t="s">
        <v>11</v>
      </c>
      <c r="D44" s="9" t="s">
        <v>11</v>
      </c>
      <c r="E44" s="9" t="s">
        <v>11</v>
      </c>
    </row>
    <row r="45" spans="1:9" ht="15.75" thickBot="1" x14ac:dyDescent="0.3">
      <c r="A45" s="13" t="s">
        <v>26</v>
      </c>
      <c r="B45" s="14">
        <f>141300-7000</f>
        <v>134300</v>
      </c>
      <c r="C45" s="14">
        <f>11000*12</f>
        <v>132000</v>
      </c>
      <c r="D45" s="14">
        <f>11000*12</f>
        <v>132000</v>
      </c>
      <c r="E45" s="14">
        <f>11000*12</f>
        <v>132000</v>
      </c>
    </row>
    <row r="46" spans="1:9" ht="24.75" thickBot="1" x14ac:dyDescent="0.3">
      <c r="A46" s="28" t="s">
        <v>27</v>
      </c>
      <c r="B46" s="15"/>
      <c r="C46" s="141"/>
      <c r="D46" s="141"/>
      <c r="E46" s="141"/>
    </row>
    <row r="47" spans="1:9" ht="24.75" thickBot="1" x14ac:dyDescent="0.3">
      <c r="A47" s="28" t="s">
        <v>863</v>
      </c>
      <c r="B47" s="15"/>
      <c r="C47" s="29"/>
      <c r="D47" s="29"/>
      <c r="E47" s="29"/>
    </row>
    <row r="48" spans="1:9" ht="15.75" thickBot="1" x14ac:dyDescent="0.3">
      <c r="A48" s="13" t="s">
        <v>28</v>
      </c>
      <c r="B48" s="14">
        <v>10900</v>
      </c>
      <c r="C48" s="14">
        <v>11000</v>
      </c>
      <c r="D48" s="14">
        <v>11000</v>
      </c>
      <c r="E48" s="14">
        <v>11000</v>
      </c>
    </row>
    <row r="49" spans="1:5" ht="36.75" thickBot="1" x14ac:dyDescent="0.3">
      <c r="A49" s="28" t="s">
        <v>29</v>
      </c>
      <c r="B49" s="15"/>
      <c r="C49" s="14"/>
      <c r="D49" s="14"/>
      <c r="E49" s="14"/>
    </row>
    <row r="50" spans="1:5" ht="36.75" thickBot="1" x14ac:dyDescent="0.3">
      <c r="A50" s="28" t="s">
        <v>864</v>
      </c>
      <c r="B50" s="15"/>
      <c r="C50" s="14"/>
      <c r="D50" s="14"/>
      <c r="E50" s="14"/>
    </row>
    <row r="51" spans="1:5" ht="15.75" thickBot="1" x14ac:dyDescent="0.3">
      <c r="A51" s="13" t="s">
        <v>30</v>
      </c>
      <c r="B51" s="15">
        <v>32000</v>
      </c>
      <c r="C51" s="14">
        <f>C52+C53</f>
        <v>32000</v>
      </c>
      <c r="D51" s="14">
        <f>D52+D53</f>
        <v>32000</v>
      </c>
      <c r="E51" s="14">
        <f>E52+E53</f>
        <v>32000</v>
      </c>
    </row>
    <row r="52" spans="1:5" ht="24.75" thickBot="1" x14ac:dyDescent="0.3">
      <c r="A52" s="28" t="s">
        <v>31</v>
      </c>
      <c r="B52" s="15"/>
      <c r="C52" s="14">
        <v>32000</v>
      </c>
      <c r="D52" s="14">
        <v>32000</v>
      </c>
      <c r="E52" s="14">
        <v>32000</v>
      </c>
    </row>
    <row r="53" spans="1:5" ht="24.75" thickBot="1" x14ac:dyDescent="0.3">
      <c r="A53" s="28" t="s">
        <v>865</v>
      </c>
      <c r="B53" s="15"/>
      <c r="C53" s="14">
        <v>0</v>
      </c>
      <c r="D53" s="14">
        <v>0</v>
      </c>
      <c r="E53" s="14">
        <v>0</v>
      </c>
    </row>
    <row r="54" spans="1:5" ht="15.75" thickBot="1" x14ac:dyDescent="0.3">
      <c r="A54" s="13" t="s">
        <v>32</v>
      </c>
      <c r="B54" s="15"/>
      <c r="C54" s="14"/>
      <c r="D54" s="14"/>
      <c r="E54" s="14"/>
    </row>
    <row r="55" spans="1:5" ht="24.75" thickBot="1" x14ac:dyDescent="0.3">
      <c r="A55" s="28" t="s">
        <v>33</v>
      </c>
      <c r="B55" s="15"/>
      <c r="C55" s="14"/>
      <c r="D55" s="14"/>
      <c r="E55" s="14"/>
    </row>
    <row r="56" spans="1:5" ht="24.75" thickBot="1" x14ac:dyDescent="0.3">
      <c r="A56" s="28" t="s">
        <v>866</v>
      </c>
      <c r="B56" s="15"/>
      <c r="C56" s="14"/>
      <c r="D56" s="14"/>
      <c r="E56" s="14"/>
    </row>
    <row r="57" spans="1:5" ht="15.75" thickBot="1" x14ac:dyDescent="0.3">
      <c r="A57" s="13" t="s">
        <v>34</v>
      </c>
      <c r="B57" s="15"/>
      <c r="C57" s="14"/>
      <c r="D57" s="14"/>
      <c r="E57" s="14"/>
    </row>
    <row r="58" spans="1:5" ht="24.75" thickBot="1" x14ac:dyDescent="0.3">
      <c r="A58" s="28" t="s">
        <v>35</v>
      </c>
      <c r="B58" s="15"/>
      <c r="C58" s="14"/>
      <c r="D58" s="14"/>
      <c r="E58" s="14"/>
    </row>
    <row r="59" spans="1:5" ht="24.75" thickBot="1" x14ac:dyDescent="0.3">
      <c r="A59" s="28" t="s">
        <v>867</v>
      </c>
      <c r="B59" s="15"/>
      <c r="C59" s="14"/>
      <c r="D59" s="14"/>
      <c r="E59" s="14"/>
    </row>
    <row r="60" spans="1:5" ht="15.75" thickBot="1" x14ac:dyDescent="0.3">
      <c r="A60" s="13" t="s">
        <v>36</v>
      </c>
      <c r="B60" s="15"/>
      <c r="C60" s="14"/>
      <c r="D60" s="14"/>
      <c r="E60" s="14"/>
    </row>
    <row r="61" spans="1:5" ht="24.75" thickBot="1" x14ac:dyDescent="0.3">
      <c r="A61" s="28" t="s">
        <v>37</v>
      </c>
      <c r="B61" s="15"/>
      <c r="C61" s="14"/>
      <c r="D61" s="14"/>
      <c r="E61" s="14"/>
    </row>
    <row r="62" spans="1:5" ht="24.75" thickBot="1" x14ac:dyDescent="0.3">
      <c r="A62" s="28" t="s">
        <v>868</v>
      </c>
      <c r="B62" s="15"/>
      <c r="C62" s="14"/>
      <c r="D62" s="14"/>
      <c r="E62" s="14"/>
    </row>
    <row r="63" spans="1:5" ht="15.75" thickBot="1" x14ac:dyDescent="0.3">
      <c r="A63" s="13" t="s">
        <v>38</v>
      </c>
      <c r="B63" s="15"/>
      <c r="C63" s="14"/>
      <c r="D63" s="14"/>
      <c r="E63" s="14"/>
    </row>
    <row r="64" spans="1:5" ht="24.75" thickBot="1" x14ac:dyDescent="0.3">
      <c r="A64" s="28" t="s">
        <v>39</v>
      </c>
      <c r="B64" s="15"/>
      <c r="C64" s="14"/>
      <c r="D64" s="14"/>
      <c r="E64" s="14"/>
    </row>
    <row r="65" spans="1:5" ht="36.75" thickBot="1" x14ac:dyDescent="0.3">
      <c r="A65" s="28" t="s">
        <v>869</v>
      </c>
      <c r="B65" s="15"/>
      <c r="C65" s="14"/>
      <c r="D65" s="14"/>
      <c r="E65" s="14"/>
    </row>
    <row r="66" spans="1:5" ht="15.75" thickBot="1" x14ac:dyDescent="0.3">
      <c r="A66" s="16" t="s">
        <v>40</v>
      </c>
      <c r="B66" s="15">
        <f>B63+B60+B57+B54+B51+B48+B45</f>
        <v>177200</v>
      </c>
      <c r="C66" s="15">
        <f>C63+C60+C57+C54+C51+C48+C45</f>
        <v>175000</v>
      </c>
      <c r="D66" s="15">
        <f>D63+D60+D57+D54+D51+D48+D45</f>
        <v>175000</v>
      </c>
      <c r="E66" s="15">
        <f>E63+E60+E57+E54+E51+E48+E45</f>
        <v>175000</v>
      </c>
    </row>
    <row r="67" spans="1:5" x14ac:dyDescent="0.25">
      <c r="A67" s="1254" t="s">
        <v>870</v>
      </c>
      <c r="B67" s="1322" t="s">
        <v>1232</v>
      </c>
      <c r="C67" s="1289"/>
      <c r="D67" s="1289"/>
      <c r="E67" s="1290"/>
    </row>
    <row r="68" spans="1:5" x14ac:dyDescent="0.25">
      <c r="A68" s="1255"/>
      <c r="B68" s="1291"/>
      <c r="C68" s="1292"/>
      <c r="D68" s="1292"/>
      <c r="E68" s="1293"/>
    </row>
    <row r="69" spans="1:5" ht="15.75" thickBot="1" x14ac:dyDescent="0.3">
      <c r="A69" s="1256"/>
      <c r="B69" s="1294"/>
      <c r="C69" s="1295"/>
      <c r="D69" s="1295"/>
      <c r="E69" s="1296"/>
    </row>
    <row r="70" spans="1:5" ht="15.75" thickBot="1" x14ac:dyDescent="0.3">
      <c r="A70" s="17" t="s">
        <v>41</v>
      </c>
      <c r="B70" s="18">
        <f>IF(B66-B37=0,0,"Error")</f>
        <v>0</v>
      </c>
      <c r="C70" s="18">
        <f>IF(C66-C37=0,0,"Error")</f>
        <v>0</v>
      </c>
      <c r="D70" s="18">
        <f>IF(D66-D37=0,0,"Error")</f>
        <v>0</v>
      </c>
      <c r="E70" s="18">
        <f>IF(E66-E37=0,0,"Error")</f>
        <v>0</v>
      </c>
    </row>
    <row r="71" spans="1:5" ht="15.75" thickBot="1" x14ac:dyDescent="0.3">
      <c r="A71" s="1275" t="s">
        <v>55</v>
      </c>
      <c r="B71" s="1276"/>
      <c r="C71" s="1276"/>
      <c r="D71" s="1276"/>
      <c r="E71" s="1317"/>
    </row>
    <row r="72" spans="1:5" ht="15.75" thickBot="1" x14ac:dyDescent="0.3">
      <c r="A72" s="1275" t="s">
        <v>56</v>
      </c>
      <c r="B72" s="1276"/>
      <c r="C72" s="1276"/>
      <c r="D72" s="1276"/>
      <c r="E72" s="1317"/>
    </row>
    <row r="73" spans="1:5" ht="15.75" thickBot="1" x14ac:dyDescent="0.3">
      <c r="A73" s="436" t="s">
        <v>1231</v>
      </c>
      <c r="B73" s="1793" t="s">
        <v>601</v>
      </c>
      <c r="C73" s="1794"/>
      <c r="D73" s="1794"/>
      <c r="E73" s="1795"/>
    </row>
    <row r="74" spans="1:5" ht="15.75" thickBot="1" x14ac:dyDescent="0.3">
      <c r="A74" s="7" t="s">
        <v>16</v>
      </c>
      <c r="B74" s="1248" t="s">
        <v>1230</v>
      </c>
      <c r="C74" s="1249"/>
      <c r="D74" s="1249"/>
      <c r="E74" s="1316"/>
    </row>
    <row r="75" spans="1:5" ht="17.25" customHeight="1" thickBot="1" x14ac:dyDescent="0.3">
      <c r="A75" s="5" t="s">
        <v>17</v>
      </c>
      <c r="B75" s="1248" t="s">
        <v>1229</v>
      </c>
      <c r="C75" s="1249"/>
      <c r="D75" s="1249"/>
      <c r="E75" s="1316"/>
    </row>
    <row r="76" spans="1:5" ht="15.75" thickBot="1" x14ac:dyDescent="0.3">
      <c r="A76" s="5" t="s">
        <v>18</v>
      </c>
      <c r="B76" s="1248" t="s">
        <v>1228</v>
      </c>
      <c r="C76" s="1249"/>
      <c r="D76" s="1249"/>
      <c r="E76" s="1316"/>
    </row>
    <row r="77" spans="1:5" ht="12.75" customHeight="1" x14ac:dyDescent="0.25">
      <c r="A77" s="1250"/>
      <c r="B77" s="8">
        <v>2018</v>
      </c>
      <c r="C77" s="8">
        <v>2019</v>
      </c>
      <c r="D77" s="8">
        <v>2020</v>
      </c>
      <c r="E77" s="8">
        <v>2021</v>
      </c>
    </row>
    <row r="78" spans="1:5" ht="9" customHeight="1" thickBot="1" x14ac:dyDescent="0.3">
      <c r="A78" s="1251"/>
      <c r="B78" s="9" t="s">
        <v>10</v>
      </c>
      <c r="C78" s="9" t="s">
        <v>11</v>
      </c>
      <c r="D78" s="9" t="s">
        <v>11</v>
      </c>
      <c r="E78" s="9" t="s">
        <v>11</v>
      </c>
    </row>
    <row r="79" spans="1:5" ht="15.75" thickBot="1" x14ac:dyDescent="0.3">
      <c r="A79" s="5" t="s">
        <v>19</v>
      </c>
      <c r="B79" s="10">
        <v>9</v>
      </c>
      <c r="C79" s="10">
        <v>0</v>
      </c>
      <c r="D79" s="10">
        <v>0</v>
      </c>
      <c r="E79" s="10">
        <v>0</v>
      </c>
    </row>
    <row r="80" spans="1:5" ht="15.75" thickBot="1" x14ac:dyDescent="0.3">
      <c r="A80" s="5" t="s">
        <v>20</v>
      </c>
      <c r="B80" s="10">
        <f>B89</f>
        <v>400</v>
      </c>
      <c r="C80" s="10">
        <f>C89</f>
        <v>0</v>
      </c>
      <c r="D80" s="10">
        <f>D89</f>
        <v>0</v>
      </c>
      <c r="E80" s="10">
        <f>E89</f>
        <v>0</v>
      </c>
    </row>
    <row r="81" spans="1:9" ht="15.75" thickBot="1" x14ac:dyDescent="0.3">
      <c r="A81" s="5" t="s">
        <v>21</v>
      </c>
      <c r="B81" s="10">
        <f>B80/B79</f>
        <v>44.444444444444443</v>
      </c>
      <c r="C81" s="10" t="e">
        <f>C80/C79</f>
        <v>#DIV/0!</v>
      </c>
      <c r="D81" s="10" t="e">
        <f>D80/D79</f>
        <v>#DIV/0!</v>
      </c>
      <c r="E81" s="10" t="e">
        <f>E80/E79</f>
        <v>#DIV/0!</v>
      </c>
    </row>
    <row r="82" spans="1:9" ht="15.75" thickBot="1" x14ac:dyDescent="0.3">
      <c r="A82" s="5" t="s">
        <v>22</v>
      </c>
      <c r="B82" s="225" t="s">
        <v>23</v>
      </c>
      <c r="C82" s="11">
        <f t="shared" ref="C82:E84" si="1">C79/B79-1</f>
        <v>-1</v>
      </c>
      <c r="D82" s="11" t="e">
        <f t="shared" si="1"/>
        <v>#DIV/0!</v>
      </c>
      <c r="E82" s="11" t="e">
        <f t="shared" si="1"/>
        <v>#DIV/0!</v>
      </c>
      <c r="F82" s="12"/>
      <c r="G82" s="12"/>
      <c r="H82" s="12"/>
      <c r="I82" s="12"/>
    </row>
    <row r="83" spans="1:9" ht="15.75" thickBot="1" x14ac:dyDescent="0.3">
      <c r="A83" s="5" t="s">
        <v>24</v>
      </c>
      <c r="B83" s="225" t="s">
        <v>23</v>
      </c>
      <c r="C83" s="11">
        <f t="shared" si="1"/>
        <v>-1</v>
      </c>
      <c r="D83" s="11" t="e">
        <f t="shared" si="1"/>
        <v>#DIV/0!</v>
      </c>
      <c r="E83" s="11" t="e">
        <f t="shared" si="1"/>
        <v>#DIV/0!</v>
      </c>
    </row>
    <row r="84" spans="1:9" ht="15.75" thickBot="1" x14ac:dyDescent="0.3">
      <c r="A84" s="5" t="s">
        <v>25</v>
      </c>
      <c r="B84" s="225" t="s">
        <v>23</v>
      </c>
      <c r="C84" s="11" t="e">
        <f t="shared" si="1"/>
        <v>#DIV/0!</v>
      </c>
      <c r="D84" s="11" t="e">
        <f t="shared" si="1"/>
        <v>#DIV/0!</v>
      </c>
      <c r="E84" s="11" t="e">
        <f t="shared" si="1"/>
        <v>#DIV/0!</v>
      </c>
    </row>
    <row r="85" spans="1:9" ht="15.75" thickBot="1" x14ac:dyDescent="0.3">
      <c r="A85" s="1252" t="s">
        <v>633</v>
      </c>
      <c r="B85" s="1253"/>
      <c r="C85" s="1253"/>
      <c r="D85" s="1253"/>
      <c r="E85" s="1300"/>
    </row>
    <row r="86" spans="1:9" ht="12.75" customHeight="1" x14ac:dyDescent="0.25">
      <c r="A86" s="1250"/>
      <c r="B86" s="8">
        <v>2018</v>
      </c>
      <c r="C86" s="8">
        <v>2019</v>
      </c>
      <c r="D86" s="8">
        <v>2020</v>
      </c>
      <c r="E86" s="8">
        <v>2021</v>
      </c>
    </row>
    <row r="87" spans="1:9" ht="9" customHeight="1" thickBot="1" x14ac:dyDescent="0.3">
      <c r="A87" s="1251"/>
      <c r="B87" s="9" t="s">
        <v>10</v>
      </c>
      <c r="C87" s="9" t="s">
        <v>11</v>
      </c>
      <c r="D87" s="9" t="s">
        <v>11</v>
      </c>
      <c r="E87" s="9" t="s">
        <v>11</v>
      </c>
    </row>
    <row r="88" spans="1:9" ht="15.75" thickBot="1" x14ac:dyDescent="0.3">
      <c r="A88" s="13" t="s">
        <v>58</v>
      </c>
      <c r="B88" s="14"/>
      <c r="C88" s="14"/>
      <c r="D88" s="14"/>
      <c r="E88" s="14"/>
    </row>
    <row r="89" spans="1:9" ht="15.75" thickBot="1" x14ac:dyDescent="0.3">
      <c r="A89" s="13" t="s">
        <v>59</v>
      </c>
      <c r="B89" s="15">
        <v>400</v>
      </c>
      <c r="C89" s="60">
        <v>0</v>
      </c>
      <c r="D89" s="60">
        <v>0</v>
      </c>
      <c r="E89" s="60">
        <v>0</v>
      </c>
    </row>
    <row r="90" spans="1:9" ht="15.75" thickBot="1" x14ac:dyDescent="0.3">
      <c r="A90" s="16" t="s">
        <v>40</v>
      </c>
      <c r="B90" s="15">
        <f>B89+B88</f>
        <v>400</v>
      </c>
      <c r="C90" s="15">
        <f>C89+C88</f>
        <v>0</v>
      </c>
      <c r="D90" s="15">
        <f>D89+D88</f>
        <v>0</v>
      </c>
      <c r="E90" s="15">
        <f>E89+E88</f>
        <v>0</v>
      </c>
    </row>
    <row r="91" spans="1:9" x14ac:dyDescent="0.25">
      <c r="A91" s="1254" t="s">
        <v>60</v>
      </c>
      <c r="B91" s="1322"/>
      <c r="C91" s="1289"/>
      <c r="D91" s="1289"/>
      <c r="E91" s="1290"/>
    </row>
    <row r="92" spans="1:9" x14ac:dyDescent="0.25">
      <c r="A92" s="1255"/>
      <c r="B92" s="1291"/>
      <c r="C92" s="1292"/>
      <c r="D92" s="1292"/>
      <c r="E92" s="1293"/>
    </row>
    <row r="93" spans="1:9" ht="15.75" thickBot="1" x14ac:dyDescent="0.3">
      <c r="A93" s="1256"/>
      <c r="B93" s="1294"/>
      <c r="C93" s="1295"/>
      <c r="D93" s="1295"/>
      <c r="E93" s="1296"/>
    </row>
    <row r="94" spans="1:9" ht="15.75" thickBot="1" x14ac:dyDescent="0.3">
      <c r="A94" s="436" t="s">
        <v>1212</v>
      </c>
      <c r="B94" s="1793" t="s">
        <v>1227</v>
      </c>
      <c r="C94" s="1794"/>
      <c r="D94" s="1794"/>
      <c r="E94" s="1795"/>
    </row>
    <row r="95" spans="1:9" ht="15.75" thickBot="1" x14ac:dyDescent="0.3">
      <c r="A95" s="7" t="s">
        <v>16</v>
      </c>
      <c r="B95" s="1248" t="s">
        <v>1226</v>
      </c>
      <c r="C95" s="1249"/>
      <c r="D95" s="1249"/>
      <c r="E95" s="1316"/>
    </row>
    <row r="96" spans="1:9" ht="17.25" customHeight="1" thickBot="1" x14ac:dyDescent="0.3">
      <c r="A96" s="5" t="s">
        <v>17</v>
      </c>
      <c r="B96" s="1248" t="s">
        <v>1225</v>
      </c>
      <c r="C96" s="1249"/>
      <c r="D96" s="1249"/>
      <c r="E96" s="1316"/>
    </row>
    <row r="97" spans="1:9" ht="15.75" thickBot="1" x14ac:dyDescent="0.3">
      <c r="A97" s="5" t="s">
        <v>18</v>
      </c>
      <c r="B97" s="1248" t="s">
        <v>1224</v>
      </c>
      <c r="C97" s="1249"/>
      <c r="D97" s="1249"/>
      <c r="E97" s="1316"/>
    </row>
    <row r="98" spans="1:9" ht="12.75" customHeight="1" x14ac:dyDescent="0.25">
      <c r="A98" s="1250"/>
      <c r="B98" s="8">
        <v>2018</v>
      </c>
      <c r="C98" s="8">
        <v>2019</v>
      </c>
      <c r="D98" s="8">
        <v>2020</v>
      </c>
      <c r="E98" s="8">
        <v>2021</v>
      </c>
    </row>
    <row r="99" spans="1:9" ht="9" customHeight="1" thickBot="1" x14ac:dyDescent="0.3">
      <c r="A99" s="1251"/>
      <c r="B99" s="9" t="s">
        <v>10</v>
      </c>
      <c r="C99" s="9" t="s">
        <v>11</v>
      </c>
      <c r="D99" s="9" t="s">
        <v>11</v>
      </c>
      <c r="E99" s="9" t="s">
        <v>11</v>
      </c>
    </row>
    <row r="100" spans="1:9" ht="15.75" thickBot="1" x14ac:dyDescent="0.3">
      <c r="A100" s="5" t="s">
        <v>19</v>
      </c>
      <c r="B100" s="10">
        <v>200</v>
      </c>
      <c r="C100" s="10">
        <v>0</v>
      </c>
      <c r="D100" s="10">
        <v>0</v>
      </c>
      <c r="E100" s="10">
        <v>0</v>
      </c>
    </row>
    <row r="101" spans="1:9" ht="15.75" thickBot="1" x14ac:dyDescent="0.3">
      <c r="A101" s="5" t="s">
        <v>20</v>
      </c>
      <c r="B101" s="10">
        <f>B110</f>
        <v>450</v>
      </c>
      <c r="C101" s="10">
        <f>C110</f>
        <v>0</v>
      </c>
      <c r="D101" s="10">
        <f>D110</f>
        <v>0</v>
      </c>
      <c r="E101" s="10">
        <f>E110</f>
        <v>0</v>
      </c>
    </row>
    <row r="102" spans="1:9" ht="15.75" thickBot="1" x14ac:dyDescent="0.3">
      <c r="A102" s="5" t="s">
        <v>21</v>
      </c>
      <c r="B102" s="10">
        <f>B101/B100</f>
        <v>2.25</v>
      </c>
      <c r="C102" s="10" t="e">
        <f>C101/C100</f>
        <v>#DIV/0!</v>
      </c>
      <c r="D102" s="10" t="e">
        <f>D101/D100</f>
        <v>#DIV/0!</v>
      </c>
      <c r="E102" s="10" t="e">
        <f>E101/E100</f>
        <v>#DIV/0!</v>
      </c>
    </row>
    <row r="103" spans="1:9" ht="15.75" thickBot="1" x14ac:dyDescent="0.3">
      <c r="A103" s="5" t="s">
        <v>22</v>
      </c>
      <c r="B103" s="225" t="s">
        <v>23</v>
      </c>
      <c r="C103" s="11">
        <f t="shared" ref="C103:E105" si="2">C100/B100-1</f>
        <v>-1</v>
      </c>
      <c r="D103" s="11" t="e">
        <f t="shared" si="2"/>
        <v>#DIV/0!</v>
      </c>
      <c r="E103" s="11" t="e">
        <f t="shared" si="2"/>
        <v>#DIV/0!</v>
      </c>
      <c r="F103" s="12"/>
      <c r="G103" s="12"/>
      <c r="H103" s="12"/>
      <c r="I103" s="12"/>
    </row>
    <row r="104" spans="1:9" ht="15.75" thickBot="1" x14ac:dyDescent="0.3">
      <c r="A104" s="5" t="s">
        <v>24</v>
      </c>
      <c r="B104" s="225" t="s">
        <v>23</v>
      </c>
      <c r="C104" s="11">
        <f t="shared" si="2"/>
        <v>-1</v>
      </c>
      <c r="D104" s="11" t="e">
        <f t="shared" si="2"/>
        <v>#DIV/0!</v>
      </c>
      <c r="E104" s="11" t="e">
        <f t="shared" si="2"/>
        <v>#DIV/0!</v>
      </c>
    </row>
    <row r="105" spans="1:9" ht="15.75" thickBot="1" x14ac:dyDescent="0.3">
      <c r="A105" s="5" t="s">
        <v>25</v>
      </c>
      <c r="B105" s="225" t="s">
        <v>23</v>
      </c>
      <c r="C105" s="11" t="e">
        <f t="shared" si="2"/>
        <v>#DIV/0!</v>
      </c>
      <c r="D105" s="11" t="e">
        <f t="shared" si="2"/>
        <v>#DIV/0!</v>
      </c>
      <c r="E105" s="11" t="e">
        <f t="shared" si="2"/>
        <v>#DIV/0!</v>
      </c>
    </row>
    <row r="106" spans="1:9" ht="15.75" thickBot="1" x14ac:dyDescent="0.3">
      <c r="A106" s="1252" t="s">
        <v>635</v>
      </c>
      <c r="B106" s="1253"/>
      <c r="C106" s="1253"/>
      <c r="D106" s="1253"/>
      <c r="E106" s="1300"/>
    </row>
    <row r="107" spans="1:9" ht="12.75" customHeight="1" x14ac:dyDescent="0.25">
      <c r="A107" s="1250"/>
      <c r="B107" s="8">
        <v>2018</v>
      </c>
      <c r="C107" s="8">
        <v>2019</v>
      </c>
      <c r="D107" s="8">
        <v>2020</v>
      </c>
      <c r="E107" s="8">
        <v>2021</v>
      </c>
    </row>
    <row r="108" spans="1:9" ht="9" customHeight="1" thickBot="1" x14ac:dyDescent="0.3">
      <c r="A108" s="1251"/>
      <c r="B108" s="9" t="s">
        <v>10</v>
      </c>
      <c r="C108" s="9" t="s">
        <v>11</v>
      </c>
      <c r="D108" s="9" t="s">
        <v>11</v>
      </c>
      <c r="E108" s="9" t="s">
        <v>11</v>
      </c>
    </row>
    <row r="109" spans="1:9" ht="15.75" thickBot="1" x14ac:dyDescent="0.3">
      <c r="A109" s="13" t="s">
        <v>58</v>
      </c>
      <c r="B109" s="14"/>
      <c r="C109" s="14"/>
      <c r="D109" s="14"/>
      <c r="E109" s="14"/>
    </row>
    <row r="110" spans="1:9" ht="15.75" thickBot="1" x14ac:dyDescent="0.3">
      <c r="A110" s="13" t="s">
        <v>59</v>
      </c>
      <c r="B110" s="15">
        <v>450</v>
      </c>
      <c r="C110" s="14">
        <v>0</v>
      </c>
      <c r="D110" s="14">
        <v>0</v>
      </c>
      <c r="E110" s="14">
        <v>0</v>
      </c>
    </row>
    <row r="111" spans="1:9" ht="15.75" thickBot="1" x14ac:dyDescent="0.3">
      <c r="A111" s="16" t="s">
        <v>1192</v>
      </c>
      <c r="B111" s="15">
        <f>B110+B109</f>
        <v>450</v>
      </c>
      <c r="C111" s="15">
        <f>C110+C109</f>
        <v>0</v>
      </c>
      <c r="D111" s="15">
        <f>D110+D109</f>
        <v>0</v>
      </c>
      <c r="E111" s="15">
        <f>E110+E109</f>
        <v>0</v>
      </c>
    </row>
    <row r="112" spans="1:9" x14ac:dyDescent="0.25">
      <c r="A112" s="1254" t="s">
        <v>62</v>
      </c>
      <c r="B112" s="1322"/>
      <c r="C112" s="1289"/>
      <c r="D112" s="1289"/>
      <c r="E112" s="1290"/>
    </row>
    <row r="113" spans="1:5" x14ac:dyDescent="0.25">
      <c r="A113" s="1255"/>
      <c r="B113" s="1291"/>
      <c r="C113" s="1292"/>
      <c r="D113" s="1292"/>
      <c r="E113" s="1293"/>
    </row>
    <row r="114" spans="1:5" ht="15.75" thickBot="1" x14ac:dyDescent="0.3">
      <c r="A114" s="1256"/>
      <c r="B114" s="1294"/>
      <c r="C114" s="1295"/>
      <c r="D114" s="1295"/>
      <c r="E114" s="1296"/>
    </row>
    <row r="115" spans="1:5" ht="15.75" thickBot="1" x14ac:dyDescent="0.3">
      <c r="A115" s="436" t="s">
        <v>1212</v>
      </c>
      <c r="B115" s="1793" t="s">
        <v>1223</v>
      </c>
      <c r="C115" s="1794"/>
      <c r="D115" s="1794"/>
      <c r="E115" s="1795"/>
    </row>
    <row r="116" spans="1:5" ht="15.75" thickBot="1" x14ac:dyDescent="0.3">
      <c r="A116" s="7" t="s">
        <v>16</v>
      </c>
      <c r="B116" s="1248" t="s">
        <v>1222</v>
      </c>
      <c r="C116" s="1249"/>
      <c r="D116" s="1249"/>
      <c r="E116" s="1316"/>
    </row>
    <row r="117" spans="1:5" ht="40.5" customHeight="1" thickBot="1" x14ac:dyDescent="0.3">
      <c r="A117" s="5" t="s">
        <v>17</v>
      </c>
      <c r="B117" s="1330" t="s">
        <v>1221</v>
      </c>
      <c r="C117" s="1331"/>
      <c r="D117" s="1331"/>
      <c r="E117" s="1332"/>
    </row>
    <row r="118" spans="1:5" ht="15.75" thickBot="1" x14ac:dyDescent="0.3">
      <c r="A118" s="5" t="s">
        <v>18</v>
      </c>
      <c r="B118" s="1248" t="s">
        <v>1193</v>
      </c>
      <c r="C118" s="1249"/>
      <c r="D118" s="1249"/>
      <c r="E118" s="1316"/>
    </row>
    <row r="119" spans="1:5" x14ac:dyDescent="0.25">
      <c r="A119" s="1250"/>
      <c r="B119" s="8">
        <v>2018</v>
      </c>
      <c r="C119" s="8">
        <v>2019</v>
      </c>
      <c r="D119" s="8">
        <v>2020</v>
      </c>
      <c r="E119" s="8">
        <v>2021</v>
      </c>
    </row>
    <row r="120" spans="1:5" ht="15.75" thickBot="1" x14ac:dyDescent="0.3">
      <c r="A120" s="1251"/>
      <c r="B120" s="9" t="s">
        <v>10</v>
      </c>
      <c r="C120" s="9" t="s">
        <v>11</v>
      </c>
      <c r="D120" s="9" t="s">
        <v>11</v>
      </c>
      <c r="E120" s="9" t="s">
        <v>11</v>
      </c>
    </row>
    <row r="121" spans="1:5" ht="15.75" thickBot="1" x14ac:dyDescent="0.3">
      <c r="A121" s="5" t="s">
        <v>19</v>
      </c>
      <c r="B121" s="10">
        <v>50</v>
      </c>
      <c r="C121" s="10">
        <v>0</v>
      </c>
      <c r="D121" s="10">
        <v>0</v>
      </c>
      <c r="E121" s="10">
        <v>0</v>
      </c>
    </row>
    <row r="122" spans="1:5" ht="15.75" thickBot="1" x14ac:dyDescent="0.3">
      <c r="A122" s="5" t="s">
        <v>20</v>
      </c>
      <c r="B122" s="10">
        <f>B131</f>
        <v>800</v>
      </c>
      <c r="C122" s="10">
        <f>C131</f>
        <v>0</v>
      </c>
      <c r="D122" s="10">
        <f>D131</f>
        <v>0</v>
      </c>
      <c r="E122" s="10">
        <f>E131</f>
        <v>0</v>
      </c>
    </row>
    <row r="123" spans="1:5" ht="15.75" thickBot="1" x14ac:dyDescent="0.3">
      <c r="A123" s="5" t="s">
        <v>21</v>
      </c>
      <c r="B123" s="10">
        <f>B122/B121</f>
        <v>16</v>
      </c>
      <c r="C123" s="10" t="e">
        <f>C122/C121</f>
        <v>#DIV/0!</v>
      </c>
      <c r="D123" s="10" t="e">
        <f>D122/D121</f>
        <v>#DIV/0!</v>
      </c>
      <c r="E123" s="10" t="e">
        <f>E122/E121</f>
        <v>#DIV/0!</v>
      </c>
    </row>
    <row r="124" spans="1:5" ht="15.75" thickBot="1" x14ac:dyDescent="0.3">
      <c r="A124" s="5" t="s">
        <v>22</v>
      </c>
      <c r="B124" s="225" t="s">
        <v>23</v>
      </c>
      <c r="C124" s="11">
        <f t="shared" ref="C124:E126" si="3">C121/B121-1</f>
        <v>-1</v>
      </c>
      <c r="D124" s="11" t="e">
        <f t="shared" si="3"/>
        <v>#DIV/0!</v>
      </c>
      <c r="E124" s="11" t="e">
        <f t="shared" si="3"/>
        <v>#DIV/0!</v>
      </c>
    </row>
    <row r="125" spans="1:5" ht="15.75" thickBot="1" x14ac:dyDescent="0.3">
      <c r="A125" s="5" t="s">
        <v>24</v>
      </c>
      <c r="B125" s="225" t="s">
        <v>23</v>
      </c>
      <c r="C125" s="11">
        <f t="shared" si="3"/>
        <v>-1</v>
      </c>
      <c r="D125" s="11" t="e">
        <f t="shared" si="3"/>
        <v>#DIV/0!</v>
      </c>
      <c r="E125" s="11" t="e">
        <f t="shared" si="3"/>
        <v>#DIV/0!</v>
      </c>
    </row>
    <row r="126" spans="1:5" ht="15.75" thickBot="1" x14ac:dyDescent="0.3">
      <c r="A126" s="5" t="s">
        <v>25</v>
      </c>
      <c r="B126" s="225" t="s">
        <v>23</v>
      </c>
      <c r="C126" s="11" t="e">
        <f t="shared" si="3"/>
        <v>#DIV/0!</v>
      </c>
      <c r="D126" s="11" t="e">
        <f t="shared" si="3"/>
        <v>#DIV/0!</v>
      </c>
      <c r="E126" s="11" t="e">
        <f t="shared" si="3"/>
        <v>#DIV/0!</v>
      </c>
    </row>
    <row r="127" spans="1:5" ht="15.75" thickBot="1" x14ac:dyDescent="0.3">
      <c r="A127" s="1252" t="s">
        <v>635</v>
      </c>
      <c r="B127" s="1253"/>
      <c r="C127" s="1253"/>
      <c r="D127" s="1253"/>
      <c r="E127" s="1300"/>
    </row>
    <row r="128" spans="1:5" x14ac:dyDescent="0.25">
      <c r="A128" s="1250"/>
      <c r="B128" s="8">
        <v>2018</v>
      </c>
      <c r="C128" s="8">
        <v>2019</v>
      </c>
      <c r="D128" s="8">
        <v>2020</v>
      </c>
      <c r="E128" s="8">
        <v>2021</v>
      </c>
    </row>
    <row r="129" spans="1:5" ht="15.75" thickBot="1" x14ac:dyDescent="0.3">
      <c r="A129" s="1251"/>
      <c r="B129" s="9" t="s">
        <v>10</v>
      </c>
      <c r="C129" s="9" t="s">
        <v>11</v>
      </c>
      <c r="D129" s="9" t="s">
        <v>11</v>
      </c>
      <c r="E129" s="9" t="s">
        <v>11</v>
      </c>
    </row>
    <row r="130" spans="1:5" ht="15.75" thickBot="1" x14ac:dyDescent="0.3">
      <c r="A130" s="13" t="s">
        <v>58</v>
      </c>
      <c r="B130" s="14"/>
      <c r="C130" s="14"/>
      <c r="D130" s="14"/>
      <c r="E130" s="14"/>
    </row>
    <row r="131" spans="1:5" ht="15.75" thickBot="1" x14ac:dyDescent="0.3">
      <c r="A131" s="13" t="s">
        <v>59</v>
      </c>
      <c r="B131" s="15">
        <v>800</v>
      </c>
      <c r="C131" s="14">
        <v>0</v>
      </c>
      <c r="D131" s="14">
        <v>0</v>
      </c>
      <c r="E131" s="14">
        <v>0</v>
      </c>
    </row>
    <row r="132" spans="1:5" ht="15.75" thickBot="1" x14ac:dyDescent="0.3">
      <c r="A132" s="16" t="s">
        <v>1192</v>
      </c>
      <c r="B132" s="15">
        <f>B131+B130</f>
        <v>800</v>
      </c>
      <c r="C132" s="15">
        <f>C131+C130</f>
        <v>0</v>
      </c>
      <c r="D132" s="15">
        <f>D131+D130</f>
        <v>0</v>
      </c>
      <c r="E132" s="15">
        <f>E131+E130</f>
        <v>0</v>
      </c>
    </row>
    <row r="133" spans="1:5" x14ac:dyDescent="0.25">
      <c r="A133" s="1254" t="s">
        <v>62</v>
      </c>
      <c r="B133" s="1322"/>
      <c r="C133" s="1289"/>
      <c r="D133" s="1289"/>
      <c r="E133" s="1290"/>
    </row>
    <row r="134" spans="1:5" x14ac:dyDescent="0.25">
      <c r="A134" s="1255"/>
      <c r="B134" s="1291"/>
      <c r="C134" s="1292"/>
      <c r="D134" s="1292"/>
      <c r="E134" s="1293"/>
    </row>
    <row r="135" spans="1:5" ht="15.75" thickBot="1" x14ac:dyDescent="0.3">
      <c r="A135" s="1256"/>
      <c r="B135" s="1294"/>
      <c r="C135" s="1295"/>
      <c r="D135" s="1295"/>
      <c r="E135" s="1296"/>
    </row>
    <row r="136" spans="1:5" ht="15.75" thickBot="1" x14ac:dyDescent="0.3">
      <c r="A136" s="436" t="s">
        <v>1212</v>
      </c>
      <c r="B136" s="1793" t="s">
        <v>614</v>
      </c>
      <c r="C136" s="1794"/>
      <c r="D136" s="1794"/>
      <c r="E136" s="1795"/>
    </row>
    <row r="137" spans="1:5" ht="15.75" customHeight="1" thickBot="1" x14ac:dyDescent="0.3">
      <c r="A137" s="7" t="s">
        <v>16</v>
      </c>
      <c r="B137" s="1248" t="s">
        <v>1220</v>
      </c>
      <c r="C137" s="1249"/>
      <c r="D137" s="1249"/>
      <c r="E137" s="1316"/>
    </row>
    <row r="138" spans="1:5" ht="15.75" customHeight="1" thickBot="1" x14ac:dyDescent="0.3">
      <c r="A138" s="5" t="s">
        <v>17</v>
      </c>
      <c r="B138" s="1248" t="s">
        <v>1219</v>
      </c>
      <c r="C138" s="1249"/>
      <c r="D138" s="1249"/>
      <c r="E138" s="1316"/>
    </row>
    <row r="139" spans="1:5" ht="15.75" thickBot="1" x14ac:dyDescent="0.3">
      <c r="A139" s="5" t="s">
        <v>18</v>
      </c>
      <c r="B139" s="1248" t="s">
        <v>1218</v>
      </c>
      <c r="C139" s="1249"/>
      <c r="D139" s="1249"/>
      <c r="E139" s="1316"/>
    </row>
    <row r="140" spans="1:5" x14ac:dyDescent="0.25">
      <c r="A140" s="1250"/>
      <c r="B140" s="8">
        <v>2018</v>
      </c>
      <c r="C140" s="8">
        <v>2019</v>
      </c>
      <c r="D140" s="8">
        <v>2020</v>
      </c>
      <c r="E140" s="8">
        <v>2021</v>
      </c>
    </row>
    <row r="141" spans="1:5" ht="15.75" thickBot="1" x14ac:dyDescent="0.3">
      <c r="A141" s="1251"/>
      <c r="B141" s="9" t="s">
        <v>10</v>
      </c>
      <c r="C141" s="9" t="s">
        <v>11</v>
      </c>
      <c r="D141" s="9" t="s">
        <v>11</v>
      </c>
      <c r="E141" s="9" t="s">
        <v>11</v>
      </c>
    </row>
    <row r="142" spans="1:5" ht="15.75" thickBot="1" x14ac:dyDescent="0.3">
      <c r="A142" s="5" t="s">
        <v>19</v>
      </c>
      <c r="B142" s="10">
        <v>11</v>
      </c>
      <c r="C142" s="10">
        <v>0</v>
      </c>
      <c r="D142" s="10">
        <v>0</v>
      </c>
      <c r="E142" s="10">
        <v>0</v>
      </c>
    </row>
    <row r="143" spans="1:5" ht="15.75" thickBot="1" x14ac:dyDescent="0.3">
      <c r="A143" s="5" t="s">
        <v>20</v>
      </c>
      <c r="B143" s="10">
        <f>B152</f>
        <v>600</v>
      </c>
      <c r="C143" s="10">
        <f>C152</f>
        <v>0</v>
      </c>
      <c r="D143" s="10">
        <f>D152</f>
        <v>0</v>
      </c>
      <c r="E143" s="10">
        <f>E152</f>
        <v>0</v>
      </c>
    </row>
    <row r="144" spans="1:5" ht="15.75" thickBot="1" x14ac:dyDescent="0.3">
      <c r="A144" s="5" t="s">
        <v>21</v>
      </c>
      <c r="B144" s="10">
        <f>B143/B142</f>
        <v>54.545454545454547</v>
      </c>
      <c r="C144" s="10" t="e">
        <f>C143/C142</f>
        <v>#DIV/0!</v>
      </c>
      <c r="D144" s="10" t="e">
        <f>D143/D142</f>
        <v>#DIV/0!</v>
      </c>
      <c r="E144" s="10" t="e">
        <f>E143/E142</f>
        <v>#DIV/0!</v>
      </c>
    </row>
    <row r="145" spans="1:5" ht="15.75" thickBot="1" x14ac:dyDescent="0.3">
      <c r="A145" s="5" t="s">
        <v>22</v>
      </c>
      <c r="B145" s="225" t="s">
        <v>23</v>
      </c>
      <c r="C145" s="11">
        <f t="shared" ref="C145:E147" si="4">C142/B142-1</f>
        <v>-1</v>
      </c>
      <c r="D145" s="11" t="e">
        <f t="shared" si="4"/>
        <v>#DIV/0!</v>
      </c>
      <c r="E145" s="11" t="e">
        <f t="shared" si="4"/>
        <v>#DIV/0!</v>
      </c>
    </row>
    <row r="146" spans="1:5" ht="15.75" thickBot="1" x14ac:dyDescent="0.3">
      <c r="A146" s="5" t="s">
        <v>24</v>
      </c>
      <c r="B146" s="225" t="s">
        <v>23</v>
      </c>
      <c r="C146" s="11">
        <f t="shared" si="4"/>
        <v>-1</v>
      </c>
      <c r="D146" s="11" t="e">
        <f t="shared" si="4"/>
        <v>#DIV/0!</v>
      </c>
      <c r="E146" s="11" t="e">
        <f t="shared" si="4"/>
        <v>#DIV/0!</v>
      </c>
    </row>
    <row r="147" spans="1:5" ht="15.75" thickBot="1" x14ac:dyDescent="0.3">
      <c r="A147" s="5" t="s">
        <v>25</v>
      </c>
      <c r="B147" s="225" t="s">
        <v>23</v>
      </c>
      <c r="C147" s="11" t="e">
        <f t="shared" si="4"/>
        <v>#DIV/0!</v>
      </c>
      <c r="D147" s="11" t="e">
        <f t="shared" si="4"/>
        <v>#DIV/0!</v>
      </c>
      <c r="E147" s="11" t="e">
        <f t="shared" si="4"/>
        <v>#DIV/0!</v>
      </c>
    </row>
    <row r="148" spans="1:5" ht="15.75" thickBot="1" x14ac:dyDescent="0.3">
      <c r="A148" s="1252" t="s">
        <v>635</v>
      </c>
      <c r="B148" s="1253"/>
      <c r="C148" s="1253"/>
      <c r="D148" s="1253"/>
      <c r="E148" s="1300"/>
    </row>
    <row r="149" spans="1:5" x14ac:dyDescent="0.25">
      <c r="A149" s="1250"/>
      <c r="B149" s="8">
        <v>2018</v>
      </c>
      <c r="C149" s="8">
        <v>2019</v>
      </c>
      <c r="D149" s="8">
        <v>2020</v>
      </c>
      <c r="E149" s="8">
        <v>2021</v>
      </c>
    </row>
    <row r="150" spans="1:5" ht="15.75" thickBot="1" x14ac:dyDescent="0.3">
      <c r="A150" s="1251"/>
      <c r="B150" s="9" t="s">
        <v>10</v>
      </c>
      <c r="C150" s="9" t="s">
        <v>11</v>
      </c>
      <c r="D150" s="9" t="s">
        <v>11</v>
      </c>
      <c r="E150" s="9" t="s">
        <v>11</v>
      </c>
    </row>
    <row r="151" spans="1:5" ht="15.75" thickBot="1" x14ac:dyDescent="0.3">
      <c r="A151" s="13" t="s">
        <v>58</v>
      </c>
      <c r="B151" s="14"/>
      <c r="C151" s="14"/>
      <c r="D151" s="14"/>
      <c r="E151" s="14"/>
    </row>
    <row r="152" spans="1:5" ht="15.75" thickBot="1" x14ac:dyDescent="0.3">
      <c r="A152" s="13" t="s">
        <v>59</v>
      </c>
      <c r="B152" s="15">
        <v>600</v>
      </c>
      <c r="C152" s="14">
        <v>0</v>
      </c>
      <c r="D152" s="14">
        <v>0</v>
      </c>
      <c r="E152" s="14">
        <v>0</v>
      </c>
    </row>
    <row r="153" spans="1:5" ht="15.75" thickBot="1" x14ac:dyDescent="0.3">
      <c r="A153" s="16" t="s">
        <v>1192</v>
      </c>
      <c r="B153" s="15">
        <f>B152+B151</f>
        <v>600</v>
      </c>
      <c r="C153" s="15">
        <f>C152+C151</f>
        <v>0</v>
      </c>
      <c r="D153" s="15">
        <f>D152+D151</f>
        <v>0</v>
      </c>
      <c r="E153" s="15">
        <f>E152+E151</f>
        <v>0</v>
      </c>
    </row>
    <row r="154" spans="1:5" x14ac:dyDescent="0.25">
      <c r="A154" s="1254" t="s">
        <v>62</v>
      </c>
      <c r="B154" s="1322"/>
      <c r="C154" s="1289"/>
      <c r="D154" s="1289"/>
      <c r="E154" s="1290"/>
    </row>
    <row r="155" spans="1:5" x14ac:dyDescent="0.25">
      <c r="A155" s="1255"/>
      <c r="B155" s="1291"/>
      <c r="C155" s="1292"/>
      <c r="D155" s="1292"/>
      <c r="E155" s="1293"/>
    </row>
    <row r="156" spans="1:5" ht="15.75" thickBot="1" x14ac:dyDescent="0.3">
      <c r="A156" s="1256"/>
      <c r="B156" s="1294"/>
      <c r="C156" s="1295"/>
      <c r="D156" s="1295"/>
      <c r="E156" s="1296"/>
    </row>
    <row r="157" spans="1:5" ht="15.75" thickBot="1" x14ac:dyDescent="0.3">
      <c r="A157" s="436" t="s">
        <v>1217</v>
      </c>
      <c r="B157" s="1793" t="s">
        <v>1216</v>
      </c>
      <c r="C157" s="1794"/>
      <c r="D157" s="1794"/>
      <c r="E157" s="1795"/>
    </row>
    <row r="158" spans="1:5" ht="15.75" thickBot="1" x14ac:dyDescent="0.3">
      <c r="A158" s="7" t="s">
        <v>16</v>
      </c>
      <c r="B158" s="1330" t="s">
        <v>1215</v>
      </c>
      <c r="C158" s="1331"/>
      <c r="D158" s="1331"/>
      <c r="E158" s="1332"/>
    </row>
    <row r="159" spans="1:5" ht="15.75" thickBot="1" x14ac:dyDescent="0.3">
      <c r="A159" s="5" t="s">
        <v>17</v>
      </c>
      <c r="B159" s="1330" t="s">
        <v>1214</v>
      </c>
      <c r="C159" s="1331"/>
      <c r="D159" s="1331"/>
      <c r="E159" s="1332"/>
    </row>
    <row r="160" spans="1:5" ht="15.75" thickBot="1" x14ac:dyDescent="0.3">
      <c r="A160" s="5" t="s">
        <v>18</v>
      </c>
      <c r="B160" s="1330" t="s">
        <v>1213</v>
      </c>
      <c r="C160" s="1331"/>
      <c r="D160" s="1331"/>
      <c r="E160" s="1332"/>
    </row>
    <row r="161" spans="1:5" x14ac:dyDescent="0.25">
      <c r="A161" s="1250"/>
      <c r="B161" s="8">
        <v>2018</v>
      </c>
      <c r="C161" s="8">
        <v>2019</v>
      </c>
      <c r="D161" s="8">
        <v>2020</v>
      </c>
      <c r="E161" s="8">
        <v>2021</v>
      </c>
    </row>
    <row r="162" spans="1:5" ht="15.75" thickBot="1" x14ac:dyDescent="0.3">
      <c r="A162" s="1251"/>
      <c r="B162" s="9" t="s">
        <v>10</v>
      </c>
      <c r="C162" s="9" t="s">
        <v>11</v>
      </c>
      <c r="D162" s="9" t="s">
        <v>11</v>
      </c>
      <c r="E162" s="9" t="s">
        <v>11</v>
      </c>
    </row>
    <row r="163" spans="1:5" ht="15.75" thickBot="1" x14ac:dyDescent="0.3">
      <c r="A163" s="5" t="s">
        <v>19</v>
      </c>
      <c r="B163" s="10">
        <v>1</v>
      </c>
      <c r="C163" s="10">
        <v>0</v>
      </c>
      <c r="D163" s="10">
        <v>0</v>
      </c>
      <c r="E163" s="10">
        <v>0</v>
      </c>
    </row>
    <row r="164" spans="1:5" ht="15.75" thickBot="1" x14ac:dyDescent="0.3">
      <c r="A164" s="5" t="s">
        <v>20</v>
      </c>
      <c r="B164" s="10">
        <f>B173</f>
        <v>408</v>
      </c>
      <c r="C164" s="10">
        <f>C173</f>
        <v>0</v>
      </c>
      <c r="D164" s="10">
        <f>D173</f>
        <v>0</v>
      </c>
      <c r="E164" s="10">
        <f>E173</f>
        <v>0</v>
      </c>
    </row>
    <row r="165" spans="1:5" ht="15.75" thickBot="1" x14ac:dyDescent="0.3">
      <c r="A165" s="5" t="s">
        <v>21</v>
      </c>
      <c r="B165" s="10">
        <f>B164/B163</f>
        <v>408</v>
      </c>
      <c r="C165" s="10" t="e">
        <f>C164/C163</f>
        <v>#DIV/0!</v>
      </c>
      <c r="D165" s="10" t="e">
        <f>D164/D163</f>
        <v>#DIV/0!</v>
      </c>
      <c r="E165" s="10" t="e">
        <f>E164/E163</f>
        <v>#DIV/0!</v>
      </c>
    </row>
    <row r="166" spans="1:5" ht="15.75" thickBot="1" x14ac:dyDescent="0.3">
      <c r="A166" s="5" t="s">
        <v>22</v>
      </c>
      <c r="B166" s="225" t="s">
        <v>23</v>
      </c>
      <c r="C166" s="11">
        <f t="shared" ref="C166:E168" si="5">C163/B163-1</f>
        <v>-1</v>
      </c>
      <c r="D166" s="11" t="e">
        <f t="shared" si="5"/>
        <v>#DIV/0!</v>
      </c>
      <c r="E166" s="11" t="e">
        <f t="shared" si="5"/>
        <v>#DIV/0!</v>
      </c>
    </row>
    <row r="167" spans="1:5" ht="15.75" thickBot="1" x14ac:dyDescent="0.3">
      <c r="A167" s="5" t="s">
        <v>24</v>
      </c>
      <c r="B167" s="225" t="s">
        <v>23</v>
      </c>
      <c r="C167" s="11">
        <f t="shared" si="5"/>
        <v>-1</v>
      </c>
      <c r="D167" s="11" t="e">
        <f t="shared" si="5"/>
        <v>#DIV/0!</v>
      </c>
      <c r="E167" s="11" t="e">
        <f t="shared" si="5"/>
        <v>#DIV/0!</v>
      </c>
    </row>
    <row r="168" spans="1:5" ht="15.75" thickBot="1" x14ac:dyDescent="0.3">
      <c r="A168" s="5" t="s">
        <v>25</v>
      </c>
      <c r="B168" s="225" t="s">
        <v>23</v>
      </c>
      <c r="C168" s="11" t="e">
        <f t="shared" si="5"/>
        <v>#DIV/0!</v>
      </c>
      <c r="D168" s="11" t="e">
        <f t="shared" si="5"/>
        <v>#DIV/0!</v>
      </c>
      <c r="E168" s="11" t="e">
        <f t="shared" si="5"/>
        <v>#DIV/0!</v>
      </c>
    </row>
    <row r="169" spans="1:5" ht="15.75" customHeight="1" thickBot="1" x14ac:dyDescent="0.3">
      <c r="A169" s="1252" t="s">
        <v>635</v>
      </c>
      <c r="B169" s="1253"/>
      <c r="C169" s="1253"/>
      <c r="D169" s="1253"/>
      <c r="E169" s="1300"/>
    </row>
    <row r="170" spans="1:5" x14ac:dyDescent="0.25">
      <c r="A170" s="1250"/>
      <c r="B170" s="8">
        <v>2018</v>
      </c>
      <c r="C170" s="8">
        <v>2019</v>
      </c>
      <c r="D170" s="8">
        <v>2020</v>
      </c>
      <c r="E170" s="8">
        <v>2021</v>
      </c>
    </row>
    <row r="171" spans="1:5" ht="15.75" thickBot="1" x14ac:dyDescent="0.3">
      <c r="A171" s="1251"/>
      <c r="B171" s="9" t="s">
        <v>10</v>
      </c>
      <c r="C171" s="9" t="s">
        <v>11</v>
      </c>
      <c r="D171" s="9" t="s">
        <v>11</v>
      </c>
      <c r="E171" s="9" t="s">
        <v>11</v>
      </c>
    </row>
    <row r="172" spans="1:5" ht="15.75" thickBot="1" x14ac:dyDescent="0.3">
      <c r="A172" s="13" t="s">
        <v>58</v>
      </c>
      <c r="B172" s="14"/>
      <c r="C172" s="14"/>
      <c r="D172" s="14"/>
      <c r="E172" s="14"/>
    </row>
    <row r="173" spans="1:5" ht="15.75" thickBot="1" x14ac:dyDescent="0.3">
      <c r="A173" s="13" t="s">
        <v>59</v>
      </c>
      <c r="B173" s="15">
        <v>408</v>
      </c>
      <c r="C173" s="14">
        <v>0</v>
      </c>
      <c r="D173" s="14">
        <v>0</v>
      </c>
      <c r="E173" s="14">
        <v>0</v>
      </c>
    </row>
    <row r="174" spans="1:5" ht="15.75" thickBot="1" x14ac:dyDescent="0.3">
      <c r="A174" s="16" t="s">
        <v>1192</v>
      </c>
      <c r="B174" s="15">
        <f>B173+B172</f>
        <v>408</v>
      </c>
      <c r="C174" s="15">
        <f>C173+C172</f>
        <v>0</v>
      </c>
      <c r="D174" s="15">
        <f>D173+D172</f>
        <v>0</v>
      </c>
      <c r="E174" s="15">
        <f>E173+E172</f>
        <v>0</v>
      </c>
    </row>
    <row r="175" spans="1:5" ht="15" customHeight="1" x14ac:dyDescent="0.25">
      <c r="A175" s="1254" t="s">
        <v>62</v>
      </c>
      <c r="B175" s="1322"/>
      <c r="C175" s="1289"/>
      <c r="D175" s="1289"/>
      <c r="E175" s="1290"/>
    </row>
    <row r="176" spans="1:5" x14ac:dyDescent="0.25">
      <c r="A176" s="1255"/>
      <c r="B176" s="1291"/>
      <c r="C176" s="1292"/>
      <c r="D176" s="1292"/>
      <c r="E176" s="1293"/>
    </row>
    <row r="177" spans="1:5" ht="15.75" thickBot="1" x14ac:dyDescent="0.3">
      <c r="A177" s="1256"/>
      <c r="B177" s="1294"/>
      <c r="C177" s="1295"/>
      <c r="D177" s="1295"/>
      <c r="E177" s="1296"/>
    </row>
    <row r="178" spans="1:5" ht="15.75" thickBot="1" x14ac:dyDescent="0.3">
      <c r="A178" s="436" t="s">
        <v>1212</v>
      </c>
      <c r="B178" s="1793" t="s">
        <v>1211</v>
      </c>
      <c r="C178" s="1794"/>
      <c r="D178" s="1794"/>
      <c r="E178" s="1795"/>
    </row>
    <row r="179" spans="1:5" ht="15.75" thickBot="1" x14ac:dyDescent="0.3">
      <c r="A179" s="7" t="s">
        <v>16</v>
      </c>
      <c r="B179" s="1330" t="s">
        <v>1210</v>
      </c>
      <c r="C179" s="1331"/>
      <c r="D179" s="1331"/>
      <c r="E179" s="1332"/>
    </row>
    <row r="180" spans="1:5" ht="15.75" customHeight="1" thickBot="1" x14ac:dyDescent="0.3">
      <c r="A180" s="5" t="s">
        <v>17</v>
      </c>
      <c r="B180" s="1330" t="s">
        <v>1209</v>
      </c>
      <c r="C180" s="1331"/>
      <c r="D180" s="1331"/>
      <c r="E180" s="1332"/>
    </row>
    <row r="181" spans="1:5" ht="15.75" thickBot="1" x14ac:dyDescent="0.3">
      <c r="A181" s="5" t="s">
        <v>18</v>
      </c>
      <c r="B181" s="1330" t="s">
        <v>1208</v>
      </c>
      <c r="C181" s="1331"/>
      <c r="D181" s="1331"/>
      <c r="E181" s="1332"/>
    </row>
    <row r="182" spans="1:5" x14ac:dyDescent="0.25">
      <c r="A182" s="1250"/>
      <c r="B182" s="8">
        <v>2018</v>
      </c>
      <c r="C182" s="8">
        <v>2019</v>
      </c>
      <c r="D182" s="8">
        <v>2020</v>
      </c>
      <c r="E182" s="8">
        <v>2021</v>
      </c>
    </row>
    <row r="183" spans="1:5" ht="15.75" thickBot="1" x14ac:dyDescent="0.3">
      <c r="A183" s="1251"/>
      <c r="B183" s="9" t="s">
        <v>10</v>
      </c>
      <c r="C183" s="9" t="s">
        <v>11</v>
      </c>
      <c r="D183" s="9" t="s">
        <v>11</v>
      </c>
      <c r="E183" s="9" t="s">
        <v>11</v>
      </c>
    </row>
    <row r="184" spans="1:5" ht="15.75" thickBot="1" x14ac:dyDescent="0.3">
      <c r="A184" s="5" t="s">
        <v>19</v>
      </c>
      <c r="B184" s="10">
        <v>1</v>
      </c>
      <c r="C184" s="10">
        <v>0</v>
      </c>
      <c r="D184" s="10">
        <v>0</v>
      </c>
      <c r="E184" s="10">
        <v>0</v>
      </c>
    </row>
    <row r="185" spans="1:5" ht="15.75" thickBot="1" x14ac:dyDescent="0.3">
      <c r="A185" s="5" t="s">
        <v>20</v>
      </c>
      <c r="B185" s="10">
        <f>B194</f>
        <v>3600</v>
      </c>
      <c r="C185" s="10">
        <f>C194</f>
        <v>0</v>
      </c>
      <c r="D185" s="10">
        <f>D194</f>
        <v>0</v>
      </c>
      <c r="E185" s="10">
        <f>E194</f>
        <v>0</v>
      </c>
    </row>
    <row r="186" spans="1:5" ht="15.75" thickBot="1" x14ac:dyDescent="0.3">
      <c r="A186" s="5" t="s">
        <v>21</v>
      </c>
      <c r="B186" s="10">
        <f>B185/B184</f>
        <v>3600</v>
      </c>
      <c r="C186" s="10" t="e">
        <f>C185/C184</f>
        <v>#DIV/0!</v>
      </c>
      <c r="D186" s="10" t="e">
        <f>D185/D184</f>
        <v>#DIV/0!</v>
      </c>
      <c r="E186" s="10" t="e">
        <f>E185/E184</f>
        <v>#DIV/0!</v>
      </c>
    </row>
    <row r="187" spans="1:5" ht="15.75" thickBot="1" x14ac:dyDescent="0.3">
      <c r="A187" s="5" t="s">
        <v>22</v>
      </c>
      <c r="B187" s="225" t="s">
        <v>23</v>
      </c>
      <c r="C187" s="11">
        <f t="shared" ref="C187:E189" si="6">C184/B184-1</f>
        <v>-1</v>
      </c>
      <c r="D187" s="11" t="e">
        <f t="shared" si="6"/>
        <v>#DIV/0!</v>
      </c>
      <c r="E187" s="11" t="e">
        <f t="shared" si="6"/>
        <v>#DIV/0!</v>
      </c>
    </row>
    <row r="188" spans="1:5" ht="15.75" thickBot="1" x14ac:dyDescent="0.3">
      <c r="A188" s="5" t="s">
        <v>24</v>
      </c>
      <c r="B188" s="225" t="s">
        <v>23</v>
      </c>
      <c r="C188" s="11">
        <f t="shared" si="6"/>
        <v>-1</v>
      </c>
      <c r="D188" s="11" t="e">
        <f t="shared" si="6"/>
        <v>#DIV/0!</v>
      </c>
      <c r="E188" s="11" t="e">
        <f t="shared" si="6"/>
        <v>#DIV/0!</v>
      </c>
    </row>
    <row r="189" spans="1:5" ht="15.75" thickBot="1" x14ac:dyDescent="0.3">
      <c r="A189" s="5" t="s">
        <v>25</v>
      </c>
      <c r="B189" s="225" t="s">
        <v>23</v>
      </c>
      <c r="C189" s="11" t="e">
        <f t="shared" si="6"/>
        <v>#DIV/0!</v>
      </c>
      <c r="D189" s="11" t="e">
        <f t="shared" si="6"/>
        <v>#DIV/0!</v>
      </c>
      <c r="E189" s="11" t="e">
        <f t="shared" si="6"/>
        <v>#DIV/0!</v>
      </c>
    </row>
    <row r="190" spans="1:5" ht="15.75" thickBot="1" x14ac:dyDescent="0.3">
      <c r="A190" s="1252" t="s">
        <v>635</v>
      </c>
      <c r="B190" s="1253"/>
      <c r="C190" s="1253"/>
      <c r="D190" s="1253"/>
      <c r="E190" s="1300"/>
    </row>
    <row r="191" spans="1:5" x14ac:dyDescent="0.25">
      <c r="A191" s="1250"/>
      <c r="B191" s="8">
        <v>2018</v>
      </c>
      <c r="C191" s="8">
        <v>2019</v>
      </c>
      <c r="D191" s="8">
        <v>2020</v>
      </c>
      <c r="E191" s="8">
        <v>2021</v>
      </c>
    </row>
    <row r="192" spans="1:5" ht="15.75" thickBot="1" x14ac:dyDescent="0.3">
      <c r="A192" s="1251"/>
      <c r="B192" s="9" t="s">
        <v>10</v>
      </c>
      <c r="C192" s="9" t="s">
        <v>11</v>
      </c>
      <c r="D192" s="9" t="s">
        <v>11</v>
      </c>
      <c r="E192" s="9" t="s">
        <v>11</v>
      </c>
    </row>
    <row r="193" spans="1:5" ht="15.75" thickBot="1" x14ac:dyDescent="0.3">
      <c r="A193" s="13" t="s">
        <v>58</v>
      </c>
      <c r="B193" s="14"/>
      <c r="C193" s="14"/>
      <c r="D193" s="14"/>
      <c r="E193" s="14"/>
    </row>
    <row r="194" spans="1:5" ht="15.75" thickBot="1" x14ac:dyDescent="0.3">
      <c r="A194" s="13" t="s">
        <v>59</v>
      </c>
      <c r="B194" s="15">
        <v>3600</v>
      </c>
      <c r="C194" s="14">
        <v>0</v>
      </c>
      <c r="D194" s="14">
        <v>0</v>
      </c>
      <c r="E194" s="14">
        <v>0</v>
      </c>
    </row>
    <row r="195" spans="1:5" ht="15.75" thickBot="1" x14ac:dyDescent="0.3">
      <c r="A195" s="16" t="s">
        <v>1192</v>
      </c>
      <c r="B195" s="15">
        <f>B194+B193</f>
        <v>3600</v>
      </c>
      <c r="C195" s="15">
        <f>C194+C193</f>
        <v>0</v>
      </c>
      <c r="D195" s="15">
        <f>D194+D193</f>
        <v>0</v>
      </c>
      <c r="E195" s="15">
        <f>E194+E193</f>
        <v>0</v>
      </c>
    </row>
    <row r="196" spans="1:5" x14ac:dyDescent="0.25">
      <c r="A196" s="1254" t="s">
        <v>62</v>
      </c>
      <c r="B196" s="1322"/>
      <c r="C196" s="1289"/>
      <c r="D196" s="1289"/>
      <c r="E196" s="1290"/>
    </row>
    <row r="197" spans="1:5" x14ac:dyDescent="0.25">
      <c r="A197" s="1255"/>
      <c r="B197" s="1291"/>
      <c r="C197" s="1292"/>
      <c r="D197" s="1292"/>
      <c r="E197" s="1293"/>
    </row>
    <row r="198" spans="1:5" ht="15.75" thickBot="1" x14ac:dyDescent="0.3">
      <c r="A198" s="1256"/>
      <c r="B198" s="1294"/>
      <c r="C198" s="1295"/>
      <c r="D198" s="1295"/>
      <c r="E198" s="1296"/>
    </row>
    <row r="199" spans="1:5" ht="15.75" thickBot="1" x14ac:dyDescent="0.3">
      <c r="A199" s="436" t="s">
        <v>1207</v>
      </c>
      <c r="B199" s="1793" t="s">
        <v>1206</v>
      </c>
      <c r="C199" s="1794"/>
      <c r="D199" s="1794"/>
      <c r="E199" s="1795"/>
    </row>
    <row r="200" spans="1:5" ht="15.75" thickBot="1" x14ac:dyDescent="0.3">
      <c r="A200" s="7" t="s">
        <v>16</v>
      </c>
      <c r="B200" s="1330" t="s">
        <v>1205</v>
      </c>
      <c r="C200" s="1331"/>
      <c r="D200" s="1331"/>
      <c r="E200" s="1332"/>
    </row>
    <row r="201" spans="1:5" ht="15.75" customHeight="1" thickBot="1" x14ac:dyDescent="0.3">
      <c r="A201" s="5" t="s">
        <v>17</v>
      </c>
      <c r="B201" s="1330" t="s">
        <v>1204</v>
      </c>
      <c r="C201" s="1331"/>
      <c r="D201" s="1331"/>
      <c r="E201" s="1332"/>
    </row>
    <row r="202" spans="1:5" ht="15.75" thickBot="1" x14ac:dyDescent="0.3">
      <c r="A202" s="5" t="s">
        <v>18</v>
      </c>
      <c r="B202" s="1330" t="s">
        <v>1203</v>
      </c>
      <c r="C202" s="1331"/>
      <c r="D202" s="1331"/>
      <c r="E202" s="1332"/>
    </row>
    <row r="203" spans="1:5" x14ac:dyDescent="0.25">
      <c r="A203" s="1250"/>
      <c r="B203" s="8">
        <v>2018</v>
      </c>
      <c r="C203" s="8">
        <v>2019</v>
      </c>
      <c r="D203" s="8">
        <v>2020</v>
      </c>
      <c r="E203" s="8">
        <v>2021</v>
      </c>
    </row>
    <row r="204" spans="1:5" ht="15.75" thickBot="1" x14ac:dyDescent="0.3">
      <c r="A204" s="1251"/>
      <c r="B204" s="9" t="s">
        <v>10</v>
      </c>
      <c r="C204" s="9" t="s">
        <v>11</v>
      </c>
      <c r="D204" s="9" t="s">
        <v>11</v>
      </c>
      <c r="E204" s="9" t="s">
        <v>11</v>
      </c>
    </row>
    <row r="205" spans="1:5" ht="15.75" thickBot="1" x14ac:dyDescent="0.3">
      <c r="A205" s="5" t="s">
        <v>19</v>
      </c>
      <c r="B205" s="10">
        <v>63</v>
      </c>
      <c r="C205" s="10">
        <v>0</v>
      </c>
      <c r="D205" s="10">
        <v>0</v>
      </c>
      <c r="E205" s="10">
        <v>0</v>
      </c>
    </row>
    <row r="206" spans="1:5" ht="15.75" thickBot="1" x14ac:dyDescent="0.3">
      <c r="A206" s="5" t="s">
        <v>20</v>
      </c>
      <c r="B206" s="10">
        <f>B215</f>
        <v>120</v>
      </c>
      <c r="C206" s="10">
        <f>C215</f>
        <v>0</v>
      </c>
      <c r="D206" s="10">
        <f>D215</f>
        <v>0</v>
      </c>
      <c r="E206" s="10">
        <f>E215</f>
        <v>0</v>
      </c>
    </row>
    <row r="207" spans="1:5" ht="15.75" thickBot="1" x14ac:dyDescent="0.3">
      <c r="A207" s="5" t="s">
        <v>21</v>
      </c>
      <c r="B207" s="10">
        <f>B206/B205</f>
        <v>1.9047619047619047</v>
      </c>
      <c r="C207" s="10" t="e">
        <f>C206/C205</f>
        <v>#DIV/0!</v>
      </c>
      <c r="D207" s="10" t="e">
        <f>D206/D205</f>
        <v>#DIV/0!</v>
      </c>
      <c r="E207" s="10" t="e">
        <f>E206/E205</f>
        <v>#DIV/0!</v>
      </c>
    </row>
    <row r="208" spans="1:5" ht="15.75" thickBot="1" x14ac:dyDescent="0.3">
      <c r="A208" s="5" t="s">
        <v>22</v>
      </c>
      <c r="B208" s="225" t="s">
        <v>23</v>
      </c>
      <c r="C208" s="11">
        <f t="shared" ref="C208:E210" si="7">C205/B205-1</f>
        <v>-1</v>
      </c>
      <c r="D208" s="11" t="e">
        <f t="shared" si="7"/>
        <v>#DIV/0!</v>
      </c>
      <c r="E208" s="11" t="e">
        <f t="shared" si="7"/>
        <v>#DIV/0!</v>
      </c>
    </row>
    <row r="209" spans="1:5" ht="15.75" thickBot="1" x14ac:dyDescent="0.3">
      <c r="A209" s="5" t="s">
        <v>24</v>
      </c>
      <c r="B209" s="225" t="s">
        <v>23</v>
      </c>
      <c r="C209" s="11">
        <f t="shared" si="7"/>
        <v>-1</v>
      </c>
      <c r="D209" s="11" t="e">
        <f t="shared" si="7"/>
        <v>#DIV/0!</v>
      </c>
      <c r="E209" s="11" t="e">
        <f t="shared" si="7"/>
        <v>#DIV/0!</v>
      </c>
    </row>
    <row r="210" spans="1:5" ht="15.75" thickBot="1" x14ac:dyDescent="0.3">
      <c r="A210" s="5" t="s">
        <v>25</v>
      </c>
      <c r="B210" s="225" t="s">
        <v>23</v>
      </c>
      <c r="C210" s="11" t="e">
        <f t="shared" si="7"/>
        <v>#DIV/0!</v>
      </c>
      <c r="D210" s="11" t="e">
        <f t="shared" si="7"/>
        <v>#DIV/0!</v>
      </c>
      <c r="E210" s="11" t="e">
        <f t="shared" si="7"/>
        <v>#DIV/0!</v>
      </c>
    </row>
    <row r="211" spans="1:5" ht="15.75" thickBot="1" x14ac:dyDescent="0.3">
      <c r="A211" s="1252" t="s">
        <v>635</v>
      </c>
      <c r="B211" s="1253"/>
      <c r="C211" s="1253"/>
      <c r="D211" s="1253"/>
      <c r="E211" s="1300"/>
    </row>
    <row r="212" spans="1:5" x14ac:dyDescent="0.25">
      <c r="A212" s="1250"/>
      <c r="B212" s="8">
        <v>2018</v>
      </c>
      <c r="C212" s="8">
        <v>2019</v>
      </c>
      <c r="D212" s="8">
        <v>2020</v>
      </c>
      <c r="E212" s="8">
        <v>2021</v>
      </c>
    </row>
    <row r="213" spans="1:5" ht="15.75" thickBot="1" x14ac:dyDescent="0.3">
      <c r="A213" s="1251"/>
      <c r="B213" s="9" t="s">
        <v>10</v>
      </c>
      <c r="C213" s="9" t="s">
        <v>11</v>
      </c>
      <c r="D213" s="9" t="s">
        <v>11</v>
      </c>
      <c r="E213" s="9" t="s">
        <v>11</v>
      </c>
    </row>
    <row r="214" spans="1:5" ht="15.75" thickBot="1" x14ac:dyDescent="0.3">
      <c r="A214" s="13" t="s">
        <v>58</v>
      </c>
      <c r="B214" s="14"/>
      <c r="C214" s="14"/>
      <c r="D214" s="14"/>
      <c r="E214" s="14"/>
    </row>
    <row r="215" spans="1:5" ht="15.75" thickBot="1" x14ac:dyDescent="0.3">
      <c r="A215" s="13" t="s">
        <v>59</v>
      </c>
      <c r="B215" s="15">
        <v>120</v>
      </c>
      <c r="C215" s="14">
        <v>0</v>
      </c>
      <c r="D215" s="14">
        <v>0</v>
      </c>
      <c r="E215" s="14">
        <v>0</v>
      </c>
    </row>
    <row r="216" spans="1:5" ht="15.75" thickBot="1" x14ac:dyDescent="0.3">
      <c r="A216" s="16" t="s">
        <v>1192</v>
      </c>
      <c r="B216" s="15">
        <f>B215+B214</f>
        <v>120</v>
      </c>
      <c r="C216" s="15">
        <f>C215+C214</f>
        <v>0</v>
      </c>
      <c r="D216" s="15">
        <f>D215+D214</f>
        <v>0</v>
      </c>
      <c r="E216" s="15">
        <f>E215+E214</f>
        <v>0</v>
      </c>
    </row>
    <row r="217" spans="1:5" x14ac:dyDescent="0.25">
      <c r="A217" s="1254" t="s">
        <v>62</v>
      </c>
      <c r="B217" s="1322"/>
      <c r="C217" s="1289"/>
      <c r="D217" s="1289"/>
      <c r="E217" s="1290"/>
    </row>
    <row r="218" spans="1:5" x14ac:dyDescent="0.25">
      <c r="A218" s="1255"/>
      <c r="B218" s="1291"/>
      <c r="C218" s="1292"/>
      <c r="D218" s="1292"/>
      <c r="E218" s="1293"/>
    </row>
    <row r="219" spans="1:5" ht="15.75" thickBot="1" x14ac:dyDescent="0.3">
      <c r="A219" s="1256"/>
      <c r="B219" s="1294"/>
      <c r="C219" s="1295"/>
      <c r="D219" s="1295"/>
      <c r="E219" s="1296"/>
    </row>
    <row r="220" spans="1:5" ht="15.75" thickBot="1" x14ac:dyDescent="0.3">
      <c r="A220" s="436" t="s">
        <v>1202</v>
      </c>
      <c r="B220" s="1793" t="s">
        <v>1201</v>
      </c>
      <c r="C220" s="1794"/>
      <c r="D220" s="1794"/>
      <c r="E220" s="1795"/>
    </row>
    <row r="221" spans="1:5" ht="15.75" thickBot="1" x14ac:dyDescent="0.3">
      <c r="A221" s="7" t="s">
        <v>16</v>
      </c>
      <c r="B221" s="1330" t="s">
        <v>1200</v>
      </c>
      <c r="C221" s="1331"/>
      <c r="D221" s="1331"/>
      <c r="E221" s="1332"/>
    </row>
    <row r="222" spans="1:5" ht="15.75" thickBot="1" x14ac:dyDescent="0.3">
      <c r="A222" s="5" t="s">
        <v>17</v>
      </c>
      <c r="B222" s="1330" t="s">
        <v>1199</v>
      </c>
      <c r="C222" s="1331"/>
      <c r="D222" s="1331"/>
      <c r="E222" s="1332"/>
    </row>
    <row r="223" spans="1:5" ht="15.75" thickBot="1" x14ac:dyDescent="0.3">
      <c r="A223" s="5" t="s">
        <v>18</v>
      </c>
      <c r="B223" s="1330" t="s">
        <v>1198</v>
      </c>
      <c r="C223" s="1331"/>
      <c r="D223" s="1331"/>
      <c r="E223" s="1332"/>
    </row>
    <row r="224" spans="1:5" x14ac:dyDescent="0.25">
      <c r="A224" s="1250"/>
      <c r="B224" s="8">
        <v>2018</v>
      </c>
      <c r="C224" s="8">
        <v>2019</v>
      </c>
      <c r="D224" s="8">
        <v>2020</v>
      </c>
      <c r="E224" s="8">
        <v>2021</v>
      </c>
    </row>
    <row r="225" spans="1:5" ht="15.75" thickBot="1" x14ac:dyDescent="0.3">
      <c r="A225" s="1251"/>
      <c r="B225" s="9" t="s">
        <v>10</v>
      </c>
      <c r="C225" s="9" t="s">
        <v>11</v>
      </c>
      <c r="D225" s="9" t="s">
        <v>11</v>
      </c>
      <c r="E225" s="9" t="s">
        <v>11</v>
      </c>
    </row>
    <row r="226" spans="1:5" ht="15.75" thickBot="1" x14ac:dyDescent="0.3">
      <c r="A226" s="5" t="s">
        <v>19</v>
      </c>
      <c r="B226" s="10">
        <v>6</v>
      </c>
      <c r="C226" s="10">
        <v>0</v>
      </c>
      <c r="D226" s="10">
        <v>0</v>
      </c>
      <c r="E226" s="10">
        <v>0</v>
      </c>
    </row>
    <row r="227" spans="1:5" ht="15.75" thickBot="1" x14ac:dyDescent="0.3">
      <c r="A227" s="5" t="s">
        <v>20</v>
      </c>
      <c r="B227" s="10">
        <f>B236</f>
        <v>120</v>
      </c>
      <c r="C227" s="10">
        <f>C236</f>
        <v>0</v>
      </c>
      <c r="D227" s="10">
        <f>D236</f>
        <v>0</v>
      </c>
      <c r="E227" s="10">
        <f>E236</f>
        <v>0</v>
      </c>
    </row>
    <row r="228" spans="1:5" ht="15.75" thickBot="1" x14ac:dyDescent="0.3">
      <c r="A228" s="5" t="s">
        <v>21</v>
      </c>
      <c r="B228" s="10">
        <f>B227/B226</f>
        <v>20</v>
      </c>
      <c r="C228" s="10" t="e">
        <f>C227/C226</f>
        <v>#DIV/0!</v>
      </c>
      <c r="D228" s="10" t="e">
        <f>D227/D226</f>
        <v>#DIV/0!</v>
      </c>
      <c r="E228" s="10" t="e">
        <f>E227/E226</f>
        <v>#DIV/0!</v>
      </c>
    </row>
    <row r="229" spans="1:5" ht="15.75" thickBot="1" x14ac:dyDescent="0.3">
      <c r="A229" s="5" t="s">
        <v>22</v>
      </c>
      <c r="B229" s="225" t="s">
        <v>23</v>
      </c>
      <c r="C229" s="11">
        <f t="shared" ref="C229:E231" si="8">C226/B226-1</f>
        <v>-1</v>
      </c>
      <c r="D229" s="11" t="e">
        <f t="shared" si="8"/>
        <v>#DIV/0!</v>
      </c>
      <c r="E229" s="11" t="e">
        <f t="shared" si="8"/>
        <v>#DIV/0!</v>
      </c>
    </row>
    <row r="230" spans="1:5" ht="15.75" thickBot="1" x14ac:dyDescent="0.3">
      <c r="A230" s="5" t="s">
        <v>24</v>
      </c>
      <c r="B230" s="225" t="s">
        <v>23</v>
      </c>
      <c r="C230" s="11">
        <f t="shared" si="8"/>
        <v>-1</v>
      </c>
      <c r="D230" s="11" t="e">
        <f t="shared" si="8"/>
        <v>#DIV/0!</v>
      </c>
      <c r="E230" s="11" t="e">
        <f t="shared" si="8"/>
        <v>#DIV/0!</v>
      </c>
    </row>
    <row r="231" spans="1:5" ht="15.75" thickBot="1" x14ac:dyDescent="0.3">
      <c r="A231" s="5" t="s">
        <v>25</v>
      </c>
      <c r="B231" s="225" t="s">
        <v>23</v>
      </c>
      <c r="C231" s="11" t="e">
        <f t="shared" si="8"/>
        <v>#DIV/0!</v>
      </c>
      <c r="D231" s="11" t="e">
        <f t="shared" si="8"/>
        <v>#DIV/0!</v>
      </c>
      <c r="E231" s="11" t="e">
        <f t="shared" si="8"/>
        <v>#DIV/0!</v>
      </c>
    </row>
    <row r="232" spans="1:5" ht="15.75" thickBot="1" x14ac:dyDescent="0.3">
      <c r="A232" s="1252" t="s">
        <v>635</v>
      </c>
      <c r="B232" s="1253"/>
      <c r="C232" s="1253"/>
      <c r="D232" s="1253"/>
      <c r="E232" s="1300"/>
    </row>
    <row r="233" spans="1:5" x14ac:dyDescent="0.25">
      <c r="A233" s="1250"/>
      <c r="B233" s="8">
        <v>2018</v>
      </c>
      <c r="C233" s="8">
        <v>2019</v>
      </c>
      <c r="D233" s="8">
        <v>2020</v>
      </c>
      <c r="E233" s="8">
        <v>2021</v>
      </c>
    </row>
    <row r="234" spans="1:5" ht="15.75" thickBot="1" x14ac:dyDescent="0.3">
      <c r="A234" s="1251"/>
      <c r="B234" s="9" t="s">
        <v>10</v>
      </c>
      <c r="C234" s="9" t="s">
        <v>11</v>
      </c>
      <c r="D234" s="9" t="s">
        <v>11</v>
      </c>
      <c r="E234" s="9" t="s">
        <v>11</v>
      </c>
    </row>
    <row r="235" spans="1:5" ht="15.75" thickBot="1" x14ac:dyDescent="0.3">
      <c r="A235" s="13" t="s">
        <v>58</v>
      </c>
      <c r="B235" s="14"/>
      <c r="C235" s="14"/>
      <c r="D235" s="14"/>
      <c r="E235" s="14"/>
    </row>
    <row r="236" spans="1:5" ht="15.75" thickBot="1" x14ac:dyDescent="0.3">
      <c r="A236" s="13" t="s">
        <v>59</v>
      </c>
      <c r="B236" s="15">
        <v>120</v>
      </c>
      <c r="C236" s="14">
        <v>0</v>
      </c>
      <c r="D236" s="14">
        <v>0</v>
      </c>
      <c r="E236" s="14">
        <v>0</v>
      </c>
    </row>
    <row r="237" spans="1:5" ht="15.75" thickBot="1" x14ac:dyDescent="0.3">
      <c r="A237" s="16" t="s">
        <v>1192</v>
      </c>
      <c r="B237" s="15">
        <f>B236+B235</f>
        <v>120</v>
      </c>
      <c r="C237" s="15">
        <f>C236+C235</f>
        <v>0</v>
      </c>
      <c r="D237" s="15">
        <f>D236+D235</f>
        <v>0</v>
      </c>
      <c r="E237" s="15">
        <f>E236+E235</f>
        <v>0</v>
      </c>
    </row>
    <row r="238" spans="1:5" x14ac:dyDescent="0.25">
      <c r="A238" s="1254" t="s">
        <v>62</v>
      </c>
      <c r="B238" s="1322"/>
      <c r="C238" s="1289"/>
      <c r="D238" s="1289"/>
      <c r="E238" s="1290"/>
    </row>
    <row r="239" spans="1:5" x14ac:dyDescent="0.25">
      <c r="A239" s="1255"/>
      <c r="B239" s="1291"/>
      <c r="C239" s="1292"/>
      <c r="D239" s="1292"/>
      <c r="E239" s="1293"/>
    </row>
    <row r="240" spans="1:5" ht="15.75" thickBot="1" x14ac:dyDescent="0.3">
      <c r="A240" s="1256"/>
      <c r="B240" s="1294"/>
      <c r="C240" s="1295"/>
      <c r="D240" s="1295"/>
      <c r="E240" s="1296"/>
    </row>
    <row r="241" spans="1:5" ht="15.75" thickBot="1" x14ac:dyDescent="0.3">
      <c r="A241" s="436" t="s">
        <v>1197</v>
      </c>
      <c r="B241" s="1793" t="s">
        <v>1196</v>
      </c>
      <c r="C241" s="1794"/>
      <c r="D241" s="1794"/>
      <c r="E241" s="1795"/>
    </row>
    <row r="242" spans="1:5" ht="15.75" thickBot="1" x14ac:dyDescent="0.3">
      <c r="A242" s="7" t="s">
        <v>16</v>
      </c>
      <c r="B242" s="1248" t="s">
        <v>1195</v>
      </c>
      <c r="C242" s="1249"/>
      <c r="D242" s="1249"/>
      <c r="E242" s="1316"/>
    </row>
    <row r="243" spans="1:5" ht="15.75" customHeight="1" thickBot="1" x14ac:dyDescent="0.3">
      <c r="A243" s="5" t="s">
        <v>17</v>
      </c>
      <c r="B243" s="1248" t="s">
        <v>1194</v>
      </c>
      <c r="C243" s="1249"/>
      <c r="D243" s="1249"/>
      <c r="E243" s="1316"/>
    </row>
    <row r="244" spans="1:5" ht="15.75" thickBot="1" x14ac:dyDescent="0.3">
      <c r="A244" s="5" t="s">
        <v>18</v>
      </c>
      <c r="B244" s="1248" t="s">
        <v>1193</v>
      </c>
      <c r="C244" s="1249"/>
      <c r="D244" s="1249"/>
      <c r="E244" s="1316"/>
    </row>
    <row r="245" spans="1:5" x14ac:dyDescent="0.25">
      <c r="A245" s="1250"/>
      <c r="B245" s="8">
        <v>2018</v>
      </c>
      <c r="C245" s="8">
        <v>2019</v>
      </c>
      <c r="D245" s="8">
        <v>2020</v>
      </c>
      <c r="E245" s="8">
        <v>2021</v>
      </c>
    </row>
    <row r="246" spans="1:5" ht="15.75" thickBot="1" x14ac:dyDescent="0.3">
      <c r="A246" s="1251"/>
      <c r="B246" s="9" t="s">
        <v>10</v>
      </c>
      <c r="C246" s="9" t="s">
        <v>11</v>
      </c>
      <c r="D246" s="9" t="s">
        <v>11</v>
      </c>
      <c r="E246" s="9" t="s">
        <v>11</v>
      </c>
    </row>
    <row r="247" spans="1:5" ht="15.75" thickBot="1" x14ac:dyDescent="0.3">
      <c r="A247" s="5" t="s">
        <v>19</v>
      </c>
      <c r="B247" s="10">
        <v>50</v>
      </c>
      <c r="C247" s="10">
        <v>0</v>
      </c>
      <c r="D247" s="10">
        <v>0</v>
      </c>
      <c r="E247" s="10">
        <v>0</v>
      </c>
    </row>
    <row r="248" spans="1:5" ht="15.75" thickBot="1" x14ac:dyDescent="0.3">
      <c r="A248" s="5" t="s">
        <v>20</v>
      </c>
      <c r="B248" s="10">
        <f>B257-120-120</f>
        <v>8502</v>
      </c>
      <c r="C248" s="10">
        <f>C257</f>
        <v>0</v>
      </c>
      <c r="D248" s="10">
        <f>D257</f>
        <v>0</v>
      </c>
      <c r="E248" s="10">
        <f>E257</f>
        <v>0</v>
      </c>
    </row>
    <row r="249" spans="1:5" ht="15.75" thickBot="1" x14ac:dyDescent="0.3">
      <c r="A249" s="5" t="s">
        <v>21</v>
      </c>
      <c r="B249" s="10">
        <f>B248/B247</f>
        <v>170.04</v>
      </c>
      <c r="C249" s="10" t="e">
        <f>C248/C247</f>
        <v>#DIV/0!</v>
      </c>
      <c r="D249" s="10" t="e">
        <f>D248/D247</f>
        <v>#DIV/0!</v>
      </c>
      <c r="E249" s="10" t="e">
        <f>E248/E247</f>
        <v>#DIV/0!</v>
      </c>
    </row>
    <row r="250" spans="1:5" ht="15.75" thickBot="1" x14ac:dyDescent="0.3">
      <c r="A250" s="5" t="s">
        <v>22</v>
      </c>
      <c r="B250" s="225" t="s">
        <v>23</v>
      </c>
      <c r="C250" s="11">
        <f t="shared" ref="C250:E252" si="9">C247/B247-1</f>
        <v>-1</v>
      </c>
      <c r="D250" s="11" t="e">
        <f t="shared" si="9"/>
        <v>#DIV/0!</v>
      </c>
      <c r="E250" s="11" t="e">
        <f t="shared" si="9"/>
        <v>#DIV/0!</v>
      </c>
    </row>
    <row r="251" spans="1:5" ht="15.75" thickBot="1" x14ac:dyDescent="0.3">
      <c r="A251" s="5" t="s">
        <v>24</v>
      </c>
      <c r="B251" s="225" t="s">
        <v>23</v>
      </c>
      <c r="C251" s="11">
        <f t="shared" si="9"/>
        <v>-1</v>
      </c>
      <c r="D251" s="11" t="e">
        <f t="shared" si="9"/>
        <v>#DIV/0!</v>
      </c>
      <c r="E251" s="11" t="e">
        <f t="shared" si="9"/>
        <v>#DIV/0!</v>
      </c>
    </row>
    <row r="252" spans="1:5" ht="15.75" thickBot="1" x14ac:dyDescent="0.3">
      <c r="A252" s="5" t="s">
        <v>25</v>
      </c>
      <c r="B252" s="225" t="s">
        <v>23</v>
      </c>
      <c r="C252" s="11" t="e">
        <f t="shared" si="9"/>
        <v>#DIV/0!</v>
      </c>
      <c r="D252" s="11" t="e">
        <f t="shared" si="9"/>
        <v>#DIV/0!</v>
      </c>
      <c r="E252" s="11" t="e">
        <f t="shared" si="9"/>
        <v>#DIV/0!</v>
      </c>
    </row>
    <row r="253" spans="1:5" ht="15.75" thickBot="1" x14ac:dyDescent="0.3">
      <c r="A253" s="1252" t="s">
        <v>635</v>
      </c>
      <c r="B253" s="1253"/>
      <c r="C253" s="1253"/>
      <c r="D253" s="1253"/>
      <c r="E253" s="1300"/>
    </row>
    <row r="254" spans="1:5" x14ac:dyDescent="0.25">
      <c r="A254" s="1250"/>
      <c r="B254" s="8">
        <v>2018</v>
      </c>
      <c r="C254" s="8">
        <v>2019</v>
      </c>
      <c r="D254" s="8">
        <v>2020</v>
      </c>
      <c r="E254" s="8">
        <v>2021</v>
      </c>
    </row>
    <row r="255" spans="1:5" ht="15.75" thickBot="1" x14ac:dyDescent="0.3">
      <c r="A255" s="1251"/>
      <c r="B255" s="9" t="s">
        <v>10</v>
      </c>
      <c r="C255" s="9" t="s">
        <v>11</v>
      </c>
      <c r="D255" s="9" t="s">
        <v>11</v>
      </c>
      <c r="E255" s="9" t="s">
        <v>11</v>
      </c>
    </row>
    <row r="256" spans="1:5" ht="15.75" thickBot="1" x14ac:dyDescent="0.3">
      <c r="A256" s="13" t="s">
        <v>58</v>
      </c>
      <c r="B256" s="14"/>
      <c r="C256" s="14"/>
      <c r="D256" s="14"/>
      <c r="E256" s="14"/>
    </row>
    <row r="257" spans="1:5" ht="15.75" thickBot="1" x14ac:dyDescent="0.3">
      <c r="A257" s="13" t="s">
        <v>59</v>
      </c>
      <c r="B257" s="15">
        <v>8742</v>
      </c>
      <c r="C257" s="14">
        <v>0</v>
      </c>
      <c r="D257" s="14">
        <v>0</v>
      </c>
      <c r="E257" s="14">
        <v>0</v>
      </c>
    </row>
    <row r="258" spans="1:5" ht="15.75" thickBot="1" x14ac:dyDescent="0.3">
      <c r="A258" s="16" t="s">
        <v>1192</v>
      </c>
      <c r="B258" s="15">
        <f>B257+B256</f>
        <v>8742</v>
      </c>
      <c r="C258" s="15">
        <f>C257+C256</f>
        <v>0</v>
      </c>
      <c r="D258" s="15">
        <f>D257+D256</f>
        <v>0</v>
      </c>
      <c r="E258" s="15">
        <f>E257+E256</f>
        <v>0</v>
      </c>
    </row>
    <row r="259" spans="1:5" x14ac:dyDescent="0.25">
      <c r="A259" s="1254" t="s">
        <v>62</v>
      </c>
      <c r="B259" s="1322"/>
      <c r="C259" s="1289"/>
      <c r="D259" s="1289"/>
      <c r="E259" s="1290"/>
    </row>
    <row r="260" spans="1:5" x14ac:dyDescent="0.25">
      <c r="A260" s="1255"/>
      <c r="B260" s="1291"/>
      <c r="C260" s="1292"/>
      <c r="D260" s="1292"/>
      <c r="E260" s="1293"/>
    </row>
    <row r="261" spans="1:5" ht="15.75" thickBot="1" x14ac:dyDescent="0.3">
      <c r="A261" s="1256"/>
      <c r="B261" s="1294"/>
      <c r="C261" s="1295"/>
      <c r="D261" s="1295"/>
      <c r="E261" s="1296"/>
    </row>
    <row r="262" spans="1:5" ht="15.75" hidden="1" thickBot="1" x14ac:dyDescent="0.3">
      <c r="A262" s="1275" t="s">
        <v>63</v>
      </c>
      <c r="B262" s="1276"/>
      <c r="C262" s="1276"/>
      <c r="D262" s="1276"/>
      <c r="E262" s="1317"/>
    </row>
    <row r="263" spans="1:5" ht="15.75" hidden="1" thickBot="1" x14ac:dyDescent="0.3">
      <c r="A263" s="1275" t="s">
        <v>64</v>
      </c>
      <c r="B263" s="1276"/>
      <c r="C263" s="1276"/>
      <c r="D263" s="1276"/>
      <c r="E263" s="1317"/>
    </row>
    <row r="264" spans="1:5" ht="15.75" hidden="1" thickBot="1" x14ac:dyDescent="0.3">
      <c r="A264" s="20" t="s">
        <v>61</v>
      </c>
      <c r="B264" s="1241" t="s">
        <v>124</v>
      </c>
      <c r="C264" s="1242"/>
      <c r="D264" s="1242"/>
      <c r="E264" s="1318"/>
    </row>
    <row r="265" spans="1:5" ht="15.75" hidden="1" thickBot="1" x14ac:dyDescent="0.3">
      <c r="A265" s="7" t="s">
        <v>16</v>
      </c>
      <c r="B265" s="1243" t="s">
        <v>106</v>
      </c>
      <c r="C265" s="1244"/>
      <c r="D265" s="1244"/>
      <c r="E265" s="1315"/>
    </row>
    <row r="266" spans="1:5" ht="17.25" hidden="1" customHeight="1" thickBot="1" x14ac:dyDescent="0.3">
      <c r="A266" s="5" t="s">
        <v>17</v>
      </c>
      <c r="B266" s="1245" t="s">
        <v>106</v>
      </c>
      <c r="C266" s="1246"/>
      <c r="D266" s="1246"/>
      <c r="E266" s="1298"/>
    </row>
    <row r="267" spans="1:5" ht="15.75" hidden="1" thickBot="1" x14ac:dyDescent="0.3">
      <c r="A267" s="5" t="s">
        <v>18</v>
      </c>
      <c r="B267" s="1248" t="s">
        <v>106</v>
      </c>
      <c r="C267" s="1249"/>
      <c r="D267" s="1249"/>
      <c r="E267" s="1316"/>
    </row>
    <row r="268" spans="1:5" ht="12.75" hidden="1" customHeight="1" x14ac:dyDescent="0.25">
      <c r="A268" s="1250"/>
      <c r="B268" s="8">
        <v>2018</v>
      </c>
      <c r="C268" s="8">
        <v>2019</v>
      </c>
      <c r="D268" s="8">
        <v>2020</v>
      </c>
      <c r="E268" s="8">
        <v>2021</v>
      </c>
    </row>
    <row r="269" spans="1:5" ht="9" hidden="1" customHeight="1" thickBot="1" x14ac:dyDescent="0.3">
      <c r="A269" s="1251"/>
      <c r="B269" s="9" t="s">
        <v>10</v>
      </c>
      <c r="C269" s="9" t="s">
        <v>11</v>
      </c>
      <c r="D269" s="9" t="s">
        <v>11</v>
      </c>
      <c r="E269" s="9" t="s">
        <v>11</v>
      </c>
    </row>
    <row r="270" spans="1:5" ht="15.75" hidden="1" thickBot="1" x14ac:dyDescent="0.3">
      <c r="A270" s="5" t="s">
        <v>19</v>
      </c>
      <c r="B270" s="10"/>
      <c r="C270" s="10"/>
      <c r="D270" s="10"/>
      <c r="E270" s="10"/>
    </row>
    <row r="271" spans="1:5" ht="15.75" hidden="1" thickBot="1" x14ac:dyDescent="0.3">
      <c r="A271" s="5" t="s">
        <v>20</v>
      </c>
      <c r="B271" s="10"/>
      <c r="C271" s="10"/>
      <c r="D271" s="10"/>
      <c r="E271" s="10"/>
    </row>
    <row r="272" spans="1:5" ht="15.75" hidden="1" thickBot="1" x14ac:dyDescent="0.3">
      <c r="A272" s="5" t="s">
        <v>21</v>
      </c>
      <c r="B272" s="10" t="e">
        <f>B271/B270</f>
        <v>#DIV/0!</v>
      </c>
      <c r="C272" s="10" t="e">
        <f>C271/C270</f>
        <v>#DIV/0!</v>
      </c>
      <c r="D272" s="10" t="e">
        <f>D271/D270</f>
        <v>#DIV/0!</v>
      </c>
      <c r="E272" s="10" t="e">
        <f>E271/E270</f>
        <v>#DIV/0!</v>
      </c>
    </row>
    <row r="273" spans="1:9" ht="15.75" hidden="1" thickBot="1" x14ac:dyDescent="0.3">
      <c r="A273" s="5" t="s">
        <v>22</v>
      </c>
      <c r="B273" s="225" t="s">
        <v>23</v>
      </c>
      <c r="C273" s="11" t="e">
        <f t="shared" ref="C273:E275" si="10">C270/B270-1</f>
        <v>#DIV/0!</v>
      </c>
      <c r="D273" s="11" t="e">
        <f t="shared" si="10"/>
        <v>#DIV/0!</v>
      </c>
      <c r="E273" s="11" t="e">
        <f t="shared" si="10"/>
        <v>#DIV/0!</v>
      </c>
      <c r="F273" s="12"/>
      <c r="G273" s="12"/>
      <c r="H273" s="12"/>
      <c r="I273" s="12"/>
    </row>
    <row r="274" spans="1:9" ht="15.75" hidden="1" thickBot="1" x14ac:dyDescent="0.3">
      <c r="A274" s="5" t="s">
        <v>24</v>
      </c>
      <c r="B274" s="225" t="s">
        <v>23</v>
      </c>
      <c r="C274" s="11" t="e">
        <f t="shared" si="10"/>
        <v>#DIV/0!</v>
      </c>
      <c r="D274" s="11" t="e">
        <f t="shared" si="10"/>
        <v>#DIV/0!</v>
      </c>
      <c r="E274" s="11" t="e">
        <f t="shared" si="10"/>
        <v>#DIV/0!</v>
      </c>
    </row>
    <row r="275" spans="1:9" ht="15.75" hidden="1" thickBot="1" x14ac:dyDescent="0.3">
      <c r="A275" s="5" t="s">
        <v>25</v>
      </c>
      <c r="B275" s="225" t="s">
        <v>23</v>
      </c>
      <c r="C275" s="11" t="e">
        <f t="shared" si="10"/>
        <v>#DIV/0!</v>
      </c>
      <c r="D275" s="11" t="e">
        <f t="shared" si="10"/>
        <v>#DIV/0!</v>
      </c>
      <c r="E275" s="11" t="e">
        <f t="shared" si="10"/>
        <v>#DIV/0!</v>
      </c>
    </row>
    <row r="276" spans="1:9" ht="15.75" hidden="1" customHeight="1" thickBot="1" x14ac:dyDescent="0.3">
      <c r="A276" s="1252" t="s">
        <v>633</v>
      </c>
      <c r="B276" s="1253"/>
      <c r="C276" s="1253"/>
      <c r="D276" s="1253"/>
      <c r="E276" s="1300"/>
    </row>
    <row r="277" spans="1:9" ht="12.75" hidden="1" customHeight="1" x14ac:dyDescent="0.25">
      <c r="A277" s="1250"/>
      <c r="B277" s="8">
        <v>2018</v>
      </c>
      <c r="C277" s="8">
        <v>2019</v>
      </c>
      <c r="D277" s="8">
        <v>2020</v>
      </c>
      <c r="E277" s="8">
        <v>2021</v>
      </c>
    </row>
    <row r="278" spans="1:9" ht="9" hidden="1" customHeight="1" thickBot="1" x14ac:dyDescent="0.3">
      <c r="A278" s="1251"/>
      <c r="B278" s="9" t="s">
        <v>10</v>
      </c>
      <c r="C278" s="9" t="s">
        <v>11</v>
      </c>
      <c r="D278" s="9" t="s">
        <v>11</v>
      </c>
      <c r="E278" s="9" t="s">
        <v>11</v>
      </c>
    </row>
    <row r="279" spans="1:9" ht="15.75" hidden="1" thickBot="1" x14ac:dyDescent="0.3">
      <c r="A279" s="13" t="s">
        <v>58</v>
      </c>
      <c r="B279" s="14"/>
      <c r="C279" s="14"/>
      <c r="D279" s="14"/>
      <c r="E279" s="14"/>
    </row>
    <row r="280" spans="1:9" ht="15.75" hidden="1" thickBot="1" x14ac:dyDescent="0.3">
      <c r="A280" s="13" t="s">
        <v>59</v>
      </c>
      <c r="B280" s="15"/>
      <c r="C280" s="14"/>
      <c r="D280" s="14"/>
      <c r="E280" s="14"/>
    </row>
    <row r="281" spans="1:9" ht="15.75" hidden="1" thickBot="1" x14ac:dyDescent="0.3">
      <c r="A281" s="16" t="s">
        <v>40</v>
      </c>
      <c r="B281" s="15">
        <f>B280+B279</f>
        <v>0</v>
      </c>
      <c r="C281" s="15">
        <f>C280+C279</f>
        <v>0</v>
      </c>
      <c r="D281" s="15">
        <f>D280+D279</f>
        <v>0</v>
      </c>
      <c r="E281" s="15">
        <f>E280+E279</f>
        <v>0</v>
      </c>
    </row>
    <row r="282" spans="1:9" ht="15" hidden="1" customHeight="1" x14ac:dyDescent="0.25">
      <c r="A282" s="1254" t="s">
        <v>60</v>
      </c>
      <c r="B282" s="1322"/>
      <c r="C282" s="1289"/>
      <c r="D282" s="1289"/>
      <c r="E282" s="1290"/>
    </row>
    <row r="283" spans="1:9" hidden="1" x14ac:dyDescent="0.25">
      <c r="A283" s="1255"/>
      <c r="B283" s="1291"/>
      <c r="C283" s="1292"/>
      <c r="D283" s="1292"/>
      <c r="E283" s="1293"/>
    </row>
    <row r="284" spans="1:9" ht="15.75" hidden="1" thickBot="1" x14ac:dyDescent="0.3">
      <c r="A284" s="1256"/>
      <c r="B284" s="1294"/>
      <c r="C284" s="1295"/>
      <c r="D284" s="1295"/>
      <c r="E284" s="1296"/>
    </row>
    <row r="285" spans="1:9" ht="15.75" hidden="1" thickBot="1" x14ac:dyDescent="0.3">
      <c r="A285" s="20" t="s">
        <v>61</v>
      </c>
      <c r="B285" s="1241" t="s">
        <v>124</v>
      </c>
      <c r="C285" s="1242"/>
      <c r="D285" s="1242"/>
      <c r="E285" s="1318"/>
    </row>
    <row r="286" spans="1:9" ht="15.75" hidden="1" thickBot="1" x14ac:dyDescent="0.3">
      <c r="A286" s="7" t="s">
        <v>123</v>
      </c>
      <c r="B286" s="1243" t="s">
        <v>106</v>
      </c>
      <c r="C286" s="1244"/>
      <c r="D286" s="1244"/>
      <c r="E286" s="1315"/>
    </row>
    <row r="287" spans="1:9" ht="17.25" hidden="1" customHeight="1" thickBot="1" x14ac:dyDescent="0.3">
      <c r="A287" s="5" t="s">
        <v>17</v>
      </c>
      <c r="B287" s="1245" t="s">
        <v>106</v>
      </c>
      <c r="C287" s="1246"/>
      <c r="D287" s="1246"/>
      <c r="E287" s="1298"/>
    </row>
    <row r="288" spans="1:9" ht="15.75" hidden="1" thickBot="1" x14ac:dyDescent="0.3">
      <c r="A288" s="5" t="s">
        <v>18</v>
      </c>
      <c r="B288" s="1248" t="s">
        <v>106</v>
      </c>
      <c r="C288" s="1249"/>
      <c r="D288" s="1249"/>
      <c r="E288" s="1316"/>
    </row>
    <row r="289" spans="1:9" ht="12.75" hidden="1" customHeight="1" x14ac:dyDescent="0.25">
      <c r="A289" s="1250"/>
      <c r="B289" s="8">
        <v>2018</v>
      </c>
      <c r="C289" s="8">
        <v>2019</v>
      </c>
      <c r="D289" s="8">
        <v>2020</v>
      </c>
      <c r="E289" s="8">
        <v>2021</v>
      </c>
    </row>
    <row r="290" spans="1:9" ht="9" hidden="1" customHeight="1" thickBot="1" x14ac:dyDescent="0.3">
      <c r="A290" s="1251"/>
      <c r="B290" s="9" t="s">
        <v>10</v>
      </c>
      <c r="C290" s="9" t="s">
        <v>11</v>
      </c>
      <c r="D290" s="9" t="s">
        <v>11</v>
      </c>
      <c r="E290" s="9" t="s">
        <v>11</v>
      </c>
    </row>
    <row r="291" spans="1:9" ht="15.75" hidden="1" thickBot="1" x14ac:dyDescent="0.3">
      <c r="A291" s="5" t="s">
        <v>19</v>
      </c>
      <c r="B291" s="10"/>
      <c r="C291" s="10"/>
      <c r="D291" s="10"/>
      <c r="E291" s="10"/>
    </row>
    <row r="292" spans="1:9" ht="15.75" hidden="1" thickBot="1" x14ac:dyDescent="0.3">
      <c r="A292" s="5" t="s">
        <v>20</v>
      </c>
      <c r="B292" s="10"/>
      <c r="C292" s="10"/>
      <c r="D292" s="10"/>
      <c r="E292" s="10"/>
    </row>
    <row r="293" spans="1:9" ht="15.75" hidden="1" thickBot="1" x14ac:dyDescent="0.3">
      <c r="A293" s="5" t="s">
        <v>21</v>
      </c>
      <c r="B293" s="10" t="e">
        <f>B292/B291</f>
        <v>#DIV/0!</v>
      </c>
      <c r="C293" s="10" t="e">
        <f>C292/C291</f>
        <v>#DIV/0!</v>
      </c>
      <c r="D293" s="10" t="e">
        <f>D292/D291</f>
        <v>#DIV/0!</v>
      </c>
      <c r="E293" s="10" t="e">
        <f>E292/E291</f>
        <v>#DIV/0!</v>
      </c>
    </row>
    <row r="294" spans="1:9" ht="15.75" hidden="1" thickBot="1" x14ac:dyDescent="0.3">
      <c r="A294" s="5" t="s">
        <v>22</v>
      </c>
      <c r="B294" s="225" t="s">
        <v>23</v>
      </c>
      <c r="C294" s="11" t="e">
        <f t="shared" ref="C294:E296" si="11">C291/B291-1</f>
        <v>#DIV/0!</v>
      </c>
      <c r="D294" s="11" t="e">
        <f t="shared" si="11"/>
        <v>#DIV/0!</v>
      </c>
      <c r="E294" s="11" t="e">
        <f t="shared" si="11"/>
        <v>#DIV/0!</v>
      </c>
      <c r="F294" s="12"/>
      <c r="G294" s="12"/>
      <c r="H294" s="12"/>
      <c r="I294" s="12"/>
    </row>
    <row r="295" spans="1:9" ht="15.75" hidden="1" thickBot="1" x14ac:dyDescent="0.3">
      <c r="A295" s="5" t="s">
        <v>24</v>
      </c>
      <c r="B295" s="225" t="s">
        <v>23</v>
      </c>
      <c r="C295" s="11" t="e">
        <f t="shared" si="11"/>
        <v>#DIV/0!</v>
      </c>
      <c r="D295" s="11" t="e">
        <f t="shared" si="11"/>
        <v>#DIV/0!</v>
      </c>
      <c r="E295" s="11" t="e">
        <f t="shared" si="11"/>
        <v>#DIV/0!</v>
      </c>
    </row>
    <row r="296" spans="1:9" ht="15.75" hidden="1" thickBot="1" x14ac:dyDescent="0.3">
      <c r="A296" s="5" t="s">
        <v>25</v>
      </c>
      <c r="B296" s="225" t="s">
        <v>23</v>
      </c>
      <c r="C296" s="11" t="e">
        <f t="shared" si="11"/>
        <v>#DIV/0!</v>
      </c>
      <c r="D296" s="11" t="e">
        <f t="shared" si="11"/>
        <v>#DIV/0!</v>
      </c>
      <c r="E296" s="11" t="e">
        <f t="shared" si="11"/>
        <v>#DIV/0!</v>
      </c>
    </row>
    <row r="297" spans="1:9" ht="15.75" hidden="1" customHeight="1" thickBot="1" x14ac:dyDescent="0.3">
      <c r="A297" s="1252" t="s">
        <v>635</v>
      </c>
      <c r="B297" s="1253"/>
      <c r="C297" s="1253"/>
      <c r="D297" s="1253"/>
      <c r="E297" s="1300"/>
    </row>
    <row r="298" spans="1:9" ht="12.75" hidden="1" customHeight="1" x14ac:dyDescent="0.25">
      <c r="A298" s="1250"/>
      <c r="B298" s="8">
        <v>2018</v>
      </c>
      <c r="C298" s="8">
        <v>2019</v>
      </c>
      <c r="D298" s="8">
        <v>2020</v>
      </c>
      <c r="E298" s="8">
        <v>2021</v>
      </c>
    </row>
    <row r="299" spans="1:9" ht="9" hidden="1" customHeight="1" thickBot="1" x14ac:dyDescent="0.3">
      <c r="A299" s="1251"/>
      <c r="B299" s="9" t="s">
        <v>10</v>
      </c>
      <c r="C299" s="9" t="s">
        <v>11</v>
      </c>
      <c r="D299" s="9" t="s">
        <v>11</v>
      </c>
      <c r="E299" s="9" t="s">
        <v>11</v>
      </c>
    </row>
    <row r="300" spans="1:9" ht="15.75" hidden="1" thickBot="1" x14ac:dyDescent="0.3">
      <c r="A300" s="13" t="s">
        <v>58</v>
      </c>
      <c r="B300" s="14"/>
      <c r="C300" s="14"/>
      <c r="D300" s="14"/>
      <c r="E300" s="14"/>
    </row>
    <row r="301" spans="1:9" ht="15.75" hidden="1" thickBot="1" x14ac:dyDescent="0.3">
      <c r="A301" s="13" t="s">
        <v>59</v>
      </c>
      <c r="B301" s="15"/>
      <c r="C301" s="14"/>
      <c r="D301" s="14"/>
      <c r="E301" s="14"/>
    </row>
    <row r="302" spans="1:9" ht="15.75" hidden="1" thickBot="1" x14ac:dyDescent="0.3">
      <c r="A302" s="16" t="s">
        <v>74</v>
      </c>
      <c r="B302" s="15">
        <f>B301+B300</f>
        <v>0</v>
      </c>
      <c r="C302" s="15">
        <f>C301+C300</f>
        <v>0</v>
      </c>
      <c r="D302" s="15">
        <f>D301+D300</f>
        <v>0</v>
      </c>
      <c r="E302" s="15">
        <f>E301+E300</f>
        <v>0</v>
      </c>
    </row>
    <row r="303" spans="1:9" ht="15" hidden="1" customHeight="1" x14ac:dyDescent="0.25">
      <c r="A303" s="1254" t="s">
        <v>62</v>
      </c>
      <c r="B303" s="1322"/>
      <c r="C303" s="1289"/>
      <c r="D303" s="1289"/>
      <c r="E303" s="1290"/>
    </row>
    <row r="304" spans="1:9" hidden="1" x14ac:dyDescent="0.25">
      <c r="A304" s="1255"/>
      <c r="B304" s="1291"/>
      <c r="C304" s="1292"/>
      <c r="D304" s="1292"/>
      <c r="E304" s="1293"/>
    </row>
    <row r="305" spans="1:5" ht="15.75" hidden="1" thickBot="1" x14ac:dyDescent="0.3">
      <c r="A305" s="1256"/>
      <c r="B305" s="1294"/>
      <c r="C305" s="1295"/>
      <c r="D305" s="1295"/>
      <c r="E305" s="1296"/>
    </row>
    <row r="306" spans="1:5" ht="15.75" hidden="1" customHeight="1" thickBot="1" x14ac:dyDescent="0.3">
      <c r="A306" s="6" t="s">
        <v>67</v>
      </c>
      <c r="B306" s="1277" t="s">
        <v>106</v>
      </c>
      <c r="C306" s="1271"/>
      <c r="D306" s="1271"/>
      <c r="E306" s="1759"/>
    </row>
    <row r="307" spans="1:5" ht="15.75" hidden="1" customHeight="1" thickBot="1" x14ac:dyDescent="0.3">
      <c r="A307" s="1245" t="s">
        <v>68</v>
      </c>
      <c r="B307" s="1246"/>
      <c r="C307" s="1246"/>
      <c r="D307" s="1246"/>
      <c r="E307" s="1298"/>
    </row>
    <row r="308" spans="1:5" ht="15.75" hidden="1" thickBot="1" x14ac:dyDescent="0.3">
      <c r="A308" s="221" t="s">
        <v>164</v>
      </c>
      <c r="B308" s="4" t="s">
        <v>112</v>
      </c>
      <c r="C308" s="4" t="s">
        <v>113</v>
      </c>
      <c r="D308" s="4" t="s">
        <v>113</v>
      </c>
      <c r="E308" s="4" t="s">
        <v>113</v>
      </c>
    </row>
    <row r="309" spans="1:5" ht="15.75" hidden="1" customHeight="1" thickBot="1" x14ac:dyDescent="0.3">
      <c r="A309" s="5" t="s">
        <v>165</v>
      </c>
      <c r="B309" s="4" t="s">
        <v>112</v>
      </c>
      <c r="C309" s="4" t="s">
        <v>113</v>
      </c>
      <c r="D309" s="4" t="s">
        <v>113</v>
      </c>
      <c r="E309" s="4" t="s">
        <v>113</v>
      </c>
    </row>
    <row r="310" spans="1:5" ht="23.25" hidden="1" customHeight="1" thickBot="1" x14ac:dyDescent="0.3">
      <c r="A310" s="5" t="s">
        <v>111</v>
      </c>
      <c r="B310" s="4" t="s">
        <v>112</v>
      </c>
      <c r="C310" s="4" t="s">
        <v>113</v>
      </c>
      <c r="D310" s="4" t="s">
        <v>113</v>
      </c>
      <c r="E310" s="4" t="s">
        <v>113</v>
      </c>
    </row>
    <row r="311" spans="1:5" ht="23.25" hidden="1" customHeight="1" thickBot="1" x14ac:dyDescent="0.3">
      <c r="A311" s="1278" t="s">
        <v>69</v>
      </c>
      <c r="B311" s="1279"/>
      <c r="C311" s="1279"/>
      <c r="D311" s="1279"/>
      <c r="E311" s="1355"/>
    </row>
    <row r="312" spans="1:5" ht="23.25" hidden="1" customHeight="1" thickBot="1" x14ac:dyDescent="0.3">
      <c r="A312" s="1280" t="s">
        <v>70</v>
      </c>
      <c r="B312" s="1281"/>
      <c r="C312" s="1281"/>
      <c r="D312" s="1281"/>
      <c r="E312" s="1354"/>
    </row>
    <row r="313" spans="1:5" ht="12.75" hidden="1" customHeight="1" x14ac:dyDescent="0.25">
      <c r="A313" s="1250"/>
      <c r="B313" s="8">
        <v>2018</v>
      </c>
      <c r="C313" s="8">
        <v>2019</v>
      </c>
      <c r="D313" s="8">
        <v>2020</v>
      </c>
      <c r="E313" s="8">
        <v>2021</v>
      </c>
    </row>
    <row r="314" spans="1:5" ht="9" hidden="1" customHeight="1" thickBot="1" x14ac:dyDescent="0.3">
      <c r="A314" s="1251"/>
      <c r="B314" s="9" t="s">
        <v>10</v>
      </c>
      <c r="C314" s="9" t="s">
        <v>11</v>
      </c>
      <c r="D314" s="9" t="s">
        <v>11</v>
      </c>
      <c r="E314" s="9" t="s">
        <v>11</v>
      </c>
    </row>
    <row r="315" spans="1:5" ht="26.25" hidden="1" customHeight="1" thickBot="1" x14ac:dyDescent="0.3">
      <c r="A315" s="7" t="s">
        <v>16</v>
      </c>
      <c r="B315" s="1243" t="s">
        <v>106</v>
      </c>
      <c r="C315" s="1244"/>
      <c r="D315" s="1244"/>
      <c r="E315" s="1315"/>
    </row>
    <row r="316" spans="1:5" ht="16.5" hidden="1" customHeight="1" thickBot="1" x14ac:dyDescent="0.3">
      <c r="A316" s="5" t="s">
        <v>17</v>
      </c>
      <c r="B316" s="1245" t="s">
        <v>106</v>
      </c>
      <c r="C316" s="1246"/>
      <c r="D316" s="1246"/>
      <c r="E316" s="1298"/>
    </row>
    <row r="317" spans="1:5" ht="15.75" hidden="1" customHeight="1" thickBot="1" x14ac:dyDescent="0.3">
      <c r="A317" s="5" t="s">
        <v>18</v>
      </c>
      <c r="B317" s="1248" t="s">
        <v>106</v>
      </c>
      <c r="C317" s="1249"/>
      <c r="D317" s="1249"/>
      <c r="E317" s="1316"/>
    </row>
    <row r="318" spans="1:5" ht="12.75" hidden="1" customHeight="1" x14ac:dyDescent="0.25">
      <c r="A318" s="1250"/>
      <c r="B318" s="8">
        <v>2018</v>
      </c>
      <c r="C318" s="8">
        <v>2019</v>
      </c>
      <c r="D318" s="8">
        <v>2020</v>
      </c>
      <c r="E318" s="8">
        <v>2021</v>
      </c>
    </row>
    <row r="319" spans="1:5" ht="9" hidden="1" customHeight="1" thickBot="1" x14ac:dyDescent="0.3">
      <c r="A319" s="1251"/>
      <c r="B319" s="9" t="s">
        <v>10</v>
      </c>
      <c r="C319" s="9" t="s">
        <v>11</v>
      </c>
      <c r="D319" s="9" t="s">
        <v>11</v>
      </c>
      <c r="E319" s="9" t="s">
        <v>11</v>
      </c>
    </row>
    <row r="320" spans="1:5" ht="15.75" hidden="1" customHeight="1" thickBot="1" x14ac:dyDescent="0.3">
      <c r="A320" s="5" t="s">
        <v>19</v>
      </c>
      <c r="B320" s="10"/>
      <c r="C320" s="60"/>
      <c r="D320" s="60"/>
      <c r="E320" s="60"/>
    </row>
    <row r="321" spans="1:5" ht="15.75" hidden="1" thickBot="1" x14ac:dyDescent="0.3">
      <c r="A321" s="5" t="s">
        <v>20</v>
      </c>
      <c r="B321" s="10"/>
      <c r="C321" s="10"/>
      <c r="D321" s="10"/>
      <c r="E321" s="10"/>
    </row>
    <row r="322" spans="1:5" ht="15.75" hidden="1" thickBot="1" x14ac:dyDescent="0.3">
      <c r="A322" s="5" t="s">
        <v>21</v>
      </c>
      <c r="B322" s="10" t="e">
        <f>B321/B320</f>
        <v>#DIV/0!</v>
      </c>
      <c r="C322" s="10" t="e">
        <f>C321/C320</f>
        <v>#DIV/0!</v>
      </c>
      <c r="D322" s="10" t="e">
        <f>D321/D320</f>
        <v>#DIV/0!</v>
      </c>
      <c r="E322" s="10" t="e">
        <f>E321/E320</f>
        <v>#DIV/0!</v>
      </c>
    </row>
    <row r="323" spans="1:5" ht="15.75" hidden="1" thickBot="1" x14ac:dyDescent="0.3">
      <c r="A323" s="5" t="s">
        <v>22</v>
      </c>
      <c r="B323" s="225"/>
      <c r="C323" s="11" t="e">
        <f t="shared" ref="C323:E325" si="12">C320/B320-1</f>
        <v>#DIV/0!</v>
      </c>
      <c r="D323" s="11" t="e">
        <f t="shared" si="12"/>
        <v>#DIV/0!</v>
      </c>
      <c r="E323" s="11" t="e">
        <f t="shared" si="12"/>
        <v>#DIV/0!</v>
      </c>
    </row>
    <row r="324" spans="1:5" ht="15.75" hidden="1" thickBot="1" x14ac:dyDescent="0.3">
      <c r="A324" s="5" t="s">
        <v>24</v>
      </c>
      <c r="B324" s="225"/>
      <c r="C324" s="11" t="e">
        <f t="shared" si="12"/>
        <v>#DIV/0!</v>
      </c>
      <c r="D324" s="11" t="e">
        <f t="shared" si="12"/>
        <v>#DIV/0!</v>
      </c>
      <c r="E324" s="11" t="e">
        <f t="shared" si="12"/>
        <v>#DIV/0!</v>
      </c>
    </row>
    <row r="325" spans="1:5" ht="15.75" hidden="1" thickBot="1" x14ac:dyDescent="0.3">
      <c r="A325" s="5" t="s">
        <v>25</v>
      </c>
      <c r="B325" s="225"/>
      <c r="C325" s="11" t="e">
        <f t="shared" si="12"/>
        <v>#DIV/0!</v>
      </c>
      <c r="D325" s="11" t="e">
        <f t="shared" si="12"/>
        <v>#DIV/0!</v>
      </c>
      <c r="E325" s="11" t="e">
        <f t="shared" si="12"/>
        <v>#DIV/0!</v>
      </c>
    </row>
    <row r="326" spans="1:5" ht="12.75" hidden="1" customHeight="1" x14ac:dyDescent="0.25">
      <c r="A326" s="1250"/>
      <c r="B326" s="8">
        <v>2018</v>
      </c>
      <c r="C326" s="8">
        <v>2019</v>
      </c>
      <c r="D326" s="8">
        <v>2020</v>
      </c>
      <c r="E326" s="8">
        <v>2021</v>
      </c>
    </row>
    <row r="327" spans="1:5" ht="9" hidden="1" customHeight="1" thickBot="1" x14ac:dyDescent="0.3">
      <c r="A327" s="1251"/>
      <c r="B327" s="9" t="s">
        <v>10</v>
      </c>
      <c r="C327" s="9" t="s">
        <v>11</v>
      </c>
      <c r="D327" s="9" t="s">
        <v>11</v>
      </c>
      <c r="E327" s="9" t="s">
        <v>11</v>
      </c>
    </row>
    <row r="328" spans="1:5" ht="15.75" hidden="1" customHeight="1" thickBot="1" x14ac:dyDescent="0.3">
      <c r="A328" s="1252" t="s">
        <v>636</v>
      </c>
      <c r="B328" s="1253"/>
      <c r="C328" s="1253"/>
      <c r="D328" s="1253"/>
      <c r="E328" s="1300"/>
    </row>
    <row r="329" spans="1:5" ht="12.75" hidden="1" customHeight="1" x14ac:dyDescent="0.25">
      <c r="A329" s="1250"/>
      <c r="B329" s="8">
        <v>2018</v>
      </c>
      <c r="C329" s="8">
        <v>2019</v>
      </c>
      <c r="D329" s="8">
        <v>2020</v>
      </c>
      <c r="E329" s="8">
        <v>2021</v>
      </c>
    </row>
    <row r="330" spans="1:5" ht="9" hidden="1" customHeight="1" thickBot="1" x14ac:dyDescent="0.3">
      <c r="A330" s="1251"/>
      <c r="B330" s="9" t="s">
        <v>10</v>
      </c>
      <c r="C330" s="9" t="s">
        <v>11</v>
      </c>
      <c r="D330" s="9" t="s">
        <v>11</v>
      </c>
      <c r="E330" s="9" t="s">
        <v>11</v>
      </c>
    </row>
    <row r="331" spans="1:5" ht="15.75" hidden="1" thickBot="1" x14ac:dyDescent="0.3">
      <c r="A331" s="13" t="s">
        <v>26</v>
      </c>
      <c r="B331" s="14"/>
      <c r="C331" s="14"/>
      <c r="D331" s="14"/>
      <c r="E331" s="14"/>
    </row>
    <row r="332" spans="1:5" ht="24.75" hidden="1" thickBot="1" x14ac:dyDescent="0.3">
      <c r="A332" s="28" t="s">
        <v>27</v>
      </c>
      <c r="B332" s="15"/>
      <c r="C332" s="29"/>
      <c r="D332" s="29"/>
      <c r="E332" s="29"/>
    </row>
    <row r="333" spans="1:5" ht="24.75" hidden="1" thickBot="1" x14ac:dyDescent="0.3">
      <c r="A333" s="28" t="s">
        <v>45</v>
      </c>
      <c r="B333" s="15"/>
      <c r="C333" s="29"/>
      <c r="D333" s="29"/>
      <c r="E333" s="29"/>
    </row>
    <row r="334" spans="1:5" ht="15.75" hidden="1" thickBot="1" x14ac:dyDescent="0.3">
      <c r="A334" s="13" t="s">
        <v>28</v>
      </c>
      <c r="B334" s="14"/>
      <c r="C334" s="14"/>
      <c r="D334" s="14"/>
      <c r="E334" s="14"/>
    </row>
    <row r="335" spans="1:5" ht="36.75" hidden="1" thickBot="1" x14ac:dyDescent="0.3">
      <c r="A335" s="28" t="s">
        <v>29</v>
      </c>
      <c r="B335" s="15"/>
      <c r="C335" s="14"/>
      <c r="D335" s="14"/>
      <c r="E335" s="14"/>
    </row>
    <row r="336" spans="1:5" ht="36.75" hidden="1" thickBot="1" x14ac:dyDescent="0.3">
      <c r="A336" s="28" t="s">
        <v>46</v>
      </c>
      <c r="B336" s="15"/>
      <c r="C336" s="14"/>
      <c r="D336" s="14"/>
      <c r="E336" s="14"/>
    </row>
    <row r="337" spans="1:5" ht="15.75" hidden="1" thickBot="1" x14ac:dyDescent="0.3">
      <c r="A337" s="13" t="s">
        <v>30</v>
      </c>
      <c r="B337" s="15"/>
      <c r="C337" s="14"/>
      <c r="D337" s="14"/>
      <c r="E337" s="14"/>
    </row>
    <row r="338" spans="1:5" ht="24.75" hidden="1" thickBot="1" x14ac:dyDescent="0.3">
      <c r="A338" s="28" t="s">
        <v>31</v>
      </c>
      <c r="B338" s="15"/>
      <c r="C338" s="14"/>
      <c r="D338" s="14"/>
      <c r="E338" s="14"/>
    </row>
    <row r="339" spans="1:5" ht="24.75" hidden="1" thickBot="1" x14ac:dyDescent="0.3">
      <c r="A339" s="28" t="s">
        <v>47</v>
      </c>
      <c r="B339" s="15"/>
      <c r="C339" s="14"/>
      <c r="D339" s="14"/>
      <c r="E339" s="14"/>
    </row>
    <row r="340" spans="1:5" ht="15.75" hidden="1" thickBot="1" x14ac:dyDescent="0.3">
      <c r="A340" s="13" t="s">
        <v>32</v>
      </c>
      <c r="B340" s="15"/>
      <c r="C340" s="14"/>
      <c r="D340" s="14"/>
      <c r="E340" s="14"/>
    </row>
    <row r="341" spans="1:5" ht="24.75" hidden="1" thickBot="1" x14ac:dyDescent="0.3">
      <c r="A341" s="28" t="s">
        <v>33</v>
      </c>
      <c r="B341" s="15"/>
      <c r="C341" s="14"/>
      <c r="D341" s="14"/>
      <c r="E341" s="14"/>
    </row>
    <row r="342" spans="1:5" ht="24.75" hidden="1" thickBot="1" x14ac:dyDescent="0.3">
      <c r="A342" s="28" t="s">
        <v>48</v>
      </c>
      <c r="B342" s="15"/>
      <c r="C342" s="14"/>
      <c r="D342" s="14"/>
      <c r="E342" s="14"/>
    </row>
    <row r="343" spans="1:5" ht="15.75" hidden="1" thickBot="1" x14ac:dyDescent="0.3">
      <c r="A343" s="13" t="s">
        <v>34</v>
      </c>
      <c r="B343" s="15"/>
      <c r="C343" s="14"/>
      <c r="D343" s="14"/>
      <c r="E343" s="14"/>
    </row>
    <row r="344" spans="1:5" ht="24.75" hidden="1" thickBot="1" x14ac:dyDescent="0.3">
      <c r="A344" s="28" t="s">
        <v>35</v>
      </c>
      <c r="B344" s="15"/>
      <c r="C344" s="14"/>
      <c r="D344" s="14"/>
      <c r="E344" s="14"/>
    </row>
    <row r="345" spans="1:5" ht="24.75" hidden="1" thickBot="1" x14ac:dyDescent="0.3">
      <c r="A345" s="28" t="s">
        <v>49</v>
      </c>
      <c r="B345" s="15"/>
      <c r="C345" s="14"/>
      <c r="D345" s="14"/>
      <c r="E345" s="14"/>
    </row>
    <row r="346" spans="1:5" ht="15.75" hidden="1" thickBot="1" x14ac:dyDescent="0.3">
      <c r="A346" s="13" t="s">
        <v>36</v>
      </c>
      <c r="B346" s="15"/>
      <c r="C346" s="14"/>
      <c r="D346" s="14"/>
      <c r="E346" s="14"/>
    </row>
    <row r="347" spans="1:5" ht="24.75" hidden="1" thickBot="1" x14ac:dyDescent="0.3">
      <c r="A347" s="28" t="s">
        <v>37</v>
      </c>
      <c r="B347" s="15"/>
      <c r="C347" s="14"/>
      <c r="D347" s="14"/>
      <c r="E347" s="14"/>
    </row>
    <row r="348" spans="1:5" ht="24.75" hidden="1" thickBot="1" x14ac:dyDescent="0.3">
      <c r="A348" s="28" t="s">
        <v>50</v>
      </c>
      <c r="B348" s="15"/>
      <c r="C348" s="14"/>
      <c r="D348" s="14"/>
      <c r="E348" s="14"/>
    </row>
    <row r="349" spans="1:5" ht="15.75" hidden="1" thickBot="1" x14ac:dyDescent="0.3">
      <c r="A349" s="13" t="s">
        <v>38</v>
      </c>
      <c r="B349" s="15"/>
      <c r="C349" s="14"/>
      <c r="D349" s="14"/>
      <c r="E349" s="14"/>
    </row>
    <row r="350" spans="1:5" ht="24.75" hidden="1" thickBot="1" x14ac:dyDescent="0.3">
      <c r="A350" s="28" t="s">
        <v>39</v>
      </c>
      <c r="B350" s="15"/>
      <c r="C350" s="14"/>
      <c r="D350" s="14"/>
      <c r="E350" s="14"/>
    </row>
    <row r="351" spans="1:5" ht="24.75" hidden="1" thickBot="1" x14ac:dyDescent="0.3">
      <c r="A351" s="28" t="s">
        <v>51</v>
      </c>
      <c r="B351" s="15"/>
      <c r="C351" s="14"/>
      <c r="D351" s="14"/>
      <c r="E351" s="14"/>
    </row>
    <row r="352" spans="1:5" ht="24.75" hidden="1" thickBot="1" x14ac:dyDescent="0.3">
      <c r="A352" s="137" t="s">
        <v>71</v>
      </c>
      <c r="B352" s="138">
        <f>B349+B346+B343+B340+B337+B334+B331</f>
        <v>0</v>
      </c>
      <c r="C352" s="138">
        <f>C349+C346+C343+C340+C337+C334+C331</f>
        <v>0</v>
      </c>
      <c r="D352" s="138">
        <f>D349+D346+D343+D340+D337+D334+D331</f>
        <v>0</v>
      </c>
      <c r="E352" s="138">
        <f>E349+E346+E343+E340+E337+E334+E331</f>
        <v>0</v>
      </c>
    </row>
    <row r="353" spans="1:5" ht="15" hidden="1" customHeight="1" x14ac:dyDescent="0.25">
      <c r="A353" s="1254" t="s">
        <v>115</v>
      </c>
      <c r="B353" s="1322" t="s">
        <v>23</v>
      </c>
      <c r="C353" s="1289"/>
      <c r="D353" s="1289"/>
      <c r="E353" s="1290"/>
    </row>
    <row r="354" spans="1:5" hidden="1" x14ac:dyDescent="0.25">
      <c r="A354" s="1255"/>
      <c r="B354" s="1291"/>
      <c r="C354" s="1292"/>
      <c r="D354" s="1292"/>
      <c r="E354" s="1293"/>
    </row>
    <row r="355" spans="1:5" ht="15.75" hidden="1" thickBot="1" x14ac:dyDescent="0.3">
      <c r="A355" s="1256"/>
      <c r="B355" s="1294"/>
      <c r="C355" s="1295"/>
      <c r="D355" s="1295"/>
      <c r="E355" s="1296"/>
    </row>
    <row r="356" spans="1:5" ht="15.75" hidden="1" thickBot="1" x14ac:dyDescent="0.3">
      <c r="A356" s="17" t="s">
        <v>41</v>
      </c>
      <c r="B356" s="18">
        <f>IF(B352-B321=0,0,"Error")</f>
        <v>0</v>
      </c>
      <c r="C356" s="18">
        <f>IF(C352-C321=0,0,"Error")</f>
        <v>0</v>
      </c>
      <c r="D356" s="18">
        <f>IF(D352-D321=0,0,"Error")</f>
        <v>0</v>
      </c>
      <c r="E356" s="18">
        <f>IF(E352-E321=0,0,"Error")</f>
        <v>0</v>
      </c>
    </row>
    <row r="357" spans="1:5" ht="15.75" hidden="1" thickBot="1" x14ac:dyDescent="0.3">
      <c r="A357" s="139" t="s">
        <v>637</v>
      </c>
      <c r="B357" s="1243" t="s">
        <v>106</v>
      </c>
      <c r="C357" s="1244"/>
      <c r="D357" s="1244"/>
      <c r="E357" s="1315"/>
    </row>
    <row r="358" spans="1:5" ht="15.75" hidden="1" thickBot="1" x14ac:dyDescent="0.3">
      <c r="A358" s="5" t="s">
        <v>17</v>
      </c>
      <c r="B358" s="1245" t="s">
        <v>106</v>
      </c>
      <c r="C358" s="1246"/>
      <c r="D358" s="1246"/>
      <c r="E358" s="1298"/>
    </row>
    <row r="359" spans="1:5" ht="15.75" hidden="1" thickBot="1" x14ac:dyDescent="0.3">
      <c r="A359" s="5" t="s">
        <v>18</v>
      </c>
      <c r="B359" s="1248" t="s">
        <v>106</v>
      </c>
      <c r="C359" s="1249"/>
      <c r="D359" s="1249"/>
      <c r="E359" s="1316"/>
    </row>
    <row r="360" spans="1:5" ht="12.75" hidden="1" customHeight="1" x14ac:dyDescent="0.25">
      <c r="A360" s="1250"/>
      <c r="B360" s="8">
        <v>2018</v>
      </c>
      <c r="C360" s="8">
        <v>2019</v>
      </c>
      <c r="D360" s="8">
        <v>2020</v>
      </c>
      <c r="E360" s="8">
        <v>2021</v>
      </c>
    </row>
    <row r="361" spans="1:5" ht="9" hidden="1" customHeight="1" thickBot="1" x14ac:dyDescent="0.3">
      <c r="A361" s="1251"/>
      <c r="B361" s="9" t="s">
        <v>10</v>
      </c>
      <c r="C361" s="9" t="s">
        <v>11</v>
      </c>
      <c r="D361" s="9" t="s">
        <v>11</v>
      </c>
      <c r="E361" s="9" t="s">
        <v>11</v>
      </c>
    </row>
    <row r="362" spans="1:5" ht="15.75" hidden="1" thickBot="1" x14ac:dyDescent="0.3">
      <c r="A362" s="5" t="s">
        <v>19</v>
      </c>
      <c r="B362" s="10"/>
      <c r="C362" s="10"/>
      <c r="D362" s="10"/>
      <c r="E362" s="10"/>
    </row>
    <row r="363" spans="1:5" ht="15.75" hidden="1" thickBot="1" x14ac:dyDescent="0.3">
      <c r="A363" s="5" t="s">
        <v>20</v>
      </c>
      <c r="B363" s="10"/>
      <c r="C363" s="10"/>
      <c r="D363" s="10"/>
      <c r="E363" s="10"/>
    </row>
    <row r="364" spans="1:5" ht="15.75" hidden="1" thickBot="1" x14ac:dyDescent="0.3">
      <c r="A364" s="5" t="s">
        <v>21</v>
      </c>
      <c r="B364" s="10" t="e">
        <f>B363/B362</f>
        <v>#DIV/0!</v>
      </c>
      <c r="C364" s="10" t="e">
        <f>C363/C362</f>
        <v>#DIV/0!</v>
      </c>
      <c r="D364" s="10" t="e">
        <f>D363/D362</f>
        <v>#DIV/0!</v>
      </c>
      <c r="E364" s="10" t="e">
        <f>E363/E362</f>
        <v>#DIV/0!</v>
      </c>
    </row>
    <row r="365" spans="1:5" ht="15.75" hidden="1" thickBot="1" x14ac:dyDescent="0.3">
      <c r="A365" s="5" t="s">
        <v>22</v>
      </c>
      <c r="B365" s="225"/>
      <c r="C365" s="11" t="e">
        <f t="shared" ref="C365:E367" si="13">C362/B362-1</f>
        <v>#DIV/0!</v>
      </c>
      <c r="D365" s="11" t="e">
        <f t="shared" si="13"/>
        <v>#DIV/0!</v>
      </c>
      <c r="E365" s="11" t="e">
        <f t="shared" si="13"/>
        <v>#DIV/0!</v>
      </c>
    </row>
    <row r="366" spans="1:5" ht="15.75" hidden="1" thickBot="1" x14ac:dyDescent="0.3">
      <c r="A366" s="5" t="s">
        <v>24</v>
      </c>
      <c r="B366" s="225"/>
      <c r="C366" s="11" t="e">
        <f t="shared" si="13"/>
        <v>#DIV/0!</v>
      </c>
      <c r="D366" s="11" t="e">
        <f t="shared" si="13"/>
        <v>#DIV/0!</v>
      </c>
      <c r="E366" s="11" t="e">
        <f t="shared" si="13"/>
        <v>#DIV/0!</v>
      </c>
    </row>
    <row r="367" spans="1:5" ht="15.75" hidden="1" thickBot="1" x14ac:dyDescent="0.3">
      <c r="A367" s="5" t="s">
        <v>25</v>
      </c>
      <c r="B367" s="225"/>
      <c r="C367" s="11" t="e">
        <f t="shared" si="13"/>
        <v>#DIV/0!</v>
      </c>
      <c r="D367" s="11" t="e">
        <f t="shared" si="13"/>
        <v>#DIV/0!</v>
      </c>
      <c r="E367" s="11" t="e">
        <f t="shared" si="13"/>
        <v>#DIV/0!</v>
      </c>
    </row>
    <row r="368" spans="1:5" ht="15.75" hidden="1" customHeight="1" thickBot="1" x14ac:dyDescent="0.3">
      <c r="A368" s="1252" t="s">
        <v>635</v>
      </c>
      <c r="B368" s="1253"/>
      <c r="C368" s="1253"/>
      <c r="D368" s="1253"/>
      <c r="E368" s="1300"/>
    </row>
    <row r="369" spans="1:5" ht="12.75" hidden="1" customHeight="1" x14ac:dyDescent="0.25">
      <c r="A369" s="1250"/>
      <c r="B369" s="8">
        <v>2018</v>
      </c>
      <c r="C369" s="8">
        <v>2019</v>
      </c>
      <c r="D369" s="8">
        <v>2020</v>
      </c>
      <c r="E369" s="8">
        <v>2021</v>
      </c>
    </row>
    <row r="370" spans="1:5" ht="9" hidden="1" customHeight="1" thickBot="1" x14ac:dyDescent="0.3">
      <c r="A370" s="1251"/>
      <c r="B370" s="9" t="s">
        <v>10</v>
      </c>
      <c r="C370" s="9" t="s">
        <v>11</v>
      </c>
      <c r="D370" s="9" t="s">
        <v>11</v>
      </c>
      <c r="E370" s="9" t="s">
        <v>11</v>
      </c>
    </row>
    <row r="371" spans="1:5" ht="15.75" hidden="1" thickBot="1" x14ac:dyDescent="0.3">
      <c r="A371" s="13" t="s">
        <v>26</v>
      </c>
      <c r="B371" s="14"/>
      <c r="C371" s="14"/>
      <c r="D371" s="14"/>
      <c r="E371" s="14"/>
    </row>
    <row r="372" spans="1:5" ht="24.75" hidden="1" thickBot="1" x14ac:dyDescent="0.3">
      <c r="A372" s="28" t="s">
        <v>27</v>
      </c>
      <c r="B372" s="15"/>
      <c r="C372" s="29"/>
      <c r="D372" s="29"/>
      <c r="E372" s="29"/>
    </row>
    <row r="373" spans="1:5" ht="24.75" hidden="1" thickBot="1" x14ac:dyDescent="0.3">
      <c r="A373" s="28" t="s">
        <v>45</v>
      </c>
      <c r="B373" s="15"/>
      <c r="C373" s="29"/>
      <c r="D373" s="29"/>
      <c r="E373" s="29"/>
    </row>
    <row r="374" spans="1:5" ht="15.75" hidden="1" thickBot="1" x14ac:dyDescent="0.3">
      <c r="A374" s="13" t="s">
        <v>28</v>
      </c>
      <c r="B374" s="14"/>
      <c r="C374" s="14"/>
      <c r="D374" s="14"/>
      <c r="E374" s="14"/>
    </row>
    <row r="375" spans="1:5" ht="36.75" hidden="1" thickBot="1" x14ac:dyDescent="0.3">
      <c r="A375" s="28" t="s">
        <v>29</v>
      </c>
      <c r="B375" s="15"/>
      <c r="C375" s="14"/>
      <c r="D375" s="14"/>
      <c r="E375" s="14"/>
    </row>
    <row r="376" spans="1:5" ht="36.75" hidden="1" thickBot="1" x14ac:dyDescent="0.3">
      <c r="A376" s="28" t="s">
        <v>46</v>
      </c>
      <c r="B376" s="15"/>
      <c r="C376" s="14"/>
      <c r="D376" s="14"/>
      <c r="E376" s="14"/>
    </row>
    <row r="377" spans="1:5" ht="15.75" hidden="1" thickBot="1" x14ac:dyDescent="0.3">
      <c r="A377" s="13" t="s">
        <v>30</v>
      </c>
      <c r="B377" s="15"/>
      <c r="C377" s="14"/>
      <c r="D377" s="14"/>
      <c r="E377" s="14"/>
    </row>
    <row r="378" spans="1:5" ht="24.75" hidden="1" thickBot="1" x14ac:dyDescent="0.3">
      <c r="A378" s="28" t="s">
        <v>31</v>
      </c>
      <c r="B378" s="15"/>
      <c r="C378" s="14"/>
      <c r="D378" s="14"/>
      <c r="E378" s="14"/>
    </row>
    <row r="379" spans="1:5" ht="24.75" hidden="1" thickBot="1" x14ac:dyDescent="0.3">
      <c r="A379" s="28" t="s">
        <v>47</v>
      </c>
      <c r="B379" s="15"/>
      <c r="C379" s="14"/>
      <c r="D379" s="14"/>
      <c r="E379" s="14"/>
    </row>
    <row r="380" spans="1:5" ht="15.75" hidden="1" thickBot="1" x14ac:dyDescent="0.3">
      <c r="A380" s="13" t="s">
        <v>32</v>
      </c>
      <c r="B380" s="15"/>
      <c r="C380" s="14"/>
      <c r="D380" s="14"/>
      <c r="E380" s="14"/>
    </row>
    <row r="381" spans="1:5" ht="24.75" hidden="1" thickBot="1" x14ac:dyDescent="0.3">
      <c r="A381" s="28" t="s">
        <v>33</v>
      </c>
      <c r="B381" s="15"/>
      <c r="C381" s="14"/>
      <c r="D381" s="14"/>
      <c r="E381" s="14"/>
    </row>
    <row r="382" spans="1:5" ht="24.75" hidden="1" thickBot="1" x14ac:dyDescent="0.3">
      <c r="A382" s="28" t="s">
        <v>48</v>
      </c>
      <c r="B382" s="15"/>
      <c r="C382" s="14"/>
      <c r="D382" s="14"/>
      <c r="E382" s="14"/>
    </row>
    <row r="383" spans="1:5" ht="15.75" hidden="1" thickBot="1" x14ac:dyDescent="0.3">
      <c r="A383" s="13" t="s">
        <v>34</v>
      </c>
      <c r="B383" s="15"/>
      <c r="C383" s="14"/>
      <c r="D383" s="14"/>
      <c r="E383" s="14"/>
    </row>
    <row r="384" spans="1:5" ht="24.75" hidden="1" thickBot="1" x14ac:dyDescent="0.3">
      <c r="A384" s="28" t="s">
        <v>35</v>
      </c>
      <c r="B384" s="15"/>
      <c r="C384" s="14"/>
      <c r="D384" s="14"/>
      <c r="E384" s="14"/>
    </row>
    <row r="385" spans="1:5" ht="24.75" hidden="1" thickBot="1" x14ac:dyDescent="0.3">
      <c r="A385" s="28" t="s">
        <v>49</v>
      </c>
      <c r="B385" s="15"/>
      <c r="C385" s="14"/>
      <c r="D385" s="14"/>
      <c r="E385" s="14"/>
    </row>
    <row r="386" spans="1:5" ht="15.75" hidden="1" thickBot="1" x14ac:dyDescent="0.3">
      <c r="A386" s="13" t="s">
        <v>36</v>
      </c>
      <c r="B386" s="15"/>
      <c r="C386" s="14"/>
      <c r="D386" s="14"/>
      <c r="E386" s="14"/>
    </row>
    <row r="387" spans="1:5" ht="24.75" hidden="1" thickBot="1" x14ac:dyDescent="0.3">
      <c r="A387" s="28" t="s">
        <v>37</v>
      </c>
      <c r="B387" s="15"/>
      <c r="C387" s="14"/>
      <c r="D387" s="14"/>
      <c r="E387" s="14"/>
    </row>
    <row r="388" spans="1:5" ht="24.75" hidden="1" thickBot="1" x14ac:dyDescent="0.3">
      <c r="A388" s="28" t="s">
        <v>50</v>
      </c>
      <c r="B388" s="15"/>
      <c r="C388" s="14"/>
      <c r="D388" s="14"/>
      <c r="E388" s="14"/>
    </row>
    <row r="389" spans="1:5" ht="15.75" hidden="1" thickBot="1" x14ac:dyDescent="0.3">
      <c r="A389" s="13" t="s">
        <v>38</v>
      </c>
      <c r="B389" s="15"/>
      <c r="C389" s="14"/>
      <c r="D389" s="14"/>
      <c r="E389" s="14"/>
    </row>
    <row r="390" spans="1:5" ht="24.75" hidden="1" thickBot="1" x14ac:dyDescent="0.3">
      <c r="A390" s="28" t="s">
        <v>39</v>
      </c>
      <c r="B390" s="15"/>
      <c r="C390" s="14"/>
      <c r="D390" s="14"/>
      <c r="E390" s="14"/>
    </row>
    <row r="391" spans="1:5" ht="24.75" hidden="1" thickBot="1" x14ac:dyDescent="0.3">
      <c r="A391" s="28" t="s">
        <v>51</v>
      </c>
      <c r="B391" s="15"/>
      <c r="C391" s="14"/>
      <c r="D391" s="14"/>
      <c r="E391" s="14"/>
    </row>
    <row r="392" spans="1:5" ht="24.75" hidden="1" thickBot="1" x14ac:dyDescent="0.3">
      <c r="A392" s="137" t="s">
        <v>71</v>
      </c>
      <c r="B392" s="140">
        <f>B389+B383+B386+B380+B377+B374+B371</f>
        <v>0</v>
      </c>
      <c r="C392" s="140">
        <f>C389+C383+C386+C380+C377+C374+C371</f>
        <v>0</v>
      </c>
      <c r="D392" s="140">
        <f>D389+D383+D386+D380+D377+D374+D371</f>
        <v>0</v>
      </c>
      <c r="E392" s="140">
        <f>E389+E383+E386+E380+E377+E374+E371</f>
        <v>0</v>
      </c>
    </row>
    <row r="393" spans="1:5" ht="15" hidden="1" customHeight="1" x14ac:dyDescent="0.25">
      <c r="A393" s="1254" t="s">
        <v>116</v>
      </c>
      <c r="B393" s="1322"/>
      <c r="C393" s="1289"/>
      <c r="D393" s="1289"/>
      <c r="E393" s="1290"/>
    </row>
    <row r="394" spans="1:5" hidden="1" x14ac:dyDescent="0.25">
      <c r="A394" s="1255"/>
      <c r="B394" s="1291"/>
      <c r="C394" s="1292"/>
      <c r="D394" s="1292"/>
      <c r="E394" s="1293"/>
    </row>
    <row r="395" spans="1:5" ht="15.75" hidden="1" thickBot="1" x14ac:dyDescent="0.3">
      <c r="A395" s="1256"/>
      <c r="B395" s="1294"/>
      <c r="C395" s="1295"/>
      <c r="D395" s="1295"/>
      <c r="E395" s="1296"/>
    </row>
    <row r="396" spans="1:5" ht="15.75" hidden="1" thickBot="1" x14ac:dyDescent="0.3">
      <c r="A396" s="17" t="s">
        <v>41</v>
      </c>
      <c r="B396" s="18">
        <f>IF(B392-B363=0,0,"Error")</f>
        <v>0</v>
      </c>
      <c r="C396" s="18">
        <f>IF(C392-C363=0,0,"Error")</f>
        <v>0</v>
      </c>
      <c r="D396" s="18">
        <f>IF(D392-D363=0,0,"Error")</f>
        <v>0</v>
      </c>
      <c r="E396" s="18">
        <f>IF(E392-E363=0,0,"Error")</f>
        <v>0</v>
      </c>
    </row>
    <row r="397" spans="1:5" ht="15.75" hidden="1" thickBot="1" x14ac:dyDescent="0.3">
      <c r="A397" s="1275" t="s">
        <v>63</v>
      </c>
      <c r="B397" s="1276"/>
      <c r="C397" s="1276"/>
      <c r="D397" s="1276"/>
      <c r="E397" s="1317"/>
    </row>
    <row r="398" spans="1:5" ht="15.75" hidden="1" thickBot="1" x14ac:dyDescent="0.3">
      <c r="A398" s="1275" t="s">
        <v>56</v>
      </c>
      <c r="B398" s="1276"/>
      <c r="C398" s="1276"/>
      <c r="D398" s="1276"/>
      <c r="E398" s="1317"/>
    </row>
    <row r="399" spans="1:5" ht="15.75" hidden="1" thickBot="1" x14ac:dyDescent="0.3">
      <c r="A399" s="20" t="s">
        <v>61</v>
      </c>
      <c r="B399" s="1241" t="s">
        <v>124</v>
      </c>
      <c r="C399" s="1242"/>
      <c r="D399" s="1242"/>
      <c r="E399" s="1318"/>
    </row>
    <row r="400" spans="1:5" ht="15.75" hidden="1" thickBot="1" x14ac:dyDescent="0.3">
      <c r="A400" s="7" t="s">
        <v>16</v>
      </c>
      <c r="B400" s="1243" t="s">
        <v>106</v>
      </c>
      <c r="C400" s="1244"/>
      <c r="D400" s="1244"/>
      <c r="E400" s="1315"/>
    </row>
    <row r="401" spans="1:9" ht="17.25" hidden="1" customHeight="1" thickBot="1" x14ac:dyDescent="0.3">
      <c r="A401" s="5" t="s">
        <v>17</v>
      </c>
      <c r="B401" s="1245" t="s">
        <v>106</v>
      </c>
      <c r="C401" s="1246"/>
      <c r="D401" s="1246"/>
      <c r="E401" s="1298"/>
    </row>
    <row r="402" spans="1:9" ht="15.75" hidden="1" thickBot="1" x14ac:dyDescent="0.3">
      <c r="A402" s="5" t="s">
        <v>18</v>
      </c>
      <c r="B402" s="1248" t="s">
        <v>106</v>
      </c>
      <c r="C402" s="1249"/>
      <c r="D402" s="1249"/>
      <c r="E402" s="1316"/>
    </row>
    <row r="403" spans="1:9" ht="12.75" hidden="1" customHeight="1" x14ac:dyDescent="0.25">
      <c r="A403" s="1250"/>
      <c r="B403" s="8">
        <v>2018</v>
      </c>
      <c r="C403" s="8">
        <v>2019</v>
      </c>
      <c r="D403" s="8">
        <v>2020</v>
      </c>
      <c r="E403" s="8">
        <v>2021</v>
      </c>
    </row>
    <row r="404" spans="1:9" ht="9" hidden="1" customHeight="1" thickBot="1" x14ac:dyDescent="0.3">
      <c r="A404" s="1251"/>
      <c r="B404" s="9" t="s">
        <v>10</v>
      </c>
      <c r="C404" s="9" t="s">
        <v>11</v>
      </c>
      <c r="D404" s="9" t="s">
        <v>11</v>
      </c>
      <c r="E404" s="9" t="s">
        <v>11</v>
      </c>
    </row>
    <row r="405" spans="1:9" ht="15.75" hidden="1" thickBot="1" x14ac:dyDescent="0.3">
      <c r="A405" s="5" t="s">
        <v>19</v>
      </c>
      <c r="B405" s="10"/>
      <c r="C405" s="10"/>
      <c r="D405" s="10"/>
      <c r="E405" s="10"/>
    </row>
    <row r="406" spans="1:9" ht="15.75" hidden="1" thickBot="1" x14ac:dyDescent="0.3">
      <c r="A406" s="5" t="s">
        <v>20</v>
      </c>
      <c r="B406" s="10"/>
      <c r="C406" s="10"/>
      <c r="D406" s="10"/>
      <c r="E406" s="10"/>
    </row>
    <row r="407" spans="1:9" ht="15.75" hidden="1" thickBot="1" x14ac:dyDescent="0.3">
      <c r="A407" s="5" t="s">
        <v>21</v>
      </c>
      <c r="B407" s="10" t="e">
        <f>B406/B405</f>
        <v>#DIV/0!</v>
      </c>
      <c r="C407" s="10" t="e">
        <f>C406/C405</f>
        <v>#DIV/0!</v>
      </c>
      <c r="D407" s="10" t="e">
        <f>D406/D405</f>
        <v>#DIV/0!</v>
      </c>
      <c r="E407" s="10" t="e">
        <f>E406/E405</f>
        <v>#DIV/0!</v>
      </c>
    </row>
    <row r="408" spans="1:9" ht="15.75" hidden="1" thickBot="1" x14ac:dyDescent="0.3">
      <c r="A408" s="5" t="s">
        <v>22</v>
      </c>
      <c r="B408" s="225" t="s">
        <v>23</v>
      </c>
      <c r="C408" s="11" t="e">
        <f t="shared" ref="C408:E410" si="14">C405/B405-1</f>
        <v>#DIV/0!</v>
      </c>
      <c r="D408" s="11" t="e">
        <f t="shared" si="14"/>
        <v>#DIV/0!</v>
      </c>
      <c r="E408" s="11" t="e">
        <f t="shared" si="14"/>
        <v>#DIV/0!</v>
      </c>
      <c r="F408" s="12"/>
      <c r="G408" s="12"/>
      <c r="H408" s="12"/>
      <c r="I408" s="12"/>
    </row>
    <row r="409" spans="1:9" ht="15.75" hidden="1" thickBot="1" x14ac:dyDescent="0.3">
      <c r="A409" s="5" t="s">
        <v>24</v>
      </c>
      <c r="B409" s="225" t="s">
        <v>23</v>
      </c>
      <c r="C409" s="11" t="e">
        <f t="shared" si="14"/>
        <v>#DIV/0!</v>
      </c>
      <c r="D409" s="11" t="e">
        <f t="shared" si="14"/>
        <v>#DIV/0!</v>
      </c>
      <c r="E409" s="11" t="e">
        <f t="shared" si="14"/>
        <v>#DIV/0!</v>
      </c>
    </row>
    <row r="410" spans="1:9" ht="15.75" hidden="1" thickBot="1" x14ac:dyDescent="0.3">
      <c r="A410" s="5" t="s">
        <v>25</v>
      </c>
      <c r="B410" s="225" t="s">
        <v>23</v>
      </c>
      <c r="C410" s="11" t="e">
        <f t="shared" si="14"/>
        <v>#DIV/0!</v>
      </c>
      <c r="D410" s="11" t="e">
        <f t="shared" si="14"/>
        <v>#DIV/0!</v>
      </c>
      <c r="E410" s="11" t="e">
        <f t="shared" si="14"/>
        <v>#DIV/0!</v>
      </c>
    </row>
    <row r="411" spans="1:9" ht="15.75" hidden="1" customHeight="1" thickBot="1" x14ac:dyDescent="0.3">
      <c r="A411" s="1252" t="s">
        <v>633</v>
      </c>
      <c r="B411" s="1253"/>
      <c r="C411" s="1253"/>
      <c r="D411" s="1253"/>
      <c r="E411" s="1300"/>
    </row>
    <row r="412" spans="1:9" ht="12.75" hidden="1" customHeight="1" x14ac:dyDescent="0.25">
      <c r="A412" s="1250"/>
      <c r="B412" s="8">
        <v>2018</v>
      </c>
      <c r="C412" s="8">
        <v>2019</v>
      </c>
      <c r="D412" s="8">
        <v>2020</v>
      </c>
      <c r="E412" s="8">
        <v>2021</v>
      </c>
    </row>
    <row r="413" spans="1:9" ht="9" hidden="1" customHeight="1" thickBot="1" x14ac:dyDescent="0.3">
      <c r="A413" s="1251"/>
      <c r="B413" s="9" t="s">
        <v>10</v>
      </c>
      <c r="C413" s="9" t="s">
        <v>11</v>
      </c>
      <c r="D413" s="9" t="s">
        <v>11</v>
      </c>
      <c r="E413" s="9" t="s">
        <v>11</v>
      </c>
    </row>
    <row r="414" spans="1:9" ht="15.75" hidden="1" thickBot="1" x14ac:dyDescent="0.3">
      <c r="A414" s="13" t="s">
        <v>58</v>
      </c>
      <c r="B414" s="14"/>
      <c r="C414" s="14"/>
      <c r="D414" s="14"/>
      <c r="E414" s="14"/>
    </row>
    <row r="415" spans="1:9" ht="15.75" hidden="1" thickBot="1" x14ac:dyDescent="0.3">
      <c r="A415" s="13" t="s">
        <v>59</v>
      </c>
      <c r="B415" s="15"/>
      <c r="C415" s="14"/>
      <c r="D415" s="14"/>
      <c r="E415" s="14"/>
    </row>
    <row r="416" spans="1:9" ht="15.75" hidden="1" thickBot="1" x14ac:dyDescent="0.3">
      <c r="A416" s="16" t="s">
        <v>40</v>
      </c>
      <c r="B416" s="15">
        <f>B415+B414</f>
        <v>0</v>
      </c>
      <c r="C416" s="15">
        <f>C415+C414</f>
        <v>0</v>
      </c>
      <c r="D416" s="15">
        <f>D415+D414</f>
        <v>0</v>
      </c>
      <c r="E416" s="15">
        <f>E415+E414</f>
        <v>0</v>
      </c>
    </row>
    <row r="417" spans="1:9" ht="15" hidden="1" customHeight="1" x14ac:dyDescent="0.25">
      <c r="A417" s="1254" t="s">
        <v>60</v>
      </c>
      <c r="B417" s="1322"/>
      <c r="C417" s="1289"/>
      <c r="D417" s="1289"/>
      <c r="E417" s="1290"/>
    </row>
    <row r="418" spans="1:9" hidden="1" x14ac:dyDescent="0.25">
      <c r="A418" s="1255"/>
      <c r="B418" s="1291"/>
      <c r="C418" s="1292"/>
      <c r="D418" s="1292"/>
      <c r="E418" s="1293"/>
    </row>
    <row r="419" spans="1:9" ht="15.75" hidden="1" thickBot="1" x14ac:dyDescent="0.3">
      <c r="A419" s="1256"/>
      <c r="B419" s="1294"/>
      <c r="C419" s="1295"/>
      <c r="D419" s="1295"/>
      <c r="E419" s="1296"/>
    </row>
    <row r="420" spans="1:9" ht="15.75" hidden="1" thickBot="1" x14ac:dyDescent="0.3">
      <c r="A420" s="20" t="s">
        <v>61</v>
      </c>
      <c r="B420" s="1241" t="s">
        <v>124</v>
      </c>
      <c r="C420" s="1242"/>
      <c r="D420" s="1242"/>
      <c r="E420" s="1318"/>
    </row>
    <row r="421" spans="1:9" ht="15.75" hidden="1" thickBot="1" x14ac:dyDescent="0.3">
      <c r="A421" s="7" t="s">
        <v>123</v>
      </c>
      <c r="B421" s="1243" t="s">
        <v>106</v>
      </c>
      <c r="C421" s="1244"/>
      <c r="D421" s="1244"/>
      <c r="E421" s="1315"/>
    </row>
    <row r="422" spans="1:9" ht="17.25" hidden="1" customHeight="1" thickBot="1" x14ac:dyDescent="0.3">
      <c r="A422" s="5" t="s">
        <v>17</v>
      </c>
      <c r="B422" s="1245" t="s">
        <v>106</v>
      </c>
      <c r="C422" s="1246"/>
      <c r="D422" s="1246"/>
      <c r="E422" s="1298"/>
    </row>
    <row r="423" spans="1:9" ht="15.75" hidden="1" thickBot="1" x14ac:dyDescent="0.3">
      <c r="A423" s="5" t="s">
        <v>18</v>
      </c>
      <c r="B423" s="1248" t="s">
        <v>106</v>
      </c>
      <c r="C423" s="1249"/>
      <c r="D423" s="1249"/>
      <c r="E423" s="1316"/>
    </row>
    <row r="424" spans="1:9" ht="12.75" hidden="1" customHeight="1" x14ac:dyDescent="0.25">
      <c r="A424" s="1250"/>
      <c r="B424" s="8">
        <v>2018</v>
      </c>
      <c r="C424" s="8">
        <v>2019</v>
      </c>
      <c r="D424" s="8">
        <v>2020</v>
      </c>
      <c r="E424" s="8">
        <v>2021</v>
      </c>
    </row>
    <row r="425" spans="1:9" ht="9" hidden="1" customHeight="1" thickBot="1" x14ac:dyDescent="0.3">
      <c r="A425" s="1251"/>
      <c r="B425" s="9" t="s">
        <v>10</v>
      </c>
      <c r="C425" s="9" t="s">
        <v>11</v>
      </c>
      <c r="D425" s="9" t="s">
        <v>11</v>
      </c>
      <c r="E425" s="9" t="s">
        <v>11</v>
      </c>
    </row>
    <row r="426" spans="1:9" ht="15.75" hidden="1" thickBot="1" x14ac:dyDescent="0.3">
      <c r="A426" s="5" t="s">
        <v>19</v>
      </c>
      <c r="B426" s="10"/>
      <c r="C426" s="10"/>
      <c r="D426" s="10"/>
      <c r="E426" s="10"/>
    </row>
    <row r="427" spans="1:9" ht="15.75" hidden="1" thickBot="1" x14ac:dyDescent="0.3">
      <c r="A427" s="5" t="s">
        <v>20</v>
      </c>
      <c r="B427" s="10"/>
      <c r="C427" s="10"/>
      <c r="D427" s="10"/>
      <c r="E427" s="10"/>
    </row>
    <row r="428" spans="1:9" ht="15.75" hidden="1" thickBot="1" x14ac:dyDescent="0.3">
      <c r="A428" s="5" t="s">
        <v>21</v>
      </c>
      <c r="B428" s="10" t="e">
        <f>B427/B426</f>
        <v>#DIV/0!</v>
      </c>
      <c r="C428" s="10" t="e">
        <f>C427/C426</f>
        <v>#DIV/0!</v>
      </c>
      <c r="D428" s="10" t="e">
        <f>D427/D426</f>
        <v>#DIV/0!</v>
      </c>
      <c r="E428" s="10" t="e">
        <f>E427/E426</f>
        <v>#DIV/0!</v>
      </c>
    </row>
    <row r="429" spans="1:9" ht="15.75" hidden="1" thickBot="1" x14ac:dyDescent="0.3">
      <c r="A429" s="5" t="s">
        <v>22</v>
      </c>
      <c r="B429" s="225" t="s">
        <v>23</v>
      </c>
      <c r="C429" s="11" t="e">
        <f t="shared" ref="C429:E431" si="15">C426/B426-1</f>
        <v>#DIV/0!</v>
      </c>
      <c r="D429" s="11" t="e">
        <f t="shared" si="15"/>
        <v>#DIV/0!</v>
      </c>
      <c r="E429" s="11" t="e">
        <f t="shared" si="15"/>
        <v>#DIV/0!</v>
      </c>
      <c r="F429" s="12"/>
      <c r="G429" s="12"/>
      <c r="H429" s="12"/>
      <c r="I429" s="12"/>
    </row>
    <row r="430" spans="1:9" ht="15.75" hidden="1" thickBot="1" x14ac:dyDescent="0.3">
      <c r="A430" s="5" t="s">
        <v>24</v>
      </c>
      <c r="B430" s="225" t="s">
        <v>23</v>
      </c>
      <c r="C430" s="11" t="e">
        <f t="shared" si="15"/>
        <v>#DIV/0!</v>
      </c>
      <c r="D430" s="11" t="e">
        <f t="shared" si="15"/>
        <v>#DIV/0!</v>
      </c>
      <c r="E430" s="11" t="e">
        <f t="shared" si="15"/>
        <v>#DIV/0!</v>
      </c>
    </row>
    <row r="431" spans="1:9" ht="15.75" hidden="1" thickBot="1" x14ac:dyDescent="0.3">
      <c r="A431" s="5" t="s">
        <v>25</v>
      </c>
      <c r="B431" s="225" t="s">
        <v>23</v>
      </c>
      <c r="C431" s="11" t="e">
        <f t="shared" si="15"/>
        <v>#DIV/0!</v>
      </c>
      <c r="D431" s="11" t="e">
        <f t="shared" si="15"/>
        <v>#DIV/0!</v>
      </c>
      <c r="E431" s="11" t="e">
        <f t="shared" si="15"/>
        <v>#DIV/0!</v>
      </c>
    </row>
    <row r="432" spans="1:9" ht="15.75" hidden="1" customHeight="1" thickBot="1" x14ac:dyDescent="0.3">
      <c r="A432" s="1252" t="s">
        <v>635</v>
      </c>
      <c r="B432" s="1253"/>
      <c r="C432" s="1253"/>
      <c r="D432" s="1253"/>
      <c r="E432" s="1300"/>
    </row>
    <row r="433" spans="1:5" ht="12.75" hidden="1" customHeight="1" x14ac:dyDescent="0.25">
      <c r="A433" s="1250"/>
      <c r="B433" s="8">
        <v>2018</v>
      </c>
      <c r="C433" s="8">
        <v>2019</v>
      </c>
      <c r="D433" s="8">
        <v>2020</v>
      </c>
      <c r="E433" s="8">
        <v>2021</v>
      </c>
    </row>
    <row r="434" spans="1:5" ht="9" hidden="1" customHeight="1" thickBot="1" x14ac:dyDescent="0.3">
      <c r="A434" s="1251"/>
      <c r="B434" s="9" t="s">
        <v>10</v>
      </c>
      <c r="C434" s="9" t="s">
        <v>11</v>
      </c>
      <c r="D434" s="9" t="s">
        <v>11</v>
      </c>
      <c r="E434" s="9" t="s">
        <v>11</v>
      </c>
    </row>
    <row r="435" spans="1:5" ht="15.75" hidden="1" thickBot="1" x14ac:dyDescent="0.3">
      <c r="A435" s="13" t="s">
        <v>58</v>
      </c>
      <c r="B435" s="14"/>
      <c r="C435" s="14"/>
      <c r="D435" s="14"/>
      <c r="E435" s="14"/>
    </row>
    <row r="436" spans="1:5" ht="15.75" hidden="1" thickBot="1" x14ac:dyDescent="0.3">
      <c r="A436" s="13" t="s">
        <v>59</v>
      </c>
      <c r="B436" s="15"/>
      <c r="C436" s="14"/>
      <c r="D436" s="14"/>
      <c r="E436" s="14"/>
    </row>
    <row r="437" spans="1:5" ht="15.75" hidden="1" thickBot="1" x14ac:dyDescent="0.3">
      <c r="A437" s="16" t="s">
        <v>74</v>
      </c>
      <c r="B437" s="15">
        <f>B436+B435</f>
        <v>0</v>
      </c>
      <c r="C437" s="15">
        <f>C436+C435</f>
        <v>0</v>
      </c>
      <c r="D437" s="15">
        <f>D436+D435</f>
        <v>0</v>
      </c>
      <c r="E437" s="15">
        <f>E436+E435</f>
        <v>0</v>
      </c>
    </row>
    <row r="438" spans="1:5" ht="15" hidden="1" customHeight="1" x14ac:dyDescent="0.25">
      <c r="A438" s="1254" t="s">
        <v>62</v>
      </c>
      <c r="B438" s="1322"/>
      <c r="C438" s="1289"/>
      <c r="D438" s="1289"/>
      <c r="E438" s="1290"/>
    </row>
    <row r="439" spans="1:5" hidden="1" x14ac:dyDescent="0.25">
      <c r="A439" s="1255"/>
      <c r="B439" s="1291"/>
      <c r="C439" s="1292"/>
      <c r="D439" s="1292"/>
      <c r="E439" s="1293"/>
    </row>
    <row r="440" spans="1:5" ht="15.75" hidden="1" thickBot="1" x14ac:dyDescent="0.3">
      <c r="A440" s="1256"/>
      <c r="B440" s="1294"/>
      <c r="C440" s="1295"/>
      <c r="D440" s="1295"/>
      <c r="E440" s="1296"/>
    </row>
    <row r="441" spans="1:5" ht="15.75" hidden="1" thickBot="1" x14ac:dyDescent="0.3">
      <c r="A441" s="1275" t="s">
        <v>63</v>
      </c>
      <c r="B441" s="1276"/>
      <c r="C441" s="1276"/>
      <c r="D441" s="1276"/>
      <c r="E441" s="1317"/>
    </row>
    <row r="442" spans="1:5" ht="15.75" hidden="1" thickBot="1" x14ac:dyDescent="0.3">
      <c r="A442" s="1275" t="s">
        <v>64</v>
      </c>
      <c r="B442" s="1276"/>
      <c r="C442" s="1276"/>
      <c r="D442" s="1276"/>
      <c r="E442" s="1317"/>
    </row>
    <row r="443" spans="1:5" ht="15.75" hidden="1" thickBot="1" x14ac:dyDescent="0.3">
      <c r="A443" s="20" t="s">
        <v>61</v>
      </c>
      <c r="B443" s="1241" t="s">
        <v>124</v>
      </c>
      <c r="C443" s="1242"/>
      <c r="D443" s="1242"/>
      <c r="E443" s="1318"/>
    </row>
    <row r="444" spans="1:5" ht="15.75" hidden="1" thickBot="1" x14ac:dyDescent="0.3">
      <c r="A444" s="7" t="s">
        <v>16</v>
      </c>
      <c r="B444" s="1243" t="s">
        <v>106</v>
      </c>
      <c r="C444" s="1244"/>
      <c r="D444" s="1244"/>
      <c r="E444" s="1315"/>
    </row>
    <row r="445" spans="1:5" ht="17.25" hidden="1" customHeight="1" thickBot="1" x14ac:dyDescent="0.3">
      <c r="A445" s="5" t="s">
        <v>17</v>
      </c>
      <c r="B445" s="1245" t="s">
        <v>106</v>
      </c>
      <c r="C445" s="1246"/>
      <c r="D445" s="1246"/>
      <c r="E445" s="1298"/>
    </row>
    <row r="446" spans="1:5" ht="15.75" hidden="1" thickBot="1" x14ac:dyDescent="0.3">
      <c r="A446" s="5" t="s">
        <v>18</v>
      </c>
      <c r="B446" s="1248" t="s">
        <v>106</v>
      </c>
      <c r="C446" s="1249"/>
      <c r="D446" s="1249"/>
      <c r="E446" s="1316"/>
    </row>
    <row r="447" spans="1:5" ht="12.75" hidden="1" customHeight="1" x14ac:dyDescent="0.25">
      <c r="A447" s="1250"/>
      <c r="B447" s="8">
        <v>2018</v>
      </c>
      <c r="C447" s="8">
        <v>2019</v>
      </c>
      <c r="D447" s="8">
        <v>2020</v>
      </c>
      <c r="E447" s="8">
        <v>2021</v>
      </c>
    </row>
    <row r="448" spans="1:5" ht="9" hidden="1" customHeight="1" thickBot="1" x14ac:dyDescent="0.3">
      <c r="A448" s="1251"/>
      <c r="B448" s="9" t="s">
        <v>10</v>
      </c>
      <c r="C448" s="9" t="s">
        <v>11</v>
      </c>
      <c r="D448" s="9" t="s">
        <v>11</v>
      </c>
      <c r="E448" s="9" t="s">
        <v>11</v>
      </c>
    </row>
    <row r="449" spans="1:9" ht="15.75" hidden="1" thickBot="1" x14ac:dyDescent="0.3">
      <c r="A449" s="5" t="s">
        <v>19</v>
      </c>
      <c r="B449" s="10"/>
      <c r="C449" s="10"/>
      <c r="D449" s="10"/>
      <c r="E449" s="10"/>
    </row>
    <row r="450" spans="1:9" ht="15.75" hidden="1" thickBot="1" x14ac:dyDescent="0.3">
      <c r="A450" s="5" t="s">
        <v>20</v>
      </c>
      <c r="B450" s="10"/>
      <c r="C450" s="10"/>
      <c r="D450" s="10"/>
      <c r="E450" s="10"/>
    </row>
    <row r="451" spans="1:9" ht="15.75" hidden="1" thickBot="1" x14ac:dyDescent="0.3">
      <c r="A451" s="5" t="s">
        <v>21</v>
      </c>
      <c r="B451" s="10" t="e">
        <f>B450/B449</f>
        <v>#DIV/0!</v>
      </c>
      <c r="C451" s="10" t="e">
        <f>C450/C449</f>
        <v>#DIV/0!</v>
      </c>
      <c r="D451" s="10" t="e">
        <f>D450/D449</f>
        <v>#DIV/0!</v>
      </c>
      <c r="E451" s="10" t="e">
        <f>E450/E449</f>
        <v>#DIV/0!</v>
      </c>
    </row>
    <row r="452" spans="1:9" ht="15.75" hidden="1" thickBot="1" x14ac:dyDescent="0.3">
      <c r="A452" s="5" t="s">
        <v>22</v>
      </c>
      <c r="B452" s="225" t="s">
        <v>23</v>
      </c>
      <c r="C452" s="11" t="e">
        <f t="shared" ref="C452:E454" si="16">C449/B449-1</f>
        <v>#DIV/0!</v>
      </c>
      <c r="D452" s="11" t="e">
        <f t="shared" si="16"/>
        <v>#DIV/0!</v>
      </c>
      <c r="E452" s="11" t="e">
        <f t="shared" si="16"/>
        <v>#DIV/0!</v>
      </c>
      <c r="F452" s="12"/>
      <c r="G452" s="12"/>
      <c r="H452" s="12"/>
      <c r="I452" s="12"/>
    </row>
    <row r="453" spans="1:9" ht="15.75" hidden="1" thickBot="1" x14ac:dyDescent="0.3">
      <c r="A453" s="5" t="s">
        <v>24</v>
      </c>
      <c r="B453" s="225" t="s">
        <v>23</v>
      </c>
      <c r="C453" s="11" t="e">
        <f t="shared" si="16"/>
        <v>#DIV/0!</v>
      </c>
      <c r="D453" s="11" t="e">
        <f t="shared" si="16"/>
        <v>#DIV/0!</v>
      </c>
      <c r="E453" s="11" t="e">
        <f t="shared" si="16"/>
        <v>#DIV/0!</v>
      </c>
    </row>
    <row r="454" spans="1:9" ht="15.75" hidden="1" thickBot="1" x14ac:dyDescent="0.3">
      <c r="A454" s="5" t="s">
        <v>25</v>
      </c>
      <c r="B454" s="225" t="s">
        <v>23</v>
      </c>
      <c r="C454" s="11" t="e">
        <f t="shared" si="16"/>
        <v>#DIV/0!</v>
      </c>
      <c r="D454" s="11" t="e">
        <f t="shared" si="16"/>
        <v>#DIV/0!</v>
      </c>
      <c r="E454" s="11" t="e">
        <f t="shared" si="16"/>
        <v>#DIV/0!</v>
      </c>
    </row>
    <row r="455" spans="1:9" ht="15.75" hidden="1" customHeight="1" thickBot="1" x14ac:dyDescent="0.3">
      <c r="A455" s="1252" t="s">
        <v>633</v>
      </c>
      <c r="B455" s="1253"/>
      <c r="C455" s="1253"/>
      <c r="D455" s="1253"/>
      <c r="E455" s="1300"/>
    </row>
    <row r="456" spans="1:9" ht="12.75" hidden="1" customHeight="1" x14ac:dyDescent="0.25">
      <c r="A456" s="1250"/>
      <c r="B456" s="8">
        <v>2018</v>
      </c>
      <c r="C456" s="8">
        <v>2019</v>
      </c>
      <c r="D456" s="8">
        <v>2020</v>
      </c>
      <c r="E456" s="8">
        <v>2021</v>
      </c>
    </row>
    <row r="457" spans="1:9" ht="9" hidden="1" customHeight="1" thickBot="1" x14ac:dyDescent="0.3">
      <c r="A457" s="1251"/>
      <c r="B457" s="9" t="s">
        <v>10</v>
      </c>
      <c r="C457" s="9" t="s">
        <v>11</v>
      </c>
      <c r="D457" s="9" t="s">
        <v>11</v>
      </c>
      <c r="E457" s="9" t="s">
        <v>11</v>
      </c>
    </row>
    <row r="458" spans="1:9" ht="15.75" hidden="1" thickBot="1" x14ac:dyDescent="0.3">
      <c r="A458" s="13" t="s">
        <v>58</v>
      </c>
      <c r="B458" s="14"/>
      <c r="C458" s="14"/>
      <c r="D458" s="14"/>
      <c r="E458" s="14"/>
    </row>
    <row r="459" spans="1:9" ht="15.75" hidden="1" thickBot="1" x14ac:dyDescent="0.3">
      <c r="A459" s="13" t="s">
        <v>59</v>
      </c>
      <c r="B459" s="15"/>
      <c r="C459" s="14"/>
      <c r="D459" s="14"/>
      <c r="E459" s="14"/>
    </row>
    <row r="460" spans="1:9" ht="15.75" hidden="1" thickBot="1" x14ac:dyDescent="0.3">
      <c r="A460" s="16" t="s">
        <v>40</v>
      </c>
      <c r="B460" s="15">
        <f>B459+B458</f>
        <v>0</v>
      </c>
      <c r="C460" s="15">
        <f>C459+C458</f>
        <v>0</v>
      </c>
      <c r="D460" s="15">
        <f>D459+D458</f>
        <v>0</v>
      </c>
      <c r="E460" s="15">
        <f>E459+E458</f>
        <v>0</v>
      </c>
    </row>
    <row r="461" spans="1:9" ht="15" hidden="1" customHeight="1" x14ac:dyDescent="0.25">
      <c r="A461" s="1254" t="s">
        <v>60</v>
      </c>
      <c r="B461" s="1322"/>
      <c r="C461" s="1289"/>
      <c r="D461" s="1289"/>
      <c r="E461" s="1290"/>
    </row>
    <row r="462" spans="1:9" hidden="1" x14ac:dyDescent="0.25">
      <c r="A462" s="1255"/>
      <c r="B462" s="1291"/>
      <c r="C462" s="1292"/>
      <c r="D462" s="1292"/>
      <c r="E462" s="1293"/>
    </row>
    <row r="463" spans="1:9" ht="15.75" hidden="1" thickBot="1" x14ac:dyDescent="0.3">
      <c r="A463" s="1256"/>
      <c r="B463" s="1294"/>
      <c r="C463" s="1295"/>
      <c r="D463" s="1295"/>
      <c r="E463" s="1296"/>
    </row>
    <row r="464" spans="1:9" ht="15.75" hidden="1" thickBot="1" x14ac:dyDescent="0.3">
      <c r="A464" s="20" t="s">
        <v>61</v>
      </c>
      <c r="B464" s="1241" t="s">
        <v>124</v>
      </c>
      <c r="C464" s="1242"/>
      <c r="D464" s="1242"/>
      <c r="E464" s="1318"/>
    </row>
    <row r="465" spans="1:9" ht="15.75" hidden="1" thickBot="1" x14ac:dyDescent="0.3">
      <c r="A465" s="7" t="s">
        <v>123</v>
      </c>
      <c r="B465" s="1243" t="s">
        <v>106</v>
      </c>
      <c r="C465" s="1244"/>
      <c r="D465" s="1244"/>
      <c r="E465" s="1315"/>
    </row>
    <row r="466" spans="1:9" ht="17.25" hidden="1" customHeight="1" thickBot="1" x14ac:dyDescent="0.3">
      <c r="A466" s="5" t="s">
        <v>17</v>
      </c>
      <c r="B466" s="1245" t="s">
        <v>106</v>
      </c>
      <c r="C466" s="1246"/>
      <c r="D466" s="1246"/>
      <c r="E466" s="1298"/>
    </row>
    <row r="467" spans="1:9" ht="15.75" hidden="1" thickBot="1" x14ac:dyDescent="0.3">
      <c r="A467" s="5" t="s">
        <v>18</v>
      </c>
      <c r="B467" s="1248" t="s">
        <v>106</v>
      </c>
      <c r="C467" s="1249"/>
      <c r="D467" s="1249"/>
      <c r="E467" s="1316"/>
    </row>
    <row r="468" spans="1:9" ht="12.75" hidden="1" customHeight="1" x14ac:dyDescent="0.25">
      <c r="A468" s="1250"/>
      <c r="B468" s="8">
        <v>2018</v>
      </c>
      <c r="C468" s="8">
        <v>2019</v>
      </c>
      <c r="D468" s="8">
        <v>2020</v>
      </c>
      <c r="E468" s="8">
        <v>2021</v>
      </c>
    </row>
    <row r="469" spans="1:9" ht="9" hidden="1" customHeight="1" thickBot="1" x14ac:dyDescent="0.3">
      <c r="A469" s="1251"/>
      <c r="B469" s="9" t="s">
        <v>10</v>
      </c>
      <c r="C469" s="9" t="s">
        <v>11</v>
      </c>
      <c r="D469" s="9" t="s">
        <v>11</v>
      </c>
      <c r="E469" s="9" t="s">
        <v>11</v>
      </c>
    </row>
    <row r="470" spans="1:9" ht="15.75" hidden="1" thickBot="1" x14ac:dyDescent="0.3">
      <c r="A470" s="5" t="s">
        <v>19</v>
      </c>
      <c r="B470" s="10"/>
      <c r="C470" s="10"/>
      <c r="D470" s="10"/>
      <c r="E470" s="10"/>
    </row>
    <row r="471" spans="1:9" ht="15.75" hidden="1" thickBot="1" x14ac:dyDescent="0.3">
      <c r="A471" s="5" t="s">
        <v>20</v>
      </c>
      <c r="B471" s="10"/>
      <c r="C471" s="10"/>
      <c r="D471" s="10"/>
      <c r="E471" s="10"/>
    </row>
    <row r="472" spans="1:9" ht="15.75" hidden="1" thickBot="1" x14ac:dyDescent="0.3">
      <c r="A472" s="5" t="s">
        <v>21</v>
      </c>
      <c r="B472" s="10" t="e">
        <f>B471/B470</f>
        <v>#DIV/0!</v>
      </c>
      <c r="C472" s="10" t="e">
        <f>C471/C470</f>
        <v>#DIV/0!</v>
      </c>
      <c r="D472" s="10" t="e">
        <f>D471/D470</f>
        <v>#DIV/0!</v>
      </c>
      <c r="E472" s="10" t="e">
        <f>E471/E470</f>
        <v>#DIV/0!</v>
      </c>
    </row>
    <row r="473" spans="1:9" ht="15.75" hidden="1" thickBot="1" x14ac:dyDescent="0.3">
      <c r="A473" s="5" t="s">
        <v>22</v>
      </c>
      <c r="B473" s="225" t="s">
        <v>23</v>
      </c>
      <c r="C473" s="11" t="e">
        <f t="shared" ref="C473:E475" si="17">C470/B470-1</f>
        <v>#DIV/0!</v>
      </c>
      <c r="D473" s="11" t="e">
        <f t="shared" si="17"/>
        <v>#DIV/0!</v>
      </c>
      <c r="E473" s="11" t="e">
        <f t="shared" si="17"/>
        <v>#DIV/0!</v>
      </c>
      <c r="F473" s="12"/>
      <c r="G473" s="12"/>
      <c r="H473" s="12"/>
      <c r="I473" s="12"/>
    </row>
    <row r="474" spans="1:9" ht="15.75" hidden="1" thickBot="1" x14ac:dyDescent="0.3">
      <c r="A474" s="5" t="s">
        <v>24</v>
      </c>
      <c r="B474" s="225" t="s">
        <v>23</v>
      </c>
      <c r="C474" s="11" t="e">
        <f t="shared" si="17"/>
        <v>#DIV/0!</v>
      </c>
      <c r="D474" s="11" t="e">
        <f t="shared" si="17"/>
        <v>#DIV/0!</v>
      </c>
      <c r="E474" s="11" t="e">
        <f t="shared" si="17"/>
        <v>#DIV/0!</v>
      </c>
    </row>
    <row r="475" spans="1:9" ht="15.75" hidden="1" thickBot="1" x14ac:dyDescent="0.3">
      <c r="A475" s="5" t="s">
        <v>25</v>
      </c>
      <c r="B475" s="225" t="s">
        <v>23</v>
      </c>
      <c r="C475" s="11" t="e">
        <f t="shared" si="17"/>
        <v>#DIV/0!</v>
      </c>
      <c r="D475" s="11" t="e">
        <f t="shared" si="17"/>
        <v>#DIV/0!</v>
      </c>
      <c r="E475" s="11" t="e">
        <f t="shared" si="17"/>
        <v>#DIV/0!</v>
      </c>
    </row>
    <row r="476" spans="1:9" ht="15.75" hidden="1" customHeight="1" thickBot="1" x14ac:dyDescent="0.3">
      <c r="A476" s="1252" t="s">
        <v>635</v>
      </c>
      <c r="B476" s="1253"/>
      <c r="C476" s="1253"/>
      <c r="D476" s="1253"/>
      <c r="E476" s="1300"/>
    </row>
    <row r="477" spans="1:9" ht="12.75" hidden="1" customHeight="1" x14ac:dyDescent="0.25">
      <c r="A477" s="1250"/>
      <c r="B477" s="8">
        <v>2018</v>
      </c>
      <c r="C477" s="8">
        <v>2019</v>
      </c>
      <c r="D477" s="8">
        <v>2020</v>
      </c>
      <c r="E477" s="8">
        <v>2021</v>
      </c>
    </row>
    <row r="478" spans="1:9" ht="9" hidden="1" customHeight="1" thickBot="1" x14ac:dyDescent="0.3">
      <c r="A478" s="1251"/>
      <c r="B478" s="9" t="s">
        <v>10</v>
      </c>
      <c r="C478" s="9" t="s">
        <v>11</v>
      </c>
      <c r="D478" s="9" t="s">
        <v>11</v>
      </c>
      <c r="E478" s="9" t="s">
        <v>11</v>
      </c>
    </row>
    <row r="479" spans="1:9" ht="15.75" hidden="1" thickBot="1" x14ac:dyDescent="0.3">
      <c r="A479" s="13" t="s">
        <v>58</v>
      </c>
      <c r="B479" s="14"/>
      <c r="C479" s="14"/>
      <c r="D479" s="14"/>
      <c r="E479" s="14"/>
    </row>
    <row r="480" spans="1:9" ht="15.75" hidden="1" thickBot="1" x14ac:dyDescent="0.3">
      <c r="A480" s="13" t="s">
        <v>59</v>
      </c>
      <c r="B480" s="15"/>
      <c r="C480" s="14"/>
      <c r="D480" s="14"/>
      <c r="E480" s="14"/>
    </row>
    <row r="481" spans="1:6" ht="15.75" hidden="1" thickBot="1" x14ac:dyDescent="0.3">
      <c r="A481" s="16" t="s">
        <v>74</v>
      </c>
      <c r="B481" s="15">
        <f>B480+B479</f>
        <v>0</v>
      </c>
      <c r="C481" s="15">
        <f>C480+C479</f>
        <v>0</v>
      </c>
      <c r="D481" s="15">
        <f>D480+D479</f>
        <v>0</v>
      </c>
      <c r="E481" s="15">
        <f>E480+E479</f>
        <v>0</v>
      </c>
    </row>
    <row r="482" spans="1:6" ht="15" hidden="1" customHeight="1" x14ac:dyDescent="0.25">
      <c r="A482" s="1254" t="s">
        <v>62</v>
      </c>
      <c r="B482" s="1322"/>
      <c r="C482" s="1289"/>
      <c r="D482" s="1289"/>
      <c r="E482" s="1290"/>
    </row>
    <row r="483" spans="1:6" hidden="1" x14ac:dyDescent="0.25">
      <c r="A483" s="1255"/>
      <c r="B483" s="1291"/>
      <c r="C483" s="1292"/>
      <c r="D483" s="1292"/>
      <c r="E483" s="1293"/>
    </row>
    <row r="484" spans="1:6" ht="15.75" hidden="1" thickBot="1" x14ac:dyDescent="0.3">
      <c r="A484" s="1256"/>
      <c r="B484" s="1294"/>
      <c r="C484" s="1295"/>
      <c r="D484" s="1295"/>
      <c r="E484" s="1296"/>
    </row>
    <row r="485" spans="1:6" ht="15.75" thickBot="1" x14ac:dyDescent="0.3">
      <c r="A485" s="22"/>
      <c r="B485" s="23"/>
      <c r="C485" s="23"/>
      <c r="D485" s="23"/>
      <c r="E485" s="23"/>
    </row>
    <row r="486" spans="1:6" ht="27" customHeight="1" thickBot="1" x14ac:dyDescent="0.3">
      <c r="A486" s="6" t="s">
        <v>82</v>
      </c>
      <c r="B486" s="24">
        <f>B471+B450+B427+B406+B363+B321+B292+B271+B37+B90+B111+B132+B153+B174+B195+B258</f>
        <v>192200</v>
      </c>
      <c r="C486" s="24">
        <f>C471+C450+C427+C406+C363+C321+C292+C271+C37+C90+C111+C132+C153+C174+C195+C258+4000</f>
        <v>179000</v>
      </c>
      <c r="D486" s="24">
        <f>D471+D450+D427+D406+D363+D321+D292+D271+D37+D90+D111+D132+D153+D174+D195+D258+4000</f>
        <v>179000</v>
      </c>
      <c r="E486" s="24">
        <f>E471+E450+E427+E406+E363+E321+E292+E271+E37+E90+E111+E132+E153+E174+E195+E258+4000</f>
        <v>179000</v>
      </c>
    </row>
    <row r="487" spans="1:6" ht="24.75" thickBot="1" x14ac:dyDescent="0.3">
      <c r="A487" s="6" t="s">
        <v>83</v>
      </c>
      <c r="B487" s="24">
        <f>B489+B491+B493+B495+B497+B499+B501+B503+B505</f>
        <v>192200</v>
      </c>
      <c r="C487" s="24">
        <f>C489+C491+C493+C495+C497+C499+C501+C503+C505</f>
        <v>175000</v>
      </c>
      <c r="D487" s="24">
        <f>D489+D491+D493+D495+D497+D499+D501+D503+D505</f>
        <v>175000</v>
      </c>
      <c r="E487" s="24">
        <f>E489+E491+E493+E495+E497+E499+E501+E503+E505</f>
        <v>175000</v>
      </c>
    </row>
    <row r="488" spans="1:6" ht="24.75" thickBot="1" x14ac:dyDescent="0.3">
      <c r="A488" s="25" t="s">
        <v>84</v>
      </c>
      <c r="B488" s="26"/>
      <c r="C488" s="27">
        <f>C487/B487-1</f>
        <v>-8.9490114464099935E-2</v>
      </c>
      <c r="D488" s="27">
        <f>D487/C487-1</f>
        <v>0</v>
      </c>
      <c r="E488" s="27">
        <f>E487/D487-1</f>
        <v>0</v>
      </c>
    </row>
    <row r="489" spans="1:6" ht="15.75" thickBot="1" x14ac:dyDescent="0.3">
      <c r="A489" s="13" t="s">
        <v>26</v>
      </c>
      <c r="B489" s="14">
        <f>B371+B331+B45</f>
        <v>134300</v>
      </c>
      <c r="C489" s="14">
        <f>11000*12</f>
        <v>132000</v>
      </c>
      <c r="D489" s="14">
        <f>11000*12</f>
        <v>132000</v>
      </c>
      <c r="E489" s="14">
        <f>11000*12</f>
        <v>132000</v>
      </c>
    </row>
    <row r="490" spans="1:6" ht="15.75" thickBot="1" x14ac:dyDescent="0.3">
      <c r="A490" s="28" t="s">
        <v>85</v>
      </c>
      <c r="B490" s="15"/>
      <c r="C490" s="29">
        <f>C489/B489-1</f>
        <v>-1.7125837676842837E-2</v>
      </c>
      <c r="D490" s="29">
        <f>D489/C489-1</f>
        <v>0</v>
      </c>
      <c r="E490" s="29">
        <f>E489/D489-1</f>
        <v>0</v>
      </c>
    </row>
    <row r="491" spans="1:6" ht="15.75" thickBot="1" x14ac:dyDescent="0.3">
      <c r="A491" s="13" t="s">
        <v>28</v>
      </c>
      <c r="B491" s="14">
        <f>B374+B334+B48</f>
        <v>10900</v>
      </c>
      <c r="C491" s="14">
        <v>11000</v>
      </c>
      <c r="D491" s="14">
        <v>11000</v>
      </c>
      <c r="E491" s="14">
        <v>11000</v>
      </c>
      <c r="F491" s="12"/>
    </row>
    <row r="492" spans="1:6" ht="24.75" thickBot="1" x14ac:dyDescent="0.3">
      <c r="A492" s="28" t="s">
        <v>86</v>
      </c>
      <c r="B492" s="15"/>
      <c r="C492" s="29">
        <f>C491/B491-1</f>
        <v>9.1743119266054496E-3</v>
      </c>
      <c r="D492" s="29">
        <f>D491/C491-1</f>
        <v>0</v>
      </c>
      <c r="E492" s="29">
        <f>E491/D491-1</f>
        <v>0</v>
      </c>
    </row>
    <row r="493" spans="1:6" ht="15.75" thickBot="1" x14ac:dyDescent="0.3">
      <c r="A493" s="13" t="s">
        <v>30</v>
      </c>
      <c r="B493" s="14">
        <f>B377+B337+B51</f>
        <v>32000</v>
      </c>
      <c r="C493" s="14">
        <v>32000</v>
      </c>
      <c r="D493" s="14">
        <v>32000</v>
      </c>
      <c r="E493" s="14">
        <v>32000</v>
      </c>
    </row>
    <row r="494" spans="1:6" ht="15.75" thickBot="1" x14ac:dyDescent="0.3">
      <c r="A494" s="28" t="s">
        <v>87</v>
      </c>
      <c r="B494" s="15"/>
      <c r="C494" s="29">
        <f>C493/B493-1</f>
        <v>0</v>
      </c>
      <c r="D494" s="29">
        <f>D493/C493-1</f>
        <v>0</v>
      </c>
      <c r="E494" s="29">
        <f>E493/D493-1</f>
        <v>0</v>
      </c>
    </row>
    <row r="495" spans="1:6" ht="15.75" thickBot="1" x14ac:dyDescent="0.3">
      <c r="A495" s="13" t="s">
        <v>32</v>
      </c>
      <c r="B495" s="14">
        <f>B380+B340+B54</f>
        <v>0</v>
      </c>
      <c r="C495" s="14">
        <f>C380+C340+C54</f>
        <v>0</v>
      </c>
      <c r="D495" s="14">
        <f>D380+D340+D54</f>
        <v>0</v>
      </c>
      <c r="E495" s="14">
        <f>E380+E340+E54</f>
        <v>0</v>
      </c>
    </row>
    <row r="496" spans="1:6" ht="15.75" thickBot="1" x14ac:dyDescent="0.3">
      <c r="A496" s="28" t="s">
        <v>88</v>
      </c>
      <c r="B496" s="15"/>
      <c r="C496" s="29" t="e">
        <f>C495/B495-1</f>
        <v>#DIV/0!</v>
      </c>
      <c r="D496" s="29" t="e">
        <f>D495/C495-1</f>
        <v>#DIV/0!</v>
      </c>
      <c r="E496" s="29" t="e">
        <f>E495/D495-1</f>
        <v>#DIV/0!</v>
      </c>
    </row>
    <row r="497" spans="1:5" ht="15.75" thickBot="1" x14ac:dyDescent="0.3">
      <c r="A497" s="13" t="s">
        <v>34</v>
      </c>
      <c r="B497" s="14">
        <f>B383+B343+B57</f>
        <v>0</v>
      </c>
      <c r="C497" s="14">
        <f>C383+C343+C57</f>
        <v>0</v>
      </c>
      <c r="D497" s="14">
        <f>D383+D343+D57</f>
        <v>0</v>
      </c>
      <c r="E497" s="14">
        <f>E383+E343+E57</f>
        <v>0</v>
      </c>
    </row>
    <row r="498" spans="1:5" ht="15.75" thickBot="1" x14ac:dyDescent="0.3">
      <c r="A498" s="28" t="s">
        <v>89</v>
      </c>
      <c r="B498" s="15"/>
      <c r="C498" s="29" t="e">
        <f>C497/B497-1</f>
        <v>#DIV/0!</v>
      </c>
      <c r="D498" s="29" t="e">
        <f>D497/C497-1</f>
        <v>#DIV/0!</v>
      </c>
      <c r="E498" s="29" t="e">
        <f>E497/D497-1</f>
        <v>#DIV/0!</v>
      </c>
    </row>
    <row r="499" spans="1:5" ht="15.75" thickBot="1" x14ac:dyDescent="0.3">
      <c r="A499" s="13" t="s">
        <v>36</v>
      </c>
      <c r="B499" s="14">
        <f>B386+B346+B60</f>
        <v>0</v>
      </c>
      <c r="C499" s="14">
        <f>C386+C346+C60</f>
        <v>0</v>
      </c>
      <c r="D499" s="14">
        <f>D386+D346+D60</f>
        <v>0</v>
      </c>
      <c r="E499" s="14">
        <f>E386+E346+E60</f>
        <v>0</v>
      </c>
    </row>
    <row r="500" spans="1:5" ht="15.75" thickBot="1" x14ac:dyDescent="0.3">
      <c r="A500" s="28" t="s">
        <v>90</v>
      </c>
      <c r="B500" s="15"/>
      <c r="C500" s="29" t="e">
        <f>C499/B499-1</f>
        <v>#DIV/0!</v>
      </c>
      <c r="D500" s="29" t="e">
        <f>D499/C499-1</f>
        <v>#DIV/0!</v>
      </c>
      <c r="E500" s="29" t="e">
        <f>E499/D499-1</f>
        <v>#DIV/0!</v>
      </c>
    </row>
    <row r="501" spans="1:5" ht="15.75" thickBot="1" x14ac:dyDescent="0.3">
      <c r="A501" s="13" t="s">
        <v>38</v>
      </c>
      <c r="B501" s="14">
        <f>B389+B349+B63</f>
        <v>0</v>
      </c>
      <c r="C501" s="14">
        <f>C389+C349+C63</f>
        <v>0</v>
      </c>
      <c r="D501" s="14">
        <f>D389+D349+D63</f>
        <v>0</v>
      </c>
      <c r="E501" s="14">
        <f>E389+E349+E63</f>
        <v>0</v>
      </c>
    </row>
    <row r="502" spans="1:5" ht="24.75" thickBot="1" x14ac:dyDescent="0.3">
      <c r="A502" s="28" t="s">
        <v>91</v>
      </c>
      <c r="B502" s="15"/>
      <c r="C502" s="29" t="e">
        <f>C501/B501-1</f>
        <v>#DIV/0!</v>
      </c>
      <c r="D502" s="29" t="e">
        <f>D501/C501-1</f>
        <v>#DIV/0!</v>
      </c>
      <c r="E502" s="29" t="e">
        <f>E501/D501-1</f>
        <v>#DIV/0!</v>
      </c>
    </row>
    <row r="503" spans="1:5" ht="15.75" thickBot="1" x14ac:dyDescent="0.3">
      <c r="A503" s="13" t="s">
        <v>92</v>
      </c>
      <c r="B503" s="14">
        <f>B88+B109+B279+B300+B414+B435+B458+B479</f>
        <v>0</v>
      </c>
      <c r="C503" s="14">
        <f>C88+C109+C279+C300+C414+C435+C458+C479</f>
        <v>0</v>
      </c>
      <c r="D503" s="14">
        <f>D88+D109+D279+D300+D414+D435+D458+D479</f>
        <v>0</v>
      </c>
      <c r="E503" s="14">
        <f>E88+E109+E279+E300+E414+E435+E458+E479</f>
        <v>0</v>
      </c>
    </row>
    <row r="504" spans="1:5" ht="15.75" thickBot="1" x14ac:dyDescent="0.3">
      <c r="A504" s="28" t="s">
        <v>93</v>
      </c>
      <c r="B504" s="15"/>
      <c r="C504" s="29" t="e">
        <f>C503/B503-1</f>
        <v>#DIV/0!</v>
      </c>
      <c r="D504" s="29" t="e">
        <f>D503/C503-1</f>
        <v>#DIV/0!</v>
      </c>
      <c r="E504" s="29" t="e">
        <f>E503/D503-1</f>
        <v>#DIV/0!</v>
      </c>
    </row>
    <row r="505" spans="1:5" ht="15.75" thickBot="1" x14ac:dyDescent="0.3">
      <c r="A505" s="13" t="s">
        <v>94</v>
      </c>
      <c r="B505" s="14">
        <f>B89+B110+B131+B152+B173+B194+B257</f>
        <v>15000</v>
      </c>
      <c r="C505" s="435"/>
      <c r="D505" s="435"/>
      <c r="E505" s="435"/>
    </row>
    <row r="506" spans="1:5" ht="15.75" thickBot="1" x14ac:dyDescent="0.3">
      <c r="A506" s="28" t="s">
        <v>95</v>
      </c>
      <c r="B506" s="15"/>
      <c r="C506" s="29">
        <f>C505/B505-1</f>
        <v>-1</v>
      </c>
      <c r="D506" s="29" t="e">
        <f>D505/C505-1</f>
        <v>#DIV/0!</v>
      </c>
      <c r="E506" s="29" t="e">
        <f>E505/D505-1</f>
        <v>#DIV/0!</v>
      </c>
    </row>
    <row r="507" spans="1:5" x14ac:dyDescent="0.25">
      <c r="A507" s="1306" t="s">
        <v>871</v>
      </c>
      <c r="B507" s="1309"/>
      <c r="C507" s="1309"/>
      <c r="D507" s="1309"/>
      <c r="E507" s="1310"/>
    </row>
    <row r="508" spans="1:5" x14ac:dyDescent="0.25">
      <c r="A508" s="1307"/>
      <c r="B508" s="1311"/>
      <c r="C508" s="1311"/>
      <c r="D508" s="1311"/>
      <c r="E508" s="1312"/>
    </row>
    <row r="509" spans="1:5" ht="15.75" thickBot="1" x14ac:dyDescent="0.3">
      <c r="A509" s="1308"/>
      <c r="B509" s="1313"/>
      <c r="C509" s="1313"/>
      <c r="D509" s="1313"/>
      <c r="E509" s="1314"/>
    </row>
    <row r="510" spans="1:5" ht="15.75" thickBot="1" x14ac:dyDescent="0.3">
      <c r="A510" s="17" t="s">
        <v>41</v>
      </c>
      <c r="B510" s="18">
        <f>IF(B487-B486=0,0,"Error")</f>
        <v>0</v>
      </c>
      <c r="C510" s="18" t="str">
        <f>IF(C487-C486=0,0,"Error")</f>
        <v>Error</v>
      </c>
      <c r="D510" s="18" t="str">
        <f>IF(D487-D486=0,0,"Error")</f>
        <v>Error</v>
      </c>
      <c r="E510" s="18" t="str">
        <f>IF(E487-E486=0,0,"Error")</f>
        <v>Error</v>
      </c>
    </row>
    <row r="511" spans="1:5" ht="24.75" thickBot="1" x14ac:dyDescent="0.3">
      <c r="A511" s="30" t="s">
        <v>96</v>
      </c>
      <c r="B511" s="14">
        <v>50</v>
      </c>
      <c r="C511" s="14">
        <v>50</v>
      </c>
      <c r="D511" s="14">
        <v>50</v>
      </c>
      <c r="E511" s="14">
        <v>50</v>
      </c>
    </row>
    <row r="512" spans="1:5" ht="24.75" thickBot="1" x14ac:dyDescent="0.3">
      <c r="A512" s="30" t="s">
        <v>97</v>
      </c>
      <c r="B512" s="14" t="s">
        <v>23</v>
      </c>
      <c r="C512" s="14" t="s">
        <v>23</v>
      </c>
      <c r="D512" s="14" t="s">
        <v>23</v>
      </c>
      <c r="E512" s="14" t="s">
        <v>23</v>
      </c>
    </row>
  </sheetData>
  <mergeCells count="193">
    <mergeCell ref="A277:A278"/>
    <mergeCell ref="A282:A284"/>
    <mergeCell ref="B282:E284"/>
    <mergeCell ref="B285:E285"/>
    <mergeCell ref="B286:E286"/>
    <mergeCell ref="B306:E306"/>
    <mergeCell ref="B399:E399"/>
    <mergeCell ref="A398:E398"/>
    <mergeCell ref="B393:E395"/>
    <mergeCell ref="A393:A395"/>
    <mergeCell ref="A289:A290"/>
    <mergeCell ref="A297:E297"/>
    <mergeCell ref="A298:A299"/>
    <mergeCell ref="A311:E311"/>
    <mergeCell ref="B315:E315"/>
    <mergeCell ref="A307:E307"/>
    <mergeCell ref="A303:A305"/>
    <mergeCell ref="B303:E305"/>
    <mergeCell ref="A312:E312"/>
    <mergeCell ref="A313:A314"/>
    <mergeCell ref="B417:E419"/>
    <mergeCell ref="A417:A419"/>
    <mergeCell ref="A412:A413"/>
    <mergeCell ref="A411:E411"/>
    <mergeCell ref="A403:A404"/>
    <mergeCell ref="B400:E400"/>
    <mergeCell ref="A360:A361"/>
    <mergeCell ref="A368:E368"/>
    <mergeCell ref="B316:E316"/>
    <mergeCell ref="B317:E317"/>
    <mergeCell ref="A353:A355"/>
    <mergeCell ref="B353:E355"/>
    <mergeCell ref="A318:A319"/>
    <mergeCell ref="A397:E397"/>
    <mergeCell ref="A326:A327"/>
    <mergeCell ref="A329:A330"/>
    <mergeCell ref="A328:E328"/>
    <mergeCell ref="A369:A370"/>
    <mergeCell ref="B359:E359"/>
    <mergeCell ref="B358:E358"/>
    <mergeCell ref="B357:E357"/>
    <mergeCell ref="B401:E401"/>
    <mergeCell ref="A263:E263"/>
    <mergeCell ref="A262:E262"/>
    <mergeCell ref="B242:E242"/>
    <mergeCell ref="B243:E243"/>
    <mergeCell ref="B244:E244"/>
    <mergeCell ref="A245:A246"/>
    <mergeCell ref="A253:E253"/>
    <mergeCell ref="A254:A255"/>
    <mergeCell ref="A259:A261"/>
    <mergeCell ref="B259:E261"/>
    <mergeCell ref="A203:A204"/>
    <mergeCell ref="A211:E211"/>
    <mergeCell ref="A212:A213"/>
    <mergeCell ref="B220:E220"/>
    <mergeCell ref="B221:E221"/>
    <mergeCell ref="B222:E222"/>
    <mergeCell ref="B223:E223"/>
    <mergeCell ref="A224:A225"/>
    <mergeCell ref="A232:E232"/>
    <mergeCell ref="A148:E148"/>
    <mergeCell ref="B136:E136"/>
    <mergeCell ref="A107:A108"/>
    <mergeCell ref="B137:E137"/>
    <mergeCell ref="B138:E138"/>
    <mergeCell ref="B139:E139"/>
    <mergeCell ref="A140:A141"/>
    <mergeCell ref="B287:E287"/>
    <mergeCell ref="B288:E288"/>
    <mergeCell ref="B116:E116"/>
    <mergeCell ref="B117:E117"/>
    <mergeCell ref="B118:E118"/>
    <mergeCell ref="B179:E179"/>
    <mergeCell ref="B180:E180"/>
    <mergeCell ref="B181:E181"/>
    <mergeCell ref="A182:A183"/>
    <mergeCell ref="A190:E190"/>
    <mergeCell ref="A191:A192"/>
    <mergeCell ref="A161:A162"/>
    <mergeCell ref="A169:E169"/>
    <mergeCell ref="A170:A171"/>
    <mergeCell ref="A175:A177"/>
    <mergeCell ref="B175:E177"/>
    <mergeCell ref="B178:E178"/>
    <mergeCell ref="A507:A509"/>
    <mergeCell ref="B507:E509"/>
    <mergeCell ref="A149:A150"/>
    <mergeCell ref="A154:A156"/>
    <mergeCell ref="B154:E156"/>
    <mergeCell ref="B157:E157"/>
    <mergeCell ref="B158:E158"/>
    <mergeCell ref="B159:E159"/>
    <mergeCell ref="B160:E160"/>
    <mergeCell ref="A276:E276"/>
    <mergeCell ref="A268:A269"/>
    <mergeCell ref="B267:E267"/>
    <mergeCell ref="B266:E266"/>
    <mergeCell ref="B265:E265"/>
    <mergeCell ref="B264:E264"/>
    <mergeCell ref="A196:A198"/>
    <mergeCell ref="B196:E198"/>
    <mergeCell ref="B241:E241"/>
    <mergeCell ref="A217:A219"/>
    <mergeCell ref="B217:E219"/>
    <mergeCell ref="B199:E199"/>
    <mergeCell ref="B200:E200"/>
    <mergeCell ref="B201:E201"/>
    <mergeCell ref="B202:E202"/>
    <mergeCell ref="A71:E71"/>
    <mergeCell ref="A85:E85"/>
    <mergeCell ref="A86:A87"/>
    <mergeCell ref="A9:E9"/>
    <mergeCell ref="B11:E11"/>
    <mergeCell ref="B12:E12"/>
    <mergeCell ref="B13:E13"/>
    <mergeCell ref="A14:E14"/>
    <mergeCell ref="A15:E17"/>
    <mergeCell ref="B18:E18"/>
    <mergeCell ref="A19:A20"/>
    <mergeCell ref="B24:E24"/>
    <mergeCell ref="A433:A434"/>
    <mergeCell ref="A438:A440"/>
    <mergeCell ref="A119:A120"/>
    <mergeCell ref="A127:E127"/>
    <mergeCell ref="A128:A129"/>
    <mergeCell ref="A133:A135"/>
    <mergeCell ref="B133:E135"/>
    <mergeCell ref="A67:A69"/>
    <mergeCell ref="A112:A114"/>
    <mergeCell ref="B112:E114"/>
    <mergeCell ref="B115:E115"/>
    <mergeCell ref="B97:E97"/>
    <mergeCell ref="A98:A99"/>
    <mergeCell ref="A106:E106"/>
    <mergeCell ref="B73:E73"/>
    <mergeCell ref="B76:E76"/>
    <mergeCell ref="A77:A78"/>
    <mergeCell ref="B67:E69"/>
    <mergeCell ref="B94:E94"/>
    <mergeCell ref="B95:E95"/>
    <mergeCell ref="B96:E96"/>
    <mergeCell ref="B74:E74"/>
    <mergeCell ref="B75:E75"/>
    <mergeCell ref="A91:A93"/>
    <mergeCell ref="B3:E3"/>
    <mergeCell ref="B4:E4"/>
    <mergeCell ref="B5:E5"/>
    <mergeCell ref="C6:E6"/>
    <mergeCell ref="C7:E7"/>
    <mergeCell ref="C8:E8"/>
    <mergeCell ref="A432:E432"/>
    <mergeCell ref="B420:E420"/>
    <mergeCell ref="B421:E421"/>
    <mergeCell ref="B422:E422"/>
    <mergeCell ref="B423:E423"/>
    <mergeCell ref="A424:A425"/>
    <mergeCell ref="B402:E402"/>
    <mergeCell ref="A25:E25"/>
    <mergeCell ref="B91:E93"/>
    <mergeCell ref="A72:E72"/>
    <mergeCell ref="A29:E29"/>
    <mergeCell ref="A42:E42"/>
    <mergeCell ref="A34:A35"/>
    <mergeCell ref="A43:A44"/>
    <mergeCell ref="B32:E32"/>
    <mergeCell ref="B31:E31"/>
    <mergeCell ref="B33:E33"/>
    <mergeCell ref="A30:E30"/>
    <mergeCell ref="A482:A484"/>
    <mergeCell ref="B482:E484"/>
    <mergeCell ref="B464:E464"/>
    <mergeCell ref="B465:E465"/>
    <mergeCell ref="B466:E466"/>
    <mergeCell ref="B467:E467"/>
    <mergeCell ref="A468:A469"/>
    <mergeCell ref="A447:A448"/>
    <mergeCell ref="A233:A234"/>
    <mergeCell ref="A238:A240"/>
    <mergeCell ref="B238:E240"/>
    <mergeCell ref="A476:E476"/>
    <mergeCell ref="A477:A478"/>
    <mergeCell ref="A442:E442"/>
    <mergeCell ref="B443:E443"/>
    <mergeCell ref="B444:E444"/>
    <mergeCell ref="B445:E445"/>
    <mergeCell ref="B446:E446"/>
    <mergeCell ref="A455:E455"/>
    <mergeCell ref="A456:A457"/>
    <mergeCell ref="A461:A463"/>
    <mergeCell ref="B461:E463"/>
    <mergeCell ref="A441:E441"/>
    <mergeCell ref="B438:E440"/>
  </mergeCells>
  <pageMargins left="0.19685039370078741" right="0.11811023622047245" top="0.35433070866141736" bottom="0.35433070866141736" header="0.31496062992125984" footer="0.31496062992125984"/>
  <pageSetup scale="95" orientation="landscape"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2:I253"/>
  <sheetViews>
    <sheetView view="pageBreakPreview" topLeftCell="A227" zoomScale="60" zoomScaleNormal="93" workbookViewId="0">
      <selection activeCell="J123" sqref="J123"/>
    </sheetView>
  </sheetViews>
  <sheetFormatPr defaultRowHeight="15" outlineLevelRow="1" x14ac:dyDescent="0.25"/>
  <cols>
    <col min="1" max="1" width="35.7109375" style="133" customWidth="1"/>
    <col min="2" max="3" width="11.7109375" style="133" customWidth="1"/>
    <col min="4" max="4" width="15.5703125" style="133" customWidth="1"/>
    <col min="5" max="5" width="14.7109375" style="133" customWidth="1"/>
    <col min="6" max="6" width="11" customWidth="1"/>
    <col min="7" max="7" width="12.7109375" customWidth="1"/>
  </cols>
  <sheetData>
    <row r="2" spans="1:5" x14ac:dyDescent="0.25">
      <c r="A2" s="189" t="s">
        <v>898</v>
      </c>
      <c r="B2" s="188"/>
      <c r="C2" s="188"/>
      <c r="D2" s="188"/>
      <c r="E2"/>
    </row>
    <row r="3" spans="1:5" x14ac:dyDescent="0.25">
      <c r="A3"/>
      <c r="B3"/>
      <c r="C3"/>
      <c r="D3"/>
      <c r="E3"/>
    </row>
    <row r="4" spans="1:5" ht="15.75" thickBot="1" x14ac:dyDescent="0.3">
      <c r="A4"/>
      <c r="B4"/>
      <c r="C4"/>
      <c r="D4"/>
      <c r="E4"/>
    </row>
    <row r="5" spans="1:5" ht="32.25" thickBot="1" x14ac:dyDescent="0.3">
      <c r="A5" s="168" t="s">
        <v>897</v>
      </c>
      <c r="B5" s="1430" t="s">
        <v>1258</v>
      </c>
      <c r="C5" s="1431"/>
      <c r="D5" s="1431"/>
      <c r="E5" s="1658"/>
    </row>
    <row r="6" spans="1:5" ht="32.25" thickBot="1" x14ac:dyDescent="0.3">
      <c r="A6" s="36" t="s">
        <v>895</v>
      </c>
      <c r="B6" s="1432" t="s">
        <v>1257</v>
      </c>
      <c r="C6" s="1433"/>
      <c r="D6" s="1433"/>
      <c r="E6" s="1659"/>
    </row>
    <row r="7" spans="1:5" ht="90.75" customHeight="1" thickBot="1" x14ac:dyDescent="0.3">
      <c r="A7" s="36" t="s">
        <v>893</v>
      </c>
      <c r="B7" s="1434" t="s">
        <v>1256</v>
      </c>
      <c r="C7" s="1420"/>
      <c r="D7" s="1420"/>
      <c r="E7" s="1421"/>
    </row>
    <row r="8" spans="1:5" ht="32.25" thickBot="1" x14ac:dyDescent="0.3">
      <c r="A8" s="36" t="s">
        <v>891</v>
      </c>
      <c r="B8" s="167" t="s">
        <v>3</v>
      </c>
      <c r="C8" s="1093" t="s">
        <v>7</v>
      </c>
      <c r="D8" s="1093"/>
      <c r="E8" s="1094"/>
    </row>
    <row r="9" spans="1:5" ht="53.25" customHeight="1" thickBot="1" x14ac:dyDescent="0.3">
      <c r="A9" s="36" t="s">
        <v>929</v>
      </c>
      <c r="B9" s="186" t="s">
        <v>1255</v>
      </c>
      <c r="C9" s="1420" t="s">
        <v>588</v>
      </c>
      <c r="D9" s="1420"/>
      <c r="E9" s="1421"/>
    </row>
    <row r="10" spans="1:5" ht="18" customHeight="1" x14ac:dyDescent="0.25">
      <c r="A10" s="1808" t="s">
        <v>1254</v>
      </c>
      <c r="B10" s="1808"/>
      <c r="C10" s="1808"/>
      <c r="D10" s="1808"/>
      <c r="E10" s="1808"/>
    </row>
    <row r="11" spans="1:5" ht="18" customHeight="1" x14ac:dyDescent="0.25">
      <c r="A11" s="467"/>
      <c r="B11" s="467" t="s">
        <v>948</v>
      </c>
      <c r="C11" s="467"/>
      <c r="D11" s="467"/>
      <c r="E11" s="467"/>
    </row>
    <row r="12" spans="1:5" ht="15.75" thickBot="1" x14ac:dyDescent="0.3"/>
    <row r="13" spans="1:5" ht="15.75" thickBot="1" x14ac:dyDescent="0.3">
      <c r="A13" s="466" t="s">
        <v>2</v>
      </c>
      <c r="B13" s="1809" t="s">
        <v>588</v>
      </c>
      <c r="C13" s="1809"/>
      <c r="D13" s="1809"/>
      <c r="E13" s="1809"/>
    </row>
    <row r="14" spans="1:5" ht="15.75" thickBot="1" x14ac:dyDescent="0.3">
      <c r="A14" s="466" t="s">
        <v>3</v>
      </c>
      <c r="B14" s="1810" t="s">
        <v>589</v>
      </c>
      <c r="C14" s="1811"/>
      <c r="D14" s="1811"/>
      <c r="E14" s="1812"/>
    </row>
    <row r="15" spans="1:5" ht="15.75" thickBot="1" x14ac:dyDescent="0.3">
      <c r="A15" s="466" t="s">
        <v>5</v>
      </c>
      <c r="B15" s="1813" t="s">
        <v>6</v>
      </c>
      <c r="C15" s="1814"/>
      <c r="D15" s="1814"/>
      <c r="E15" s="1815"/>
    </row>
    <row r="16" spans="1:5" ht="15.75" thickBot="1" x14ac:dyDescent="0.3">
      <c r="A16" s="1816" t="s">
        <v>7</v>
      </c>
      <c r="B16" s="1817"/>
      <c r="C16" s="1817"/>
      <c r="D16" s="1817"/>
      <c r="E16" s="1818"/>
    </row>
    <row r="17" spans="1:9" ht="15.75" thickBot="1" x14ac:dyDescent="0.3">
      <c r="A17" s="1819" t="s">
        <v>590</v>
      </c>
      <c r="B17" s="1820"/>
      <c r="C17" s="1820"/>
      <c r="D17" s="1820"/>
      <c r="E17" s="1821"/>
    </row>
    <row r="18" spans="1:9" ht="28.5" customHeight="1" thickBot="1" x14ac:dyDescent="0.3">
      <c r="A18" s="1819"/>
      <c r="B18" s="1820"/>
      <c r="C18" s="1820"/>
      <c r="D18" s="1820"/>
      <c r="E18" s="1821"/>
    </row>
    <row r="19" spans="1:9" ht="15" customHeight="1" thickBot="1" x14ac:dyDescent="0.3">
      <c r="A19" s="1819"/>
      <c r="B19" s="1820"/>
      <c r="C19" s="1820"/>
      <c r="D19" s="1820"/>
      <c r="E19" s="1821"/>
    </row>
    <row r="20" spans="1:9" ht="40.9" customHeight="1" thickBot="1" x14ac:dyDescent="0.3">
      <c r="A20" s="465" t="s">
        <v>8</v>
      </c>
      <c r="B20" s="1800" t="s">
        <v>591</v>
      </c>
      <c r="C20" s="1801"/>
      <c r="D20" s="1801"/>
      <c r="E20" s="1802"/>
      <c r="F20" s="464"/>
      <c r="G20" s="464"/>
      <c r="H20" s="464"/>
      <c r="I20" s="464"/>
    </row>
    <row r="21" spans="1:9" ht="23.25" hidden="1" customHeight="1" outlineLevel="1" x14ac:dyDescent="0.25">
      <c r="A21" s="1803" t="s">
        <v>9</v>
      </c>
      <c r="B21" s="463">
        <v>2018</v>
      </c>
      <c r="C21" s="463">
        <v>2019</v>
      </c>
      <c r="D21" s="463">
        <v>2020</v>
      </c>
      <c r="E21" s="463">
        <v>2021</v>
      </c>
    </row>
    <row r="22" spans="1:9" ht="15.75" hidden="1" outlineLevel="1" thickBot="1" x14ac:dyDescent="0.3">
      <c r="A22" s="1804"/>
      <c r="B22" s="462" t="s">
        <v>10</v>
      </c>
      <c r="C22" s="462" t="s">
        <v>11</v>
      </c>
      <c r="D22" s="462" t="s">
        <v>11</v>
      </c>
      <c r="E22" s="462" t="s">
        <v>11</v>
      </c>
    </row>
    <row r="23" spans="1:9" ht="15.75" hidden="1" outlineLevel="1" thickBot="1" x14ac:dyDescent="0.3">
      <c r="A23" s="434" t="s">
        <v>592</v>
      </c>
      <c r="B23" s="241"/>
      <c r="C23" s="241"/>
      <c r="D23" s="241"/>
      <c r="E23" s="241"/>
    </row>
    <row r="24" spans="1:9" ht="15.75" hidden="1" outlineLevel="1" thickBot="1" x14ac:dyDescent="0.3">
      <c r="A24" s="456" t="s">
        <v>593</v>
      </c>
      <c r="B24" s="241"/>
      <c r="C24" s="241"/>
      <c r="D24" s="241"/>
      <c r="E24" s="241"/>
    </row>
    <row r="25" spans="1:9" ht="15.75" hidden="1" outlineLevel="1" thickBot="1" x14ac:dyDescent="0.3">
      <c r="A25" s="456"/>
      <c r="B25" s="241"/>
      <c r="C25" s="241"/>
      <c r="D25" s="241"/>
      <c r="E25" s="241"/>
    </row>
    <row r="26" spans="1:9" ht="24.6" customHeight="1" collapsed="1" thickBot="1" x14ac:dyDescent="0.3">
      <c r="A26" s="449" t="s">
        <v>12</v>
      </c>
      <c r="B26" s="1805" t="s">
        <v>594</v>
      </c>
      <c r="C26" s="1806"/>
      <c r="D26" s="1806"/>
      <c r="E26" s="1807"/>
    </row>
    <row r="27" spans="1:9" ht="23.25" hidden="1" customHeight="1" outlineLevel="1" thickBot="1" x14ac:dyDescent="0.3">
      <c r="A27" s="1319" t="s">
        <v>13</v>
      </c>
      <c r="B27" s="1320"/>
      <c r="C27" s="1320"/>
      <c r="D27" s="1320"/>
      <c r="E27" s="1321"/>
      <c r="F27" s="35"/>
      <c r="H27" s="35"/>
    </row>
    <row r="28" spans="1:9" ht="15.75" hidden="1" outlineLevel="1" thickBot="1" x14ac:dyDescent="0.3">
      <c r="A28" s="434"/>
      <c r="B28" s="241"/>
      <c r="C28" s="241"/>
      <c r="D28" s="241"/>
      <c r="E28" s="241"/>
    </row>
    <row r="29" spans="1:9" ht="23.25" hidden="1" outlineLevel="1" thickBot="1" x14ac:dyDescent="0.3">
      <c r="A29" s="456" t="s">
        <v>595</v>
      </c>
      <c r="B29" s="241"/>
      <c r="C29" s="241"/>
      <c r="D29" s="241"/>
      <c r="E29" s="241"/>
    </row>
    <row r="30" spans="1:9" ht="15.75" hidden="1" outlineLevel="1" thickBot="1" x14ac:dyDescent="0.3">
      <c r="A30" s="456"/>
      <c r="B30" s="241"/>
      <c r="C30" s="241"/>
      <c r="D30" s="241"/>
      <c r="E30" s="241"/>
    </row>
    <row r="31" spans="1:9" ht="15.75" hidden="1" outlineLevel="1" thickBot="1" x14ac:dyDescent="0.3">
      <c r="A31" s="1834" t="s">
        <v>14</v>
      </c>
      <c r="B31" s="1835"/>
      <c r="C31" s="1835"/>
      <c r="D31" s="1835"/>
      <c r="E31" s="1836"/>
    </row>
    <row r="32" spans="1:9" ht="15.75" hidden="1" outlineLevel="1" thickBot="1" x14ac:dyDescent="0.3">
      <c r="A32" s="1837" t="s">
        <v>15</v>
      </c>
      <c r="B32" s="1838"/>
      <c r="C32" s="1838"/>
      <c r="D32" s="1838"/>
      <c r="E32" s="1839"/>
    </row>
    <row r="33" spans="1:9" ht="15.75" collapsed="1" thickBot="1" x14ac:dyDescent="0.3">
      <c r="A33" s="195" t="s">
        <v>16</v>
      </c>
      <c r="B33" s="1840" t="s">
        <v>596</v>
      </c>
      <c r="C33" s="1841"/>
      <c r="D33" s="1841"/>
      <c r="E33" s="1842"/>
    </row>
    <row r="34" spans="1:9" ht="24" hidden="1" customHeight="1" outlineLevel="1" thickBot="1" x14ac:dyDescent="0.3">
      <c r="A34" s="456" t="s">
        <v>17</v>
      </c>
      <c r="B34" s="1813" t="s">
        <v>597</v>
      </c>
      <c r="C34" s="1814"/>
      <c r="D34" s="1814"/>
      <c r="E34" s="1815"/>
    </row>
    <row r="35" spans="1:9" ht="15.75" hidden="1" outlineLevel="1" thickBot="1" x14ac:dyDescent="0.3">
      <c r="A35" s="456" t="s">
        <v>18</v>
      </c>
      <c r="B35" s="1843" t="s">
        <v>598</v>
      </c>
      <c r="C35" s="1844"/>
      <c r="D35" s="1844"/>
      <c r="E35" s="1845"/>
    </row>
    <row r="36" spans="1:9" ht="12.75" hidden="1" customHeight="1" outlineLevel="1" x14ac:dyDescent="0.25">
      <c r="A36" s="1803"/>
      <c r="B36" s="453">
        <v>2018</v>
      </c>
      <c r="C36" s="453">
        <v>2019</v>
      </c>
      <c r="D36" s="453">
        <v>2020</v>
      </c>
      <c r="E36" s="453">
        <v>2021</v>
      </c>
    </row>
    <row r="37" spans="1:9" ht="9" hidden="1" customHeight="1" outlineLevel="1" thickBot="1" x14ac:dyDescent="0.3">
      <c r="A37" s="1804"/>
      <c r="B37" s="452" t="s">
        <v>10</v>
      </c>
      <c r="C37" s="452" t="s">
        <v>11</v>
      </c>
      <c r="D37" s="452" t="s">
        <v>11</v>
      </c>
      <c r="E37" s="452" t="s">
        <v>11</v>
      </c>
    </row>
    <row r="38" spans="1:9" ht="15.75" hidden="1" outlineLevel="1" thickBot="1" x14ac:dyDescent="0.3">
      <c r="A38" s="456" t="s">
        <v>19</v>
      </c>
      <c r="B38" s="194">
        <v>35</v>
      </c>
      <c r="C38" s="194">
        <v>90</v>
      </c>
      <c r="D38" s="194">
        <v>90</v>
      </c>
      <c r="E38" s="194">
        <v>90</v>
      </c>
    </row>
    <row r="39" spans="1:9" ht="15.75" hidden="1" outlineLevel="1" thickBot="1" x14ac:dyDescent="0.3">
      <c r="A39" s="456" t="s">
        <v>20</v>
      </c>
      <c r="B39" s="194">
        <f>B47+B50+B53</f>
        <v>118000</v>
      </c>
      <c r="C39" s="194">
        <f>SUM(C47+C50+C53)</f>
        <v>125800</v>
      </c>
      <c r="D39" s="194">
        <f>SUM(D47+D50+D53)</f>
        <v>126400</v>
      </c>
      <c r="E39" s="194">
        <f>SUM(E47+E50+E53)</f>
        <v>127100</v>
      </c>
      <c r="F39" s="12"/>
    </row>
    <row r="40" spans="1:9" ht="15.75" hidden="1" outlineLevel="1" thickBot="1" x14ac:dyDescent="0.3">
      <c r="A40" s="456" t="s">
        <v>21</v>
      </c>
      <c r="B40" s="194">
        <f>B39/B38</f>
        <v>3371.4285714285716</v>
      </c>
      <c r="C40" s="194">
        <f>C39/C38</f>
        <v>1397.7777777777778</v>
      </c>
      <c r="D40" s="194">
        <f>D39/D38</f>
        <v>1404.4444444444443</v>
      </c>
      <c r="E40" s="194">
        <f>E39/E38</f>
        <v>1412.2222222222222</v>
      </c>
    </row>
    <row r="41" spans="1:9" ht="15.75" hidden="1" outlineLevel="1" thickBot="1" x14ac:dyDescent="0.3">
      <c r="A41" s="456" t="s">
        <v>22</v>
      </c>
      <c r="B41" s="461" t="s">
        <v>23</v>
      </c>
      <c r="C41" s="454">
        <f t="shared" ref="C41:E43" si="0">C38/B38-1</f>
        <v>1.5714285714285716</v>
      </c>
      <c r="D41" s="454">
        <f t="shared" si="0"/>
        <v>0</v>
      </c>
      <c r="E41" s="454">
        <f t="shared" si="0"/>
        <v>0</v>
      </c>
      <c r="F41" s="12"/>
      <c r="G41" s="12"/>
      <c r="H41" s="12"/>
      <c r="I41" s="12"/>
    </row>
    <row r="42" spans="1:9" ht="15.75" hidden="1" outlineLevel="1" thickBot="1" x14ac:dyDescent="0.3">
      <c r="A42" s="456" t="s">
        <v>24</v>
      </c>
      <c r="B42" s="455" t="s">
        <v>23</v>
      </c>
      <c r="C42" s="454">
        <f t="shared" si="0"/>
        <v>6.6101694915254194E-2</v>
      </c>
      <c r="D42" s="454">
        <f t="shared" si="0"/>
        <v>4.7694753577105509E-3</v>
      </c>
      <c r="E42" s="454">
        <f t="shared" si="0"/>
        <v>5.5379746835442223E-3</v>
      </c>
    </row>
    <row r="43" spans="1:9" ht="15.75" hidden="1" outlineLevel="1" thickBot="1" x14ac:dyDescent="0.3">
      <c r="A43" s="456" t="s">
        <v>25</v>
      </c>
      <c r="B43" s="455" t="s">
        <v>23</v>
      </c>
      <c r="C43" s="454">
        <f t="shared" si="0"/>
        <v>-0.58540489642184557</v>
      </c>
      <c r="D43" s="454">
        <f t="shared" si="0"/>
        <v>4.7694753577105509E-3</v>
      </c>
      <c r="E43" s="454">
        <f t="shared" si="0"/>
        <v>5.5379746835444443E-3</v>
      </c>
    </row>
    <row r="44" spans="1:9" ht="15.75" hidden="1" outlineLevel="1" thickBot="1" x14ac:dyDescent="0.3">
      <c r="A44" s="1323" t="s">
        <v>114</v>
      </c>
      <c r="B44" s="1324"/>
      <c r="C44" s="1324"/>
      <c r="D44" s="1324"/>
      <c r="E44" s="1325"/>
    </row>
    <row r="45" spans="1:9" ht="12.75" hidden="1" customHeight="1" outlineLevel="1" x14ac:dyDescent="0.25">
      <c r="A45" s="1803"/>
      <c r="B45" s="453">
        <v>2018</v>
      </c>
      <c r="C45" s="453">
        <v>2019</v>
      </c>
      <c r="D45" s="453">
        <v>2020</v>
      </c>
      <c r="E45" s="453">
        <v>2021</v>
      </c>
    </row>
    <row r="46" spans="1:9" ht="9" hidden="1" customHeight="1" outlineLevel="1" thickBot="1" x14ac:dyDescent="0.3">
      <c r="A46" s="1804"/>
      <c r="B46" s="452" t="s">
        <v>10</v>
      </c>
      <c r="C46" s="452" t="s">
        <v>11</v>
      </c>
      <c r="D46" s="452" t="s">
        <v>11</v>
      </c>
      <c r="E46" s="452" t="s">
        <v>11</v>
      </c>
    </row>
    <row r="47" spans="1:9" ht="15.75" hidden="1" outlineLevel="1" thickBot="1" x14ac:dyDescent="0.3">
      <c r="A47" s="444" t="s">
        <v>26</v>
      </c>
      <c r="B47" s="190">
        <v>90000</v>
      </c>
      <c r="C47" s="190">
        <v>97900</v>
      </c>
      <c r="D47" s="190">
        <v>97900</v>
      </c>
      <c r="E47" s="190">
        <v>97900</v>
      </c>
      <c r="F47" s="459"/>
    </row>
    <row r="48" spans="1:9" ht="24.75" hidden="1" outlineLevel="1" thickBot="1" x14ac:dyDescent="0.3">
      <c r="A48" s="443" t="s">
        <v>27</v>
      </c>
      <c r="B48" s="249"/>
      <c r="C48" s="460"/>
      <c r="D48" s="460"/>
      <c r="E48" s="460"/>
    </row>
    <row r="49" spans="1:6" ht="24.75" hidden="1" outlineLevel="1" thickBot="1" x14ac:dyDescent="0.3">
      <c r="A49" s="443" t="s">
        <v>1253</v>
      </c>
      <c r="B49" s="249"/>
      <c r="C49" s="441"/>
      <c r="D49" s="441"/>
      <c r="E49" s="441"/>
    </row>
    <row r="50" spans="1:6" ht="15.75" hidden="1" outlineLevel="1" thickBot="1" x14ac:dyDescent="0.3">
      <c r="A50" s="444" t="s">
        <v>28</v>
      </c>
      <c r="B50" s="190">
        <v>8000</v>
      </c>
      <c r="C50" s="190">
        <v>7900</v>
      </c>
      <c r="D50" s="190">
        <v>7900</v>
      </c>
      <c r="E50" s="190">
        <v>7900</v>
      </c>
      <c r="F50" s="459"/>
    </row>
    <row r="51" spans="1:6" ht="36.75" hidden="1" outlineLevel="1" thickBot="1" x14ac:dyDescent="0.3">
      <c r="A51" s="443" t="s">
        <v>29</v>
      </c>
      <c r="B51" s="458"/>
      <c r="C51" s="190"/>
      <c r="D51" s="190"/>
      <c r="E51" s="190"/>
    </row>
    <row r="52" spans="1:6" ht="36.75" hidden="1" outlineLevel="1" thickBot="1" x14ac:dyDescent="0.3">
      <c r="A52" s="443" t="s">
        <v>1252</v>
      </c>
      <c r="B52" s="458"/>
      <c r="C52" s="190"/>
      <c r="D52" s="190"/>
      <c r="E52" s="190"/>
    </row>
    <row r="53" spans="1:6" ht="15.75" hidden="1" outlineLevel="1" thickBot="1" x14ac:dyDescent="0.3">
      <c r="A53" s="444" t="s">
        <v>30</v>
      </c>
      <c r="B53" s="190">
        <v>20000</v>
      </c>
      <c r="C53" s="190">
        <v>20000</v>
      </c>
      <c r="D53" s="190">
        <v>20600</v>
      </c>
      <c r="E53" s="190">
        <v>21300</v>
      </c>
    </row>
    <row r="54" spans="1:6" ht="24.75" hidden="1" outlineLevel="1" thickBot="1" x14ac:dyDescent="0.3">
      <c r="A54" s="443" t="s">
        <v>31</v>
      </c>
      <c r="B54" s="249"/>
      <c r="C54" s="190"/>
      <c r="D54" s="190"/>
      <c r="E54" s="190"/>
    </row>
    <row r="55" spans="1:6" ht="33.6" hidden="1" customHeight="1" outlineLevel="1" thickBot="1" x14ac:dyDescent="0.3">
      <c r="A55" s="443" t="s">
        <v>1251</v>
      </c>
      <c r="B55" s="249"/>
      <c r="C55" s="190"/>
      <c r="D55" s="190"/>
      <c r="E55" s="190"/>
    </row>
    <row r="56" spans="1:6" ht="15.75" hidden="1" outlineLevel="1" thickBot="1" x14ac:dyDescent="0.3">
      <c r="A56" s="444" t="s">
        <v>32</v>
      </c>
      <c r="B56" s="249"/>
      <c r="C56" s="190"/>
      <c r="D56" s="190"/>
      <c r="E56" s="190"/>
    </row>
    <row r="57" spans="1:6" ht="24.75" hidden="1" outlineLevel="1" thickBot="1" x14ac:dyDescent="0.3">
      <c r="A57" s="443" t="s">
        <v>33</v>
      </c>
      <c r="B57" s="249"/>
      <c r="C57" s="190"/>
      <c r="D57" s="190"/>
      <c r="E57" s="190"/>
    </row>
    <row r="58" spans="1:6" ht="24.75" hidden="1" outlineLevel="1" thickBot="1" x14ac:dyDescent="0.3">
      <c r="A58" s="443" t="s">
        <v>1250</v>
      </c>
      <c r="B58" s="249"/>
      <c r="C58" s="190"/>
      <c r="D58" s="190"/>
      <c r="E58" s="190"/>
    </row>
    <row r="59" spans="1:6" ht="15.75" hidden="1" outlineLevel="1" thickBot="1" x14ac:dyDescent="0.3">
      <c r="A59" s="444" t="s">
        <v>34</v>
      </c>
      <c r="B59" s="249"/>
      <c r="C59" s="190"/>
      <c r="D59" s="190"/>
      <c r="E59" s="190"/>
    </row>
    <row r="60" spans="1:6" ht="24.75" hidden="1" outlineLevel="1" thickBot="1" x14ac:dyDescent="0.3">
      <c r="A60" s="443" t="s">
        <v>35</v>
      </c>
      <c r="B60" s="249"/>
      <c r="C60" s="190"/>
      <c r="D60" s="190"/>
      <c r="E60" s="190"/>
    </row>
    <row r="61" spans="1:6" ht="30.6" hidden="1" customHeight="1" outlineLevel="1" thickBot="1" x14ac:dyDescent="0.3">
      <c r="A61" s="443" t="s">
        <v>1249</v>
      </c>
      <c r="B61" s="249"/>
      <c r="C61" s="190"/>
      <c r="D61" s="190"/>
      <c r="E61" s="190"/>
    </row>
    <row r="62" spans="1:6" ht="15.75" hidden="1" outlineLevel="1" thickBot="1" x14ac:dyDescent="0.3">
      <c r="A62" s="444" t="s">
        <v>36</v>
      </c>
      <c r="B62" s="249"/>
      <c r="C62" s="190"/>
      <c r="D62" s="190"/>
      <c r="E62" s="190"/>
    </row>
    <row r="63" spans="1:6" ht="24.75" hidden="1" outlineLevel="1" thickBot="1" x14ac:dyDescent="0.3">
      <c r="A63" s="443" t="s">
        <v>37</v>
      </c>
      <c r="B63" s="249"/>
      <c r="C63" s="190"/>
      <c r="D63" s="190"/>
      <c r="E63" s="190"/>
    </row>
    <row r="64" spans="1:6" ht="24.75" hidden="1" outlineLevel="1" thickBot="1" x14ac:dyDescent="0.3">
      <c r="A64" s="443" t="s">
        <v>1248</v>
      </c>
      <c r="B64" s="249"/>
      <c r="C64" s="190"/>
      <c r="D64" s="190"/>
      <c r="E64" s="190"/>
    </row>
    <row r="65" spans="1:7" ht="21.6" hidden="1" customHeight="1" outlineLevel="1" thickBot="1" x14ac:dyDescent="0.3">
      <c r="A65" s="444" t="s">
        <v>38</v>
      </c>
      <c r="B65" s="249"/>
      <c r="C65" s="190"/>
      <c r="D65" s="190"/>
      <c r="E65" s="190"/>
    </row>
    <row r="66" spans="1:7" ht="24.75" hidden="1" outlineLevel="1" thickBot="1" x14ac:dyDescent="0.3">
      <c r="A66" s="443" t="s">
        <v>39</v>
      </c>
      <c r="B66" s="249"/>
      <c r="C66" s="190"/>
      <c r="D66" s="190"/>
      <c r="E66" s="190"/>
    </row>
    <row r="67" spans="1:7" ht="36.75" hidden="1" outlineLevel="1" thickBot="1" x14ac:dyDescent="0.3">
      <c r="A67" s="443" t="s">
        <v>1247</v>
      </c>
      <c r="B67" s="249"/>
      <c r="C67" s="190"/>
      <c r="D67" s="190"/>
      <c r="E67" s="190"/>
      <c r="G67" s="12"/>
    </row>
    <row r="68" spans="1:7" ht="15.75" hidden="1" outlineLevel="1" thickBot="1" x14ac:dyDescent="0.3">
      <c r="A68" s="192" t="s">
        <v>40</v>
      </c>
      <c r="B68" s="249">
        <f>B65+B62+B59+B56+B53+B50+B47</f>
        <v>118000</v>
      </c>
      <c r="C68" s="249">
        <f>C65+C62+C59+C56+C53+C50+C47</f>
        <v>125800</v>
      </c>
      <c r="D68" s="249">
        <f>D65+D62+D59+D56+D53+D50+D47</f>
        <v>126400</v>
      </c>
      <c r="E68" s="249">
        <f>E65+E62+E59+E56+E53+E50+E47</f>
        <v>127100</v>
      </c>
    </row>
    <row r="69" spans="1:7" ht="15.75" hidden="1" outlineLevel="1" thickBot="1" x14ac:dyDescent="0.3">
      <c r="A69" s="1822" t="s">
        <v>1246</v>
      </c>
      <c r="B69" s="1846" t="s">
        <v>1245</v>
      </c>
      <c r="C69" s="1847"/>
      <c r="D69" s="1847"/>
      <c r="E69" s="1848"/>
    </row>
    <row r="70" spans="1:7" ht="15.75" hidden="1" outlineLevel="1" thickBot="1" x14ac:dyDescent="0.3">
      <c r="A70" s="1823"/>
      <c r="B70" s="1849"/>
      <c r="C70" s="1850"/>
      <c r="D70" s="1850"/>
      <c r="E70" s="1851"/>
    </row>
    <row r="71" spans="1:7" ht="62.25" hidden="1" customHeight="1" outlineLevel="1" thickBot="1" x14ac:dyDescent="0.3">
      <c r="A71" s="1824"/>
      <c r="B71" s="1852"/>
      <c r="C71" s="1853"/>
      <c r="D71" s="1853"/>
      <c r="E71" s="1854"/>
    </row>
    <row r="72" spans="1:7" ht="15.75" hidden="1" outlineLevel="1" thickBot="1" x14ac:dyDescent="0.3">
      <c r="A72" s="440" t="s">
        <v>41</v>
      </c>
      <c r="B72" s="439">
        <f>IF(B68-B39=0,0,"Error")</f>
        <v>0</v>
      </c>
      <c r="C72" s="439">
        <f>IF(C68-C39=0,0,"Error")</f>
        <v>0</v>
      </c>
      <c r="D72" s="439">
        <f>IF(D68-D39=0,0,"Error")</f>
        <v>0</v>
      </c>
      <c r="E72" s="439">
        <f>IF(E68-E39=0,0,"Error")</f>
        <v>0</v>
      </c>
    </row>
    <row r="73" spans="1:7" ht="47.25" customHeight="1" collapsed="1" thickBot="1" x14ac:dyDescent="0.3">
      <c r="A73" s="449" t="s">
        <v>67</v>
      </c>
      <c r="B73" s="1855" t="s">
        <v>599</v>
      </c>
      <c r="C73" s="1856"/>
      <c r="D73" s="1856"/>
      <c r="E73" s="1857"/>
    </row>
    <row r="74" spans="1:7" ht="15.75" customHeight="1" thickBot="1" x14ac:dyDescent="0.3">
      <c r="A74" s="1319" t="s">
        <v>68</v>
      </c>
      <c r="B74" s="1320"/>
      <c r="C74" s="1320"/>
      <c r="D74" s="1320"/>
      <c r="E74" s="1321"/>
    </row>
    <row r="75" spans="1:7" ht="15.75" thickBot="1" x14ac:dyDescent="0.3">
      <c r="A75" s="434" t="s">
        <v>600</v>
      </c>
      <c r="B75" s="241">
        <v>0.8</v>
      </c>
      <c r="C75" s="241">
        <v>1</v>
      </c>
      <c r="D75" s="241">
        <v>1</v>
      </c>
      <c r="E75" s="241">
        <v>1</v>
      </c>
    </row>
    <row r="76" spans="1:7" ht="23.25" customHeight="1" thickBot="1" x14ac:dyDescent="0.3">
      <c r="A76" s="456" t="s">
        <v>111</v>
      </c>
      <c r="B76" s="241"/>
      <c r="C76" s="241"/>
      <c r="D76" s="241"/>
      <c r="E76" s="241"/>
    </row>
    <row r="77" spans="1:7" ht="23.25" customHeight="1" thickBot="1" x14ac:dyDescent="0.3">
      <c r="A77" s="1772" t="s">
        <v>69</v>
      </c>
      <c r="B77" s="1773"/>
      <c r="C77" s="1773"/>
      <c r="D77" s="1773"/>
      <c r="E77" s="1774"/>
    </row>
    <row r="78" spans="1:7" ht="15.75" hidden="1" outlineLevel="1" collapsed="1" thickBot="1" x14ac:dyDescent="0.3">
      <c r="A78" s="1837" t="s">
        <v>63</v>
      </c>
      <c r="B78" s="1838"/>
      <c r="C78" s="1838"/>
      <c r="D78" s="1838"/>
      <c r="E78" s="1839"/>
    </row>
    <row r="79" spans="1:7" ht="15.75" hidden="1" outlineLevel="1" thickBot="1" x14ac:dyDescent="0.3">
      <c r="A79" s="1837" t="s">
        <v>56</v>
      </c>
      <c r="B79" s="1838"/>
      <c r="C79" s="1838"/>
      <c r="D79" s="1838"/>
      <c r="E79" s="1839"/>
    </row>
    <row r="80" spans="1:7" ht="15.75" hidden="1" outlineLevel="1" thickBot="1" x14ac:dyDescent="0.3">
      <c r="A80" s="457" t="s">
        <v>1244</v>
      </c>
      <c r="B80" s="1861" t="s">
        <v>1243</v>
      </c>
      <c r="C80" s="1862"/>
      <c r="D80" s="1862"/>
      <c r="E80" s="1863"/>
    </row>
    <row r="81" spans="1:9" ht="15.75" hidden="1" outlineLevel="1" thickBot="1" x14ac:dyDescent="0.3">
      <c r="A81" s="195" t="s">
        <v>16</v>
      </c>
      <c r="B81" s="1861" t="str">
        <f>B80</f>
        <v xml:space="preserve"> Paisje dhe mobilje </v>
      </c>
      <c r="C81" s="1862"/>
      <c r="D81" s="1862"/>
      <c r="E81" s="1863"/>
    </row>
    <row r="82" spans="1:9" ht="26.45" hidden="1" customHeight="1" outlineLevel="1" thickBot="1" x14ac:dyDescent="0.3">
      <c r="A82" s="456" t="s">
        <v>17</v>
      </c>
      <c r="B82" s="1858" t="s">
        <v>1242</v>
      </c>
      <c r="C82" s="1859"/>
      <c r="D82" s="1859"/>
      <c r="E82" s="1860"/>
    </row>
    <row r="83" spans="1:9" ht="15.75" hidden="1" outlineLevel="1" thickBot="1" x14ac:dyDescent="0.3">
      <c r="A83" s="456" t="s">
        <v>18</v>
      </c>
      <c r="B83" s="1843" t="s">
        <v>602</v>
      </c>
      <c r="C83" s="1844"/>
      <c r="D83" s="1844"/>
      <c r="E83" s="1845"/>
    </row>
    <row r="84" spans="1:9" ht="12.75" hidden="1" customHeight="1" outlineLevel="1" x14ac:dyDescent="0.25">
      <c r="A84" s="1803"/>
      <c r="B84" s="453">
        <v>2018</v>
      </c>
      <c r="C84" s="453">
        <v>2019</v>
      </c>
      <c r="D84" s="453">
        <v>2020</v>
      </c>
      <c r="E84" s="453">
        <v>2021</v>
      </c>
    </row>
    <row r="85" spans="1:9" ht="9" hidden="1" customHeight="1" outlineLevel="1" thickBot="1" x14ac:dyDescent="0.3">
      <c r="A85" s="1804"/>
      <c r="B85" s="452" t="s">
        <v>10</v>
      </c>
      <c r="C85" s="452" t="s">
        <v>11</v>
      </c>
      <c r="D85" s="452" t="s">
        <v>11</v>
      </c>
      <c r="E85" s="452" t="s">
        <v>11</v>
      </c>
    </row>
    <row r="86" spans="1:9" ht="15.75" hidden="1" outlineLevel="1" thickBot="1" x14ac:dyDescent="0.3">
      <c r="A86" s="456" t="s">
        <v>19</v>
      </c>
      <c r="B86" s="194">
        <v>10</v>
      </c>
      <c r="C86" s="194">
        <v>2</v>
      </c>
      <c r="D86" s="194"/>
      <c r="E86" s="194"/>
    </row>
    <row r="87" spans="1:9" ht="15.75" hidden="1" outlineLevel="1" thickBot="1" x14ac:dyDescent="0.3">
      <c r="A87" s="456" t="s">
        <v>20</v>
      </c>
      <c r="B87" s="194">
        <v>5000</v>
      </c>
      <c r="C87" s="194">
        <v>400</v>
      </c>
      <c r="D87" s="194"/>
      <c r="E87" s="194"/>
    </row>
    <row r="88" spans="1:9" ht="15.75" hidden="1" outlineLevel="1" thickBot="1" x14ac:dyDescent="0.3">
      <c r="A88" s="456" t="s">
        <v>21</v>
      </c>
      <c r="B88" s="194">
        <f>B87/B86</f>
        <v>500</v>
      </c>
      <c r="C88" s="194">
        <f>C87/C86</f>
        <v>200</v>
      </c>
      <c r="D88" s="194"/>
      <c r="E88" s="194"/>
    </row>
    <row r="89" spans="1:9" ht="15.75" hidden="1" outlineLevel="1" thickBot="1" x14ac:dyDescent="0.3">
      <c r="A89" s="456" t="s">
        <v>22</v>
      </c>
      <c r="B89" s="455" t="s">
        <v>23</v>
      </c>
      <c r="C89" s="454">
        <f>C86/B86-1</f>
        <v>-0.8</v>
      </c>
      <c r="D89" s="454"/>
      <c r="E89" s="454"/>
      <c r="F89" s="12"/>
      <c r="G89" s="12"/>
      <c r="H89" s="12"/>
      <c r="I89" s="12"/>
    </row>
    <row r="90" spans="1:9" ht="15.75" hidden="1" outlineLevel="1" thickBot="1" x14ac:dyDescent="0.3">
      <c r="A90" s="456" t="s">
        <v>24</v>
      </c>
      <c r="B90" s="455" t="s">
        <v>23</v>
      </c>
      <c r="C90" s="454">
        <f>C87/B87-1</f>
        <v>-0.92</v>
      </c>
      <c r="D90" s="454"/>
      <c r="E90" s="454"/>
    </row>
    <row r="91" spans="1:9" ht="15.75" hidden="1" outlineLevel="1" thickBot="1" x14ac:dyDescent="0.3">
      <c r="A91" s="456" t="s">
        <v>25</v>
      </c>
      <c r="B91" s="455" t="s">
        <v>23</v>
      </c>
      <c r="C91" s="454">
        <f>C88/B88-1</f>
        <v>-0.6</v>
      </c>
      <c r="D91" s="454"/>
      <c r="E91" s="454"/>
    </row>
    <row r="92" spans="1:9" ht="15.75" hidden="1" outlineLevel="1" thickBot="1" x14ac:dyDescent="0.3">
      <c r="A92" s="1323" t="s">
        <v>114</v>
      </c>
      <c r="B92" s="1324"/>
      <c r="C92" s="1324"/>
      <c r="D92" s="1324"/>
      <c r="E92" s="1325"/>
    </row>
    <row r="93" spans="1:9" ht="12.75" hidden="1" customHeight="1" outlineLevel="1" x14ac:dyDescent="0.25">
      <c r="A93" s="1803"/>
      <c r="B93" s="453">
        <v>2018</v>
      </c>
      <c r="C93" s="453">
        <v>2019</v>
      </c>
      <c r="D93" s="453">
        <v>2020</v>
      </c>
      <c r="E93" s="453">
        <v>2021</v>
      </c>
    </row>
    <row r="94" spans="1:9" ht="9" hidden="1" customHeight="1" outlineLevel="1" thickBot="1" x14ac:dyDescent="0.3">
      <c r="A94" s="1804"/>
      <c r="B94" s="452" t="s">
        <v>10</v>
      </c>
      <c r="C94" s="452" t="s">
        <v>11</v>
      </c>
      <c r="D94" s="452" t="s">
        <v>11</v>
      </c>
      <c r="E94" s="452" t="s">
        <v>11</v>
      </c>
    </row>
    <row r="95" spans="1:9" ht="15.75" hidden="1" outlineLevel="1" thickBot="1" x14ac:dyDescent="0.3">
      <c r="A95" s="444" t="s">
        <v>58</v>
      </c>
      <c r="B95" s="190"/>
      <c r="C95" s="190"/>
      <c r="D95" s="190"/>
      <c r="E95" s="190"/>
    </row>
    <row r="96" spans="1:9" ht="15.75" hidden="1" outlineLevel="1" thickBot="1" x14ac:dyDescent="0.3">
      <c r="A96" s="444" t="s">
        <v>59</v>
      </c>
      <c r="B96" s="249">
        <v>5000</v>
      </c>
      <c r="C96" s="194">
        <v>400</v>
      </c>
      <c r="D96" s="190"/>
      <c r="E96" s="190"/>
    </row>
    <row r="97" spans="1:9" ht="15.75" hidden="1" outlineLevel="1" thickBot="1" x14ac:dyDescent="0.3">
      <c r="A97" s="192" t="s">
        <v>40</v>
      </c>
      <c r="B97" s="249">
        <f>B96+B95</f>
        <v>5000</v>
      </c>
      <c r="C97" s="249">
        <f>C96+C95</f>
        <v>400</v>
      </c>
      <c r="D97" s="249">
        <f>D96+D95</f>
        <v>0</v>
      </c>
      <c r="E97" s="249">
        <f>E96+E95</f>
        <v>0</v>
      </c>
    </row>
    <row r="98" spans="1:9" ht="15.75" hidden="1" outlineLevel="1" thickBot="1" x14ac:dyDescent="0.3">
      <c r="A98" s="1822" t="s">
        <v>60</v>
      </c>
      <c r="B98" s="1825" t="s">
        <v>603</v>
      </c>
      <c r="C98" s="1826"/>
      <c r="D98" s="1826"/>
      <c r="E98" s="1827"/>
    </row>
    <row r="99" spans="1:9" ht="15.75" hidden="1" outlineLevel="1" thickBot="1" x14ac:dyDescent="0.3">
      <c r="A99" s="1823"/>
      <c r="B99" s="1828"/>
      <c r="C99" s="1829"/>
      <c r="D99" s="1829"/>
      <c r="E99" s="1830"/>
    </row>
    <row r="100" spans="1:9" ht="15.75" hidden="1" outlineLevel="1" thickBot="1" x14ac:dyDescent="0.3">
      <c r="A100" s="1824"/>
      <c r="B100" s="1831"/>
      <c r="C100" s="1832"/>
      <c r="D100" s="1832"/>
      <c r="E100" s="1833"/>
    </row>
    <row r="101" spans="1:9" ht="15.75" hidden="1" outlineLevel="1" collapsed="1" thickBot="1" x14ac:dyDescent="0.3">
      <c r="A101" s="457" t="s">
        <v>604</v>
      </c>
      <c r="B101" s="1861" t="s">
        <v>1241</v>
      </c>
      <c r="C101" s="1862"/>
      <c r="D101" s="1862"/>
      <c r="E101" s="1863"/>
    </row>
    <row r="102" spans="1:9" ht="15.75" hidden="1" outlineLevel="1" thickBot="1" x14ac:dyDescent="0.3">
      <c r="A102" s="195" t="s">
        <v>42</v>
      </c>
      <c r="B102" s="1861" t="str">
        <f>B101</f>
        <v>Paisje elektronike</v>
      </c>
      <c r="C102" s="1844"/>
      <c r="D102" s="1844"/>
      <c r="E102" s="1845"/>
    </row>
    <row r="103" spans="1:9" ht="21" hidden="1" customHeight="1" outlineLevel="1" thickBot="1" x14ac:dyDescent="0.3">
      <c r="A103" s="456" t="s">
        <v>17</v>
      </c>
      <c r="B103" s="1813" t="s">
        <v>1240</v>
      </c>
      <c r="C103" s="1814"/>
      <c r="D103" s="1814"/>
      <c r="E103" s="1815"/>
    </row>
    <row r="104" spans="1:9" ht="16.5" hidden="1" customHeight="1" outlineLevel="1" thickBot="1" x14ac:dyDescent="0.3">
      <c r="A104" s="456" t="s">
        <v>18</v>
      </c>
      <c r="B104" s="1813" t="s">
        <v>605</v>
      </c>
      <c r="C104" s="1814"/>
      <c r="D104" s="1814"/>
      <c r="E104" s="1815"/>
    </row>
    <row r="105" spans="1:9" ht="12.75" hidden="1" customHeight="1" outlineLevel="1" x14ac:dyDescent="0.25">
      <c r="A105" s="1803"/>
      <c r="B105" s="453">
        <v>2018</v>
      </c>
      <c r="C105" s="453">
        <v>2019</v>
      </c>
      <c r="D105" s="453">
        <v>2020</v>
      </c>
      <c r="E105" s="453">
        <v>2021</v>
      </c>
    </row>
    <row r="106" spans="1:9" ht="9" hidden="1" customHeight="1" outlineLevel="1" thickBot="1" x14ac:dyDescent="0.3">
      <c r="A106" s="1804"/>
      <c r="B106" s="452" t="s">
        <v>10</v>
      </c>
      <c r="C106" s="452" t="s">
        <v>11</v>
      </c>
      <c r="D106" s="452" t="s">
        <v>11</v>
      </c>
      <c r="E106" s="452" t="s">
        <v>11</v>
      </c>
    </row>
    <row r="107" spans="1:9" ht="15.75" hidden="1" outlineLevel="1" thickBot="1" x14ac:dyDescent="0.3">
      <c r="A107" s="456" t="s">
        <v>19</v>
      </c>
      <c r="B107" s="194">
        <v>7</v>
      </c>
      <c r="C107" s="194">
        <v>3</v>
      </c>
      <c r="D107" s="194"/>
      <c r="E107" s="194"/>
    </row>
    <row r="108" spans="1:9" ht="15.75" hidden="1" outlineLevel="1" thickBot="1" x14ac:dyDescent="0.3">
      <c r="A108" s="456" t="s">
        <v>20</v>
      </c>
      <c r="B108" s="194">
        <v>900</v>
      </c>
      <c r="C108" s="194">
        <v>400</v>
      </c>
      <c r="D108" s="194"/>
      <c r="E108" s="194"/>
    </row>
    <row r="109" spans="1:9" ht="15.75" hidden="1" outlineLevel="1" thickBot="1" x14ac:dyDescent="0.3">
      <c r="A109" s="456" t="s">
        <v>21</v>
      </c>
      <c r="B109" s="194">
        <f>B108/B107</f>
        <v>128.57142857142858</v>
      </c>
      <c r="C109" s="194">
        <f>C108/C107</f>
        <v>133.33333333333334</v>
      </c>
      <c r="D109" s="194"/>
      <c r="E109" s="194"/>
    </row>
    <row r="110" spans="1:9" ht="15.75" hidden="1" outlineLevel="1" thickBot="1" x14ac:dyDescent="0.3">
      <c r="A110" s="456" t="s">
        <v>22</v>
      </c>
      <c r="B110" s="455" t="s">
        <v>23</v>
      </c>
      <c r="C110" s="454"/>
      <c r="D110" s="454"/>
      <c r="E110" s="454"/>
      <c r="F110" s="12"/>
      <c r="G110" s="12"/>
      <c r="H110" s="12"/>
      <c r="I110" s="12"/>
    </row>
    <row r="111" spans="1:9" ht="15.75" hidden="1" outlineLevel="1" thickBot="1" x14ac:dyDescent="0.3">
      <c r="A111" s="456" t="s">
        <v>24</v>
      </c>
      <c r="B111" s="455" t="s">
        <v>23</v>
      </c>
      <c r="C111" s="454"/>
      <c r="D111" s="454"/>
      <c r="E111" s="454"/>
    </row>
    <row r="112" spans="1:9" ht="15.75" hidden="1" outlineLevel="1" thickBot="1" x14ac:dyDescent="0.3">
      <c r="A112" s="456" t="s">
        <v>25</v>
      </c>
      <c r="B112" s="455" t="s">
        <v>23</v>
      </c>
      <c r="C112" s="454"/>
      <c r="D112" s="454"/>
      <c r="E112" s="454"/>
    </row>
    <row r="113" spans="1:5" ht="15.75" hidden="1" outlineLevel="1" thickBot="1" x14ac:dyDescent="0.3">
      <c r="A113" s="1323" t="s">
        <v>568</v>
      </c>
      <c r="B113" s="1324"/>
      <c r="C113" s="1324"/>
      <c r="D113" s="1324"/>
      <c r="E113" s="1325"/>
    </row>
    <row r="114" spans="1:5" ht="12.75" hidden="1" customHeight="1" outlineLevel="1" x14ac:dyDescent="0.25">
      <c r="A114" s="1803"/>
      <c r="B114" s="453">
        <v>2018</v>
      </c>
      <c r="C114" s="453">
        <v>2019</v>
      </c>
      <c r="D114" s="453">
        <v>2020</v>
      </c>
      <c r="E114" s="453">
        <v>2021</v>
      </c>
    </row>
    <row r="115" spans="1:5" ht="9" hidden="1" customHeight="1" outlineLevel="1" thickBot="1" x14ac:dyDescent="0.3">
      <c r="A115" s="1804"/>
      <c r="B115" s="452" t="s">
        <v>10</v>
      </c>
      <c r="C115" s="452" t="s">
        <v>11</v>
      </c>
      <c r="D115" s="452" t="s">
        <v>11</v>
      </c>
      <c r="E115" s="452" t="s">
        <v>11</v>
      </c>
    </row>
    <row r="116" spans="1:5" ht="15.75" hidden="1" outlineLevel="1" thickBot="1" x14ac:dyDescent="0.3">
      <c r="A116" s="444" t="s">
        <v>58</v>
      </c>
      <c r="B116" s="451"/>
      <c r="C116" s="190"/>
      <c r="D116" s="190"/>
      <c r="E116" s="190"/>
    </row>
    <row r="117" spans="1:5" ht="15.75" hidden="1" outlineLevel="1" thickBot="1" x14ac:dyDescent="0.3">
      <c r="A117" s="444" t="s">
        <v>59</v>
      </c>
      <c r="B117" s="450">
        <v>900</v>
      </c>
      <c r="C117" s="194">
        <v>400</v>
      </c>
      <c r="D117" s="190"/>
      <c r="E117" s="190"/>
    </row>
    <row r="118" spans="1:5" ht="15.75" hidden="1" outlineLevel="1" thickBot="1" x14ac:dyDescent="0.3">
      <c r="A118" s="192" t="s">
        <v>43</v>
      </c>
      <c r="B118" s="450">
        <f>B117+B116</f>
        <v>900</v>
      </c>
      <c r="C118" s="249">
        <f>C117+C116</f>
        <v>400</v>
      </c>
      <c r="D118" s="249">
        <f>D117+D116</f>
        <v>0</v>
      </c>
      <c r="E118" s="249">
        <f>E117+E116</f>
        <v>0</v>
      </c>
    </row>
    <row r="119" spans="1:5" ht="15.75" hidden="1" outlineLevel="1" thickBot="1" x14ac:dyDescent="0.3">
      <c r="A119" s="1822" t="s">
        <v>115</v>
      </c>
      <c r="B119" s="1864"/>
      <c r="C119" s="1865"/>
      <c r="D119" s="1865"/>
      <c r="E119" s="1866"/>
    </row>
    <row r="120" spans="1:5" ht="15.75" hidden="1" outlineLevel="1" thickBot="1" x14ac:dyDescent="0.3">
      <c r="A120" s="1823"/>
      <c r="B120" s="1867"/>
      <c r="C120" s="1868"/>
      <c r="D120" s="1868"/>
      <c r="E120" s="1869"/>
    </row>
    <row r="121" spans="1:5" ht="15.75" hidden="1" outlineLevel="1" thickBot="1" x14ac:dyDescent="0.3">
      <c r="A121" s="1824"/>
      <c r="B121" s="1870"/>
      <c r="C121" s="1871"/>
      <c r="D121" s="1871"/>
      <c r="E121" s="1872"/>
    </row>
    <row r="122" spans="1:5" ht="15.75" collapsed="1" thickBot="1" x14ac:dyDescent="0.3">
      <c r="A122" s="457" t="s">
        <v>606</v>
      </c>
      <c r="B122" s="1873" t="s">
        <v>607</v>
      </c>
      <c r="C122" s="1874"/>
      <c r="D122" s="1874"/>
      <c r="E122" s="1875"/>
    </row>
    <row r="123" spans="1:5" ht="15.75" thickBot="1" x14ac:dyDescent="0.3">
      <c r="A123" s="195" t="s">
        <v>44</v>
      </c>
      <c r="B123" s="1861" t="s">
        <v>607</v>
      </c>
      <c r="C123" s="1844"/>
      <c r="D123" s="1844"/>
      <c r="E123" s="1845"/>
    </row>
    <row r="124" spans="1:5" ht="15" customHeight="1" thickBot="1" x14ac:dyDescent="0.3">
      <c r="A124" s="456" t="s">
        <v>17</v>
      </c>
      <c r="B124" s="1813" t="s">
        <v>608</v>
      </c>
      <c r="C124" s="1814"/>
      <c r="D124" s="1814"/>
      <c r="E124" s="1815"/>
    </row>
    <row r="125" spans="1:5" ht="16.5" customHeight="1" thickBot="1" x14ac:dyDescent="0.3">
      <c r="A125" s="456" t="s">
        <v>18</v>
      </c>
      <c r="B125" s="1813" t="s">
        <v>609</v>
      </c>
      <c r="C125" s="1814"/>
      <c r="D125" s="1814"/>
      <c r="E125" s="1815"/>
    </row>
    <row r="126" spans="1:5" ht="12.75" customHeight="1" x14ac:dyDescent="0.25">
      <c r="A126" s="1803"/>
      <c r="B126" s="453">
        <v>2018</v>
      </c>
      <c r="C126" s="453">
        <v>2019</v>
      </c>
      <c r="D126" s="453">
        <v>2020</v>
      </c>
      <c r="E126" s="453">
        <v>2021</v>
      </c>
    </row>
    <row r="127" spans="1:5" ht="9" customHeight="1" thickBot="1" x14ac:dyDescent="0.3">
      <c r="A127" s="1804"/>
      <c r="B127" s="452" t="s">
        <v>10</v>
      </c>
      <c r="C127" s="452" t="s">
        <v>11</v>
      </c>
      <c r="D127" s="452" t="s">
        <v>11</v>
      </c>
      <c r="E127" s="452" t="s">
        <v>11</v>
      </c>
    </row>
    <row r="128" spans="1:5" ht="15.75" thickBot="1" x14ac:dyDescent="0.3">
      <c r="A128" s="456" t="s">
        <v>19</v>
      </c>
      <c r="B128" s="194">
        <v>1</v>
      </c>
      <c r="C128" s="194"/>
      <c r="D128" s="194"/>
      <c r="E128" s="194"/>
    </row>
    <row r="129" spans="1:9" ht="15.75" thickBot="1" x14ac:dyDescent="0.3">
      <c r="A129" s="456" t="s">
        <v>20</v>
      </c>
      <c r="B129" s="194">
        <v>2200</v>
      </c>
      <c r="C129" s="194"/>
      <c r="D129" s="194"/>
      <c r="E129" s="194"/>
    </row>
    <row r="130" spans="1:9" ht="15.75" thickBot="1" x14ac:dyDescent="0.3">
      <c r="A130" s="456" t="s">
        <v>21</v>
      </c>
      <c r="B130" s="194">
        <f>B129/B128</f>
        <v>2200</v>
      </c>
      <c r="C130" s="194"/>
      <c r="D130" s="194"/>
      <c r="E130" s="194"/>
    </row>
    <row r="131" spans="1:9" ht="15.75" thickBot="1" x14ac:dyDescent="0.3">
      <c r="A131" s="456" t="s">
        <v>22</v>
      </c>
      <c r="B131" s="455" t="s">
        <v>23</v>
      </c>
      <c r="C131" s="454"/>
      <c r="D131" s="454"/>
      <c r="E131" s="454"/>
      <c r="F131" s="12"/>
      <c r="G131" s="12"/>
      <c r="H131" s="12"/>
      <c r="I131" s="12"/>
    </row>
    <row r="132" spans="1:9" ht="15.75" thickBot="1" x14ac:dyDescent="0.3">
      <c r="A132" s="456" t="s">
        <v>24</v>
      </c>
      <c r="B132" s="455" t="s">
        <v>23</v>
      </c>
      <c r="C132" s="454"/>
      <c r="D132" s="454"/>
      <c r="E132" s="454"/>
    </row>
    <row r="133" spans="1:9" ht="15.75" thickBot="1" x14ac:dyDescent="0.3">
      <c r="A133" s="456" t="s">
        <v>25</v>
      </c>
      <c r="B133" s="455" t="s">
        <v>23</v>
      </c>
      <c r="C133" s="454"/>
      <c r="D133" s="454"/>
      <c r="E133" s="454"/>
    </row>
    <row r="134" spans="1:9" ht="15.75" thickBot="1" x14ac:dyDescent="0.3">
      <c r="A134" s="1323" t="s">
        <v>610</v>
      </c>
      <c r="B134" s="1324"/>
      <c r="C134" s="1324"/>
      <c r="D134" s="1324"/>
      <c r="E134" s="1325"/>
    </row>
    <row r="135" spans="1:9" ht="12.75" customHeight="1" x14ac:dyDescent="0.25">
      <c r="A135" s="1803"/>
      <c r="B135" s="453">
        <v>2018</v>
      </c>
      <c r="C135" s="453">
        <v>2019</v>
      </c>
      <c r="D135" s="453">
        <v>2020</v>
      </c>
      <c r="E135" s="453">
        <v>2021</v>
      </c>
    </row>
    <row r="136" spans="1:9" ht="9" customHeight="1" thickBot="1" x14ac:dyDescent="0.3">
      <c r="A136" s="1804"/>
      <c r="B136" s="452" t="s">
        <v>10</v>
      </c>
      <c r="C136" s="452" t="s">
        <v>11</v>
      </c>
      <c r="D136" s="452" t="s">
        <v>11</v>
      </c>
      <c r="E136" s="452" t="s">
        <v>11</v>
      </c>
    </row>
    <row r="137" spans="1:9" ht="15.75" thickBot="1" x14ac:dyDescent="0.3">
      <c r="A137" s="444" t="s">
        <v>58</v>
      </c>
      <c r="B137" s="451">
        <f>B129</f>
        <v>2200</v>
      </c>
      <c r="C137" s="190"/>
      <c r="D137" s="190"/>
      <c r="E137" s="190"/>
    </row>
    <row r="138" spans="1:9" ht="15.75" thickBot="1" x14ac:dyDescent="0.3">
      <c r="A138" s="444" t="s">
        <v>59</v>
      </c>
      <c r="B138" s="450"/>
      <c r="C138" s="190"/>
      <c r="D138" s="190"/>
      <c r="E138" s="190"/>
    </row>
    <row r="139" spans="1:9" ht="15.75" thickBot="1" x14ac:dyDescent="0.3">
      <c r="A139" s="192" t="s">
        <v>52</v>
      </c>
      <c r="B139" s="450">
        <f>B138+B137</f>
        <v>2200</v>
      </c>
      <c r="C139" s="249">
        <f>C138+C137</f>
        <v>0</v>
      </c>
      <c r="D139" s="249">
        <f>D138+D137</f>
        <v>0</v>
      </c>
      <c r="E139" s="249">
        <f>E138+E137</f>
        <v>0</v>
      </c>
    </row>
    <row r="140" spans="1:9" x14ac:dyDescent="0.25">
      <c r="A140" s="1822" t="s">
        <v>65</v>
      </c>
      <c r="B140" s="1864"/>
      <c r="C140" s="1865"/>
      <c r="D140" s="1865"/>
      <c r="E140" s="1866"/>
    </row>
    <row r="141" spans="1:9" x14ac:dyDescent="0.25">
      <c r="A141" s="1823"/>
      <c r="B141" s="1867"/>
      <c r="C141" s="1868"/>
      <c r="D141" s="1868"/>
      <c r="E141" s="1869"/>
    </row>
    <row r="142" spans="1:9" ht="15.75" thickBot="1" x14ac:dyDescent="0.3">
      <c r="A142" s="1824"/>
      <c r="B142" s="1870"/>
      <c r="C142" s="1871"/>
      <c r="D142" s="1871"/>
      <c r="E142" s="1872"/>
    </row>
    <row r="143" spans="1:9" ht="15.75" collapsed="1" thickBot="1" x14ac:dyDescent="0.3">
      <c r="A143" s="457" t="s">
        <v>611</v>
      </c>
      <c r="B143" s="1861" t="s">
        <v>612</v>
      </c>
      <c r="C143" s="1862"/>
      <c r="D143" s="1862"/>
      <c r="E143" s="1863"/>
    </row>
    <row r="144" spans="1:9" ht="15.75" thickBot="1" x14ac:dyDescent="0.3">
      <c r="A144" s="195" t="s">
        <v>53</v>
      </c>
      <c r="B144" s="1861" t="str">
        <f>B143</f>
        <v>Software aktiviteti financiar</v>
      </c>
      <c r="C144" s="1844"/>
      <c r="D144" s="1844"/>
      <c r="E144" s="1845"/>
    </row>
    <row r="145" spans="1:9" ht="15" customHeight="1" thickBot="1" x14ac:dyDescent="0.3">
      <c r="A145" s="456" t="s">
        <v>17</v>
      </c>
      <c r="B145" s="1813" t="s">
        <v>613</v>
      </c>
      <c r="C145" s="1814"/>
      <c r="D145" s="1814"/>
      <c r="E145" s="1815"/>
    </row>
    <row r="146" spans="1:9" ht="16.5" customHeight="1" thickBot="1" x14ac:dyDescent="0.3">
      <c r="A146" s="456" t="s">
        <v>18</v>
      </c>
      <c r="B146" s="1813" t="s">
        <v>609</v>
      </c>
      <c r="C146" s="1814"/>
      <c r="D146" s="1814"/>
      <c r="E146" s="1815"/>
    </row>
    <row r="147" spans="1:9" ht="12.75" customHeight="1" x14ac:dyDescent="0.25">
      <c r="A147" s="1803"/>
      <c r="B147" s="453">
        <v>2018</v>
      </c>
      <c r="C147" s="453">
        <v>2019</v>
      </c>
      <c r="D147" s="453">
        <v>2020</v>
      </c>
      <c r="E147" s="453">
        <v>2021</v>
      </c>
    </row>
    <row r="148" spans="1:9" ht="9" customHeight="1" thickBot="1" x14ac:dyDescent="0.3">
      <c r="A148" s="1804"/>
      <c r="B148" s="452" t="s">
        <v>10</v>
      </c>
      <c r="C148" s="452" t="s">
        <v>11</v>
      </c>
      <c r="D148" s="452" t="s">
        <v>11</v>
      </c>
      <c r="E148" s="452" t="s">
        <v>11</v>
      </c>
    </row>
    <row r="149" spans="1:9" ht="15.75" thickBot="1" x14ac:dyDescent="0.3">
      <c r="A149" s="456" t="s">
        <v>19</v>
      </c>
      <c r="B149" s="194">
        <v>1</v>
      </c>
      <c r="C149" s="194"/>
      <c r="D149" s="194"/>
      <c r="E149" s="194"/>
    </row>
    <row r="150" spans="1:9" ht="15.75" thickBot="1" x14ac:dyDescent="0.3">
      <c r="A150" s="456" t="s">
        <v>20</v>
      </c>
      <c r="B150" s="194">
        <v>300</v>
      </c>
      <c r="C150" s="194"/>
      <c r="D150" s="194"/>
      <c r="E150" s="194"/>
    </row>
    <row r="151" spans="1:9" ht="15.75" thickBot="1" x14ac:dyDescent="0.3">
      <c r="A151" s="456" t="s">
        <v>21</v>
      </c>
      <c r="B151" s="194">
        <f>B150/B149</f>
        <v>300</v>
      </c>
      <c r="C151" s="194"/>
      <c r="D151" s="194"/>
      <c r="E151" s="194"/>
    </row>
    <row r="152" spans="1:9" ht="15.75" thickBot="1" x14ac:dyDescent="0.3">
      <c r="A152" s="456" t="s">
        <v>22</v>
      </c>
      <c r="B152" s="455" t="s">
        <v>23</v>
      </c>
      <c r="C152" s="454"/>
      <c r="D152" s="454"/>
      <c r="E152" s="454"/>
      <c r="F152" s="12"/>
      <c r="G152" s="12"/>
      <c r="H152" s="12"/>
      <c r="I152" s="12"/>
    </row>
    <row r="153" spans="1:9" ht="15.75" thickBot="1" x14ac:dyDescent="0.3">
      <c r="A153" s="456" t="s">
        <v>24</v>
      </c>
      <c r="B153" s="455" t="s">
        <v>23</v>
      </c>
      <c r="C153" s="454"/>
      <c r="D153" s="454"/>
      <c r="E153" s="454"/>
    </row>
    <row r="154" spans="1:9" ht="15.75" thickBot="1" x14ac:dyDescent="0.3">
      <c r="A154" s="456" t="s">
        <v>25</v>
      </c>
      <c r="B154" s="455" t="s">
        <v>23</v>
      </c>
      <c r="C154" s="454"/>
      <c r="D154" s="454"/>
      <c r="E154" s="454"/>
    </row>
    <row r="155" spans="1:9" ht="15.75" thickBot="1" x14ac:dyDescent="0.3">
      <c r="A155" s="1323" t="s">
        <v>570</v>
      </c>
      <c r="B155" s="1324"/>
      <c r="C155" s="1324"/>
      <c r="D155" s="1324"/>
      <c r="E155" s="1325"/>
    </row>
    <row r="156" spans="1:9" ht="12.75" customHeight="1" x14ac:dyDescent="0.25">
      <c r="A156" s="1803"/>
      <c r="B156" s="453">
        <v>2018</v>
      </c>
      <c r="C156" s="453">
        <v>2019</v>
      </c>
      <c r="D156" s="453">
        <v>2020</v>
      </c>
      <c r="E156" s="453">
        <v>2021</v>
      </c>
    </row>
    <row r="157" spans="1:9" ht="9" customHeight="1" thickBot="1" x14ac:dyDescent="0.3">
      <c r="A157" s="1804"/>
      <c r="B157" s="452" t="s">
        <v>10</v>
      </c>
      <c r="C157" s="452" t="s">
        <v>11</v>
      </c>
      <c r="D157" s="452" t="s">
        <v>11</v>
      </c>
      <c r="E157" s="452" t="s">
        <v>11</v>
      </c>
    </row>
    <row r="158" spans="1:9" ht="15.75" thickBot="1" x14ac:dyDescent="0.3">
      <c r="A158" s="444" t="s">
        <v>58</v>
      </c>
      <c r="B158" s="451">
        <f>B150</f>
        <v>300</v>
      </c>
      <c r="C158" s="190"/>
      <c r="D158" s="190"/>
      <c r="E158" s="190"/>
    </row>
    <row r="159" spans="1:9" ht="15.75" thickBot="1" x14ac:dyDescent="0.3">
      <c r="A159" s="444" t="s">
        <v>59</v>
      </c>
      <c r="B159" s="450"/>
      <c r="C159" s="190"/>
      <c r="D159" s="190"/>
      <c r="E159" s="190"/>
    </row>
    <row r="160" spans="1:9" ht="15.75" thickBot="1" x14ac:dyDescent="0.3">
      <c r="A160" s="192" t="s">
        <v>54</v>
      </c>
      <c r="B160" s="450">
        <f>B159+B158</f>
        <v>300</v>
      </c>
      <c r="C160" s="249">
        <f>C159+C158</f>
        <v>0</v>
      </c>
      <c r="D160" s="249">
        <f>D159+D158</f>
        <v>0</v>
      </c>
      <c r="E160" s="249">
        <f>E159+E158</f>
        <v>0</v>
      </c>
    </row>
    <row r="161" spans="1:5" x14ac:dyDescent="0.25">
      <c r="A161" s="1822" t="s">
        <v>119</v>
      </c>
      <c r="B161" s="1864"/>
      <c r="C161" s="1865"/>
      <c r="D161" s="1865"/>
      <c r="E161" s="1866"/>
    </row>
    <row r="162" spans="1:5" x14ac:dyDescent="0.25">
      <c r="A162" s="1823"/>
      <c r="B162" s="1867"/>
      <c r="C162" s="1868"/>
      <c r="D162" s="1868"/>
      <c r="E162" s="1869"/>
    </row>
    <row r="163" spans="1:5" ht="15.75" thickBot="1" x14ac:dyDescent="0.3">
      <c r="A163" s="1824"/>
      <c r="B163" s="1870"/>
      <c r="C163" s="1871"/>
      <c r="D163" s="1871"/>
      <c r="E163" s="1872"/>
    </row>
    <row r="164" spans="1:5" ht="15.75" thickBot="1" x14ac:dyDescent="0.3">
      <c r="A164" s="457" t="s">
        <v>614</v>
      </c>
      <c r="B164" s="1861" t="s">
        <v>615</v>
      </c>
      <c r="C164" s="1862"/>
      <c r="D164" s="1862"/>
      <c r="E164" s="1863"/>
    </row>
    <row r="165" spans="1:5" ht="15.75" thickBot="1" x14ac:dyDescent="0.3">
      <c r="A165" s="195" t="s">
        <v>476</v>
      </c>
      <c r="B165" s="1861" t="str">
        <f>B164</f>
        <v>Sistemi audio- video sallë gjyqi dhe mbledhje</v>
      </c>
      <c r="C165" s="1844"/>
      <c r="D165" s="1844"/>
      <c r="E165" s="1845"/>
    </row>
    <row r="166" spans="1:5" ht="26.45" customHeight="1" thickBot="1" x14ac:dyDescent="0.3">
      <c r="A166" s="456" t="s">
        <v>17</v>
      </c>
      <c r="B166" s="1813" t="s">
        <v>616</v>
      </c>
      <c r="C166" s="1814"/>
      <c r="D166" s="1814"/>
      <c r="E166" s="1815"/>
    </row>
    <row r="167" spans="1:5" ht="15.75" thickBot="1" x14ac:dyDescent="0.3">
      <c r="A167" s="456" t="s">
        <v>18</v>
      </c>
      <c r="B167" s="1813" t="s">
        <v>617</v>
      </c>
      <c r="C167" s="1814"/>
      <c r="D167" s="1814"/>
      <c r="E167" s="1815"/>
    </row>
    <row r="168" spans="1:5" x14ac:dyDescent="0.25">
      <c r="A168" s="1803"/>
      <c r="B168" s="453">
        <v>2018</v>
      </c>
      <c r="C168" s="453">
        <v>2019</v>
      </c>
      <c r="D168" s="453">
        <v>2020</v>
      </c>
      <c r="E168" s="453">
        <v>2021</v>
      </c>
    </row>
    <row r="169" spans="1:5" ht="15.75" thickBot="1" x14ac:dyDescent="0.3">
      <c r="A169" s="1804"/>
      <c r="B169" s="452" t="s">
        <v>10</v>
      </c>
      <c r="C169" s="452" t="s">
        <v>11</v>
      </c>
      <c r="D169" s="452" t="s">
        <v>11</v>
      </c>
      <c r="E169" s="452" t="s">
        <v>11</v>
      </c>
    </row>
    <row r="170" spans="1:5" ht="15.75" thickBot="1" x14ac:dyDescent="0.3">
      <c r="A170" s="456" t="s">
        <v>19</v>
      </c>
      <c r="B170" s="194">
        <v>2</v>
      </c>
      <c r="C170" s="194"/>
      <c r="D170" s="194"/>
      <c r="E170" s="194"/>
    </row>
    <row r="171" spans="1:5" ht="15.75" thickBot="1" x14ac:dyDescent="0.3">
      <c r="A171" s="456" t="s">
        <v>20</v>
      </c>
      <c r="B171" s="194">
        <v>1900</v>
      </c>
      <c r="C171" s="194"/>
      <c r="D171" s="194"/>
      <c r="E171" s="194"/>
    </row>
    <row r="172" spans="1:5" ht="15.75" thickBot="1" x14ac:dyDescent="0.3">
      <c r="A172" s="456" t="s">
        <v>21</v>
      </c>
      <c r="B172" s="194">
        <f>B171/B170</f>
        <v>950</v>
      </c>
      <c r="C172" s="194"/>
      <c r="D172" s="194"/>
      <c r="E172" s="194"/>
    </row>
    <row r="173" spans="1:5" ht="15.75" thickBot="1" x14ac:dyDescent="0.3">
      <c r="A173" s="456" t="s">
        <v>22</v>
      </c>
      <c r="B173" s="455" t="s">
        <v>23</v>
      </c>
      <c r="C173" s="454"/>
      <c r="D173" s="454"/>
      <c r="E173" s="454"/>
    </row>
    <row r="174" spans="1:5" ht="15.75" thickBot="1" x14ac:dyDescent="0.3">
      <c r="A174" s="456" t="s">
        <v>24</v>
      </c>
      <c r="B174" s="455" t="s">
        <v>23</v>
      </c>
      <c r="C174" s="454"/>
      <c r="D174" s="454"/>
      <c r="E174" s="454"/>
    </row>
    <row r="175" spans="1:5" ht="15.75" thickBot="1" x14ac:dyDescent="0.3">
      <c r="A175" s="456" t="s">
        <v>25</v>
      </c>
      <c r="B175" s="455" t="s">
        <v>23</v>
      </c>
      <c r="C175" s="454"/>
      <c r="D175" s="454"/>
      <c r="E175" s="454"/>
    </row>
    <row r="176" spans="1:5" ht="15.75" thickBot="1" x14ac:dyDescent="0.3">
      <c r="A176" s="1323" t="s">
        <v>618</v>
      </c>
      <c r="B176" s="1324"/>
      <c r="C176" s="1324"/>
      <c r="D176" s="1324"/>
      <c r="E176" s="1325"/>
    </row>
    <row r="177" spans="1:5" x14ac:dyDescent="0.25">
      <c r="A177" s="1803"/>
      <c r="B177" s="453">
        <v>2018</v>
      </c>
      <c r="C177" s="453">
        <v>2019</v>
      </c>
      <c r="D177" s="453">
        <v>2020</v>
      </c>
      <c r="E177" s="453">
        <v>2021</v>
      </c>
    </row>
    <row r="178" spans="1:5" ht="15.75" thickBot="1" x14ac:dyDescent="0.3">
      <c r="A178" s="1804"/>
      <c r="B178" s="452" t="s">
        <v>10</v>
      </c>
      <c r="C178" s="452" t="s">
        <v>11</v>
      </c>
      <c r="D178" s="452" t="s">
        <v>11</v>
      </c>
      <c r="E178" s="452" t="s">
        <v>11</v>
      </c>
    </row>
    <row r="179" spans="1:5" ht="15.75" thickBot="1" x14ac:dyDescent="0.3">
      <c r="A179" s="444" t="s">
        <v>58</v>
      </c>
      <c r="B179" s="451"/>
      <c r="C179" s="190"/>
      <c r="D179" s="190"/>
      <c r="E179" s="190"/>
    </row>
    <row r="180" spans="1:5" ht="15.75" thickBot="1" x14ac:dyDescent="0.3">
      <c r="A180" s="444" t="s">
        <v>59</v>
      </c>
      <c r="B180" s="450">
        <f>B171</f>
        <v>1900</v>
      </c>
      <c r="C180" s="190"/>
      <c r="D180" s="190"/>
      <c r="E180" s="190"/>
    </row>
    <row r="181" spans="1:5" ht="15.75" thickBot="1" x14ac:dyDescent="0.3">
      <c r="A181" s="192" t="s">
        <v>117</v>
      </c>
      <c r="B181" s="450">
        <f>B180+B179</f>
        <v>1900</v>
      </c>
      <c r="C181" s="249">
        <f>C180+C179</f>
        <v>0</v>
      </c>
      <c r="D181" s="249">
        <f>D180+D179</f>
        <v>0</v>
      </c>
      <c r="E181" s="249">
        <f>E180+E179</f>
        <v>0</v>
      </c>
    </row>
    <row r="182" spans="1:5" x14ac:dyDescent="0.25">
      <c r="A182" s="1822" t="s">
        <v>619</v>
      </c>
      <c r="B182" s="1864"/>
      <c r="C182" s="1865"/>
      <c r="D182" s="1865"/>
      <c r="E182" s="1866"/>
    </row>
    <row r="183" spans="1:5" x14ac:dyDescent="0.25">
      <c r="A183" s="1823"/>
      <c r="B183" s="1867"/>
      <c r="C183" s="1868"/>
      <c r="D183" s="1868"/>
      <c r="E183" s="1869"/>
    </row>
    <row r="184" spans="1:5" ht="15.75" thickBot="1" x14ac:dyDescent="0.3">
      <c r="A184" s="1824"/>
      <c r="B184" s="1870"/>
      <c r="C184" s="1871"/>
      <c r="D184" s="1871"/>
      <c r="E184" s="1872"/>
    </row>
    <row r="185" spans="1:5" ht="15.75" thickBot="1" x14ac:dyDescent="0.3">
      <c r="A185" s="457" t="s">
        <v>620</v>
      </c>
      <c r="B185" s="1861" t="s">
        <v>621</v>
      </c>
      <c r="C185" s="1862"/>
      <c r="D185" s="1862"/>
      <c r="E185" s="1863"/>
    </row>
    <row r="186" spans="1:5" ht="15.75" thickBot="1" x14ac:dyDescent="0.3">
      <c r="A186" s="195" t="s">
        <v>622</v>
      </c>
      <c r="B186" s="1861" t="str">
        <f>B185</f>
        <v>Paisje scaner  per kontroll, ure metali dedektor</v>
      </c>
      <c r="C186" s="1844"/>
      <c r="D186" s="1844"/>
      <c r="E186" s="1845"/>
    </row>
    <row r="187" spans="1:5" ht="28.15" customHeight="1" thickBot="1" x14ac:dyDescent="0.3">
      <c r="A187" s="456" t="s">
        <v>17</v>
      </c>
      <c r="B187" s="1813" t="s">
        <v>623</v>
      </c>
      <c r="C187" s="1814"/>
      <c r="D187" s="1814"/>
      <c r="E187" s="1815"/>
    </row>
    <row r="188" spans="1:5" ht="15.75" thickBot="1" x14ac:dyDescent="0.3">
      <c r="A188" s="456" t="s">
        <v>18</v>
      </c>
      <c r="B188" s="1813" t="s">
        <v>1239</v>
      </c>
      <c r="C188" s="1814"/>
      <c r="D188" s="1814"/>
      <c r="E188" s="1815"/>
    </row>
    <row r="189" spans="1:5" x14ac:dyDescent="0.25">
      <c r="A189" s="1803"/>
      <c r="B189" s="453">
        <v>2018</v>
      </c>
      <c r="C189" s="453">
        <v>2019</v>
      </c>
      <c r="D189" s="453">
        <v>2020</v>
      </c>
      <c r="E189" s="453">
        <v>2021</v>
      </c>
    </row>
    <row r="190" spans="1:5" ht="15.75" thickBot="1" x14ac:dyDescent="0.3">
      <c r="A190" s="1804"/>
      <c r="B190" s="452" t="s">
        <v>10</v>
      </c>
      <c r="C190" s="452" t="s">
        <v>11</v>
      </c>
      <c r="D190" s="452" t="s">
        <v>11</v>
      </c>
      <c r="E190" s="452" t="s">
        <v>11</v>
      </c>
    </row>
    <row r="191" spans="1:5" ht="15.75" thickBot="1" x14ac:dyDescent="0.3">
      <c r="A191" s="456" t="s">
        <v>19</v>
      </c>
      <c r="B191" s="194">
        <v>1</v>
      </c>
      <c r="C191" s="194"/>
      <c r="D191" s="194"/>
      <c r="E191" s="194"/>
    </row>
    <row r="192" spans="1:5" ht="15.75" thickBot="1" x14ac:dyDescent="0.3">
      <c r="A192" s="456" t="s">
        <v>20</v>
      </c>
      <c r="B192" s="194">
        <v>12700</v>
      </c>
      <c r="C192" s="194"/>
      <c r="D192" s="194"/>
      <c r="E192" s="194"/>
    </row>
    <row r="193" spans="1:5" ht="15.75" thickBot="1" x14ac:dyDescent="0.3">
      <c r="A193" s="456" t="s">
        <v>21</v>
      </c>
      <c r="B193" s="194">
        <f>B192/B191</f>
        <v>12700</v>
      </c>
      <c r="C193" s="194"/>
      <c r="D193" s="194"/>
      <c r="E193" s="194"/>
    </row>
    <row r="194" spans="1:5" ht="15.75" thickBot="1" x14ac:dyDescent="0.3">
      <c r="A194" s="456" t="s">
        <v>22</v>
      </c>
      <c r="B194" s="455" t="s">
        <v>23</v>
      </c>
      <c r="C194" s="454"/>
      <c r="D194" s="454"/>
      <c r="E194" s="454"/>
    </row>
    <row r="195" spans="1:5" ht="15.75" thickBot="1" x14ac:dyDescent="0.3">
      <c r="A195" s="456" t="s">
        <v>24</v>
      </c>
      <c r="B195" s="455" t="s">
        <v>23</v>
      </c>
      <c r="C195" s="454"/>
      <c r="D195" s="454"/>
      <c r="E195" s="454"/>
    </row>
    <row r="196" spans="1:5" ht="15.75" thickBot="1" x14ac:dyDescent="0.3">
      <c r="A196" s="456" t="s">
        <v>25</v>
      </c>
      <c r="B196" s="455" t="s">
        <v>23</v>
      </c>
      <c r="C196" s="454"/>
      <c r="D196" s="454"/>
      <c r="E196" s="454"/>
    </row>
    <row r="197" spans="1:5" ht="15.75" thickBot="1" x14ac:dyDescent="0.3">
      <c r="A197" s="1323" t="s">
        <v>624</v>
      </c>
      <c r="B197" s="1324"/>
      <c r="C197" s="1324"/>
      <c r="D197" s="1324"/>
      <c r="E197" s="1325"/>
    </row>
    <row r="198" spans="1:5" x14ac:dyDescent="0.25">
      <c r="A198" s="1803"/>
      <c r="B198" s="453">
        <v>2018</v>
      </c>
      <c r="C198" s="453">
        <v>2019</v>
      </c>
      <c r="D198" s="453">
        <v>2020</v>
      </c>
      <c r="E198" s="453">
        <v>2021</v>
      </c>
    </row>
    <row r="199" spans="1:5" ht="15.75" thickBot="1" x14ac:dyDescent="0.3">
      <c r="A199" s="1804"/>
      <c r="B199" s="452" t="s">
        <v>10</v>
      </c>
      <c r="C199" s="452" t="s">
        <v>11</v>
      </c>
      <c r="D199" s="452" t="s">
        <v>11</v>
      </c>
      <c r="E199" s="452" t="s">
        <v>11</v>
      </c>
    </row>
    <row r="200" spans="1:5" ht="15.75" thickBot="1" x14ac:dyDescent="0.3">
      <c r="A200" s="444" t="s">
        <v>58</v>
      </c>
      <c r="B200" s="451"/>
      <c r="C200" s="190"/>
      <c r="D200" s="190"/>
      <c r="E200" s="190"/>
    </row>
    <row r="201" spans="1:5" ht="15.75" thickBot="1" x14ac:dyDescent="0.3">
      <c r="A201" s="444" t="s">
        <v>59</v>
      </c>
      <c r="B201" s="450">
        <f>B192</f>
        <v>12700</v>
      </c>
      <c r="C201" s="190"/>
      <c r="D201" s="190"/>
      <c r="E201" s="190"/>
    </row>
    <row r="202" spans="1:5" ht="15.75" thickBot="1" x14ac:dyDescent="0.3">
      <c r="A202" s="192" t="s">
        <v>625</v>
      </c>
      <c r="B202" s="450">
        <f>B201+B200</f>
        <v>12700</v>
      </c>
      <c r="C202" s="249">
        <f>C201+C200</f>
        <v>0</v>
      </c>
      <c r="D202" s="249">
        <f>D201+D200</f>
        <v>0</v>
      </c>
      <c r="E202" s="249">
        <f>E201+E200</f>
        <v>0</v>
      </c>
    </row>
    <row r="203" spans="1:5" x14ac:dyDescent="0.25">
      <c r="A203" s="1822" t="s">
        <v>626</v>
      </c>
      <c r="B203" s="1864"/>
      <c r="C203" s="1865"/>
      <c r="D203" s="1865"/>
      <c r="E203" s="1866"/>
    </row>
    <row r="204" spans="1:5" x14ac:dyDescent="0.25">
      <c r="A204" s="1823"/>
      <c r="B204" s="1867"/>
      <c r="C204" s="1868"/>
      <c r="D204" s="1868"/>
      <c r="E204" s="1869"/>
    </row>
    <row r="205" spans="1:5" ht="15.75" thickBot="1" x14ac:dyDescent="0.3">
      <c r="A205" s="1824"/>
      <c r="B205" s="1870"/>
      <c r="C205" s="1871"/>
      <c r="D205" s="1871"/>
      <c r="E205" s="1872"/>
    </row>
    <row r="206" spans="1:5" ht="15.75" thickBot="1" x14ac:dyDescent="0.3">
      <c r="A206" s="457" t="s">
        <v>627</v>
      </c>
      <c r="B206" s="1873" t="s">
        <v>628</v>
      </c>
      <c r="C206" s="1874"/>
      <c r="D206" s="1874"/>
      <c r="E206" s="1875"/>
    </row>
    <row r="207" spans="1:5" ht="15.75" thickBot="1" x14ac:dyDescent="0.3">
      <c r="A207" s="195" t="s">
        <v>629</v>
      </c>
      <c r="B207" s="1861" t="str">
        <f>B206</f>
        <v>Blerje automjeti për institucionin</v>
      </c>
      <c r="C207" s="1844"/>
      <c r="D207" s="1844"/>
      <c r="E207" s="1845"/>
    </row>
    <row r="208" spans="1:5" ht="15.75" thickBot="1" x14ac:dyDescent="0.3">
      <c r="A208" s="456" t="s">
        <v>17</v>
      </c>
      <c r="B208" s="1813" t="s">
        <v>1238</v>
      </c>
      <c r="C208" s="1814"/>
      <c r="D208" s="1814"/>
      <c r="E208" s="1815"/>
    </row>
    <row r="209" spans="1:5" ht="15.75" thickBot="1" x14ac:dyDescent="0.3">
      <c r="A209" s="456" t="s">
        <v>18</v>
      </c>
      <c r="B209" s="1813" t="s">
        <v>630</v>
      </c>
      <c r="C209" s="1814"/>
      <c r="D209" s="1814"/>
      <c r="E209" s="1815"/>
    </row>
    <row r="210" spans="1:5" x14ac:dyDescent="0.25">
      <c r="A210" s="1803"/>
      <c r="B210" s="453">
        <v>2018</v>
      </c>
      <c r="C210" s="453">
        <v>2019</v>
      </c>
      <c r="D210" s="453">
        <v>2020</v>
      </c>
      <c r="E210" s="453">
        <v>2021</v>
      </c>
    </row>
    <row r="211" spans="1:5" ht="15.75" thickBot="1" x14ac:dyDescent="0.3">
      <c r="A211" s="1804"/>
      <c r="B211" s="452" t="s">
        <v>10</v>
      </c>
      <c r="C211" s="452" t="s">
        <v>11</v>
      </c>
      <c r="D211" s="452" t="s">
        <v>11</v>
      </c>
      <c r="E211" s="452" t="s">
        <v>11</v>
      </c>
    </row>
    <row r="212" spans="1:5" ht="15.75" thickBot="1" x14ac:dyDescent="0.3">
      <c r="A212" s="456" t="s">
        <v>19</v>
      </c>
      <c r="B212" s="194">
        <v>1</v>
      </c>
      <c r="C212" s="194"/>
      <c r="D212" s="194"/>
      <c r="E212" s="194"/>
    </row>
    <row r="213" spans="1:5" ht="15.75" thickBot="1" x14ac:dyDescent="0.3">
      <c r="A213" s="456" t="s">
        <v>20</v>
      </c>
      <c r="B213" s="194">
        <v>3000</v>
      </c>
      <c r="C213" s="194"/>
      <c r="D213" s="194"/>
      <c r="E213" s="194"/>
    </row>
    <row r="214" spans="1:5" ht="15.75" thickBot="1" x14ac:dyDescent="0.3">
      <c r="A214" s="456" t="s">
        <v>21</v>
      </c>
      <c r="B214" s="194">
        <f>B213/B212</f>
        <v>3000</v>
      </c>
      <c r="C214" s="194"/>
      <c r="D214" s="194"/>
      <c r="E214" s="194"/>
    </row>
    <row r="215" spans="1:5" ht="15.75" thickBot="1" x14ac:dyDescent="0.3">
      <c r="A215" s="456" t="s">
        <v>22</v>
      </c>
      <c r="B215" s="455" t="s">
        <v>23</v>
      </c>
      <c r="C215" s="454"/>
      <c r="D215" s="454"/>
      <c r="E215" s="454"/>
    </row>
    <row r="216" spans="1:5" ht="15.75" thickBot="1" x14ac:dyDescent="0.3">
      <c r="A216" s="456" t="s">
        <v>24</v>
      </c>
      <c r="B216" s="455" t="s">
        <v>23</v>
      </c>
      <c r="C216" s="454"/>
      <c r="D216" s="454"/>
      <c r="E216" s="454"/>
    </row>
    <row r="217" spans="1:5" ht="15.75" thickBot="1" x14ac:dyDescent="0.3">
      <c r="A217" s="456" t="s">
        <v>25</v>
      </c>
      <c r="B217" s="455" t="s">
        <v>23</v>
      </c>
      <c r="C217" s="454"/>
      <c r="D217" s="454"/>
      <c r="E217" s="454"/>
    </row>
    <row r="218" spans="1:5" ht="15.75" thickBot="1" x14ac:dyDescent="0.3">
      <c r="A218" s="1323" t="s">
        <v>631</v>
      </c>
      <c r="B218" s="1324"/>
      <c r="C218" s="1324"/>
      <c r="D218" s="1324"/>
      <c r="E218" s="1325"/>
    </row>
    <row r="219" spans="1:5" x14ac:dyDescent="0.25">
      <c r="A219" s="1803"/>
      <c r="B219" s="453">
        <v>2018</v>
      </c>
      <c r="C219" s="453">
        <v>2019</v>
      </c>
      <c r="D219" s="453">
        <v>2020</v>
      </c>
      <c r="E219" s="453">
        <v>2021</v>
      </c>
    </row>
    <row r="220" spans="1:5" ht="15.75" thickBot="1" x14ac:dyDescent="0.3">
      <c r="A220" s="1804"/>
      <c r="B220" s="452" t="s">
        <v>10</v>
      </c>
      <c r="C220" s="452" t="s">
        <v>11</v>
      </c>
      <c r="D220" s="452" t="s">
        <v>11</v>
      </c>
      <c r="E220" s="452" t="s">
        <v>11</v>
      </c>
    </row>
    <row r="221" spans="1:5" ht="15.75" thickBot="1" x14ac:dyDescent="0.3">
      <c r="A221" s="444" t="s">
        <v>58</v>
      </c>
      <c r="B221" s="451"/>
      <c r="C221" s="190"/>
      <c r="D221" s="190"/>
      <c r="E221" s="190"/>
    </row>
    <row r="222" spans="1:5" ht="15.75" thickBot="1" x14ac:dyDescent="0.3">
      <c r="A222" s="444" t="s">
        <v>59</v>
      </c>
      <c r="B222" s="450">
        <f>B213</f>
        <v>3000</v>
      </c>
      <c r="C222" s="190"/>
      <c r="D222" s="190"/>
      <c r="E222" s="190"/>
    </row>
    <row r="223" spans="1:5" ht="15.75" thickBot="1" x14ac:dyDescent="0.3">
      <c r="A223" s="192" t="s">
        <v>632</v>
      </c>
      <c r="B223" s="450">
        <f>B222+B221</f>
        <v>3000</v>
      </c>
      <c r="C223" s="249">
        <f>C222+C221</f>
        <v>0</v>
      </c>
      <c r="D223" s="249">
        <f>D222+D221</f>
        <v>0</v>
      </c>
      <c r="E223" s="249">
        <f>E222+E221</f>
        <v>0</v>
      </c>
    </row>
    <row r="224" spans="1:5" x14ac:dyDescent="0.25">
      <c r="A224" s="1822" t="s">
        <v>62</v>
      </c>
      <c r="B224" s="1864"/>
      <c r="C224" s="1865"/>
      <c r="D224" s="1865"/>
      <c r="E224" s="1866"/>
    </row>
    <row r="225" spans="1:5" x14ac:dyDescent="0.25">
      <c r="A225" s="1823"/>
      <c r="B225" s="1867"/>
      <c r="C225" s="1868"/>
      <c r="D225" s="1868"/>
      <c r="E225" s="1869"/>
    </row>
    <row r="226" spans="1:5" ht="15.75" thickBot="1" x14ac:dyDescent="0.3">
      <c r="A226" s="1824"/>
      <c r="B226" s="1870"/>
      <c r="C226" s="1871"/>
      <c r="D226" s="1871"/>
      <c r="E226" s="1872"/>
    </row>
    <row r="227" spans="1:5" ht="27" customHeight="1" thickBot="1" x14ac:dyDescent="0.3">
      <c r="A227" s="449" t="s">
        <v>82</v>
      </c>
      <c r="B227" s="442">
        <f>B39+B87+B108+B129+B150+B171+B192+B213</f>
        <v>144000</v>
      </c>
      <c r="C227" s="442">
        <f>C39+C108+C87</f>
        <v>126600</v>
      </c>
      <c r="D227" s="442">
        <f>D39+D108+D87</f>
        <v>126400</v>
      </c>
      <c r="E227" s="442">
        <f>E39+E108+E87</f>
        <v>127100</v>
      </c>
    </row>
    <row r="228" spans="1:5" ht="24.75" thickBot="1" x14ac:dyDescent="0.3">
      <c r="A228" s="449" t="s">
        <v>83</v>
      </c>
      <c r="B228" s="442">
        <f>B230+B232+B234+B244+B246</f>
        <v>144000</v>
      </c>
      <c r="C228" s="442">
        <f>C47+C50+C53+C117+C96</f>
        <v>126600</v>
      </c>
      <c r="D228" s="442">
        <f>D230+D232+D234+D244+D246</f>
        <v>126400</v>
      </c>
      <c r="E228" s="442">
        <f>E230+E232+E234+E244+E246</f>
        <v>127100</v>
      </c>
    </row>
    <row r="229" spans="1:5" ht="24.75" thickBot="1" x14ac:dyDescent="0.3">
      <c r="A229" s="448" t="s">
        <v>84</v>
      </c>
      <c r="B229" s="447"/>
      <c r="C229" s="442"/>
      <c r="D229" s="446"/>
      <c r="E229" s="446"/>
    </row>
    <row r="230" spans="1:5" ht="15.75" thickBot="1" x14ac:dyDescent="0.3">
      <c r="A230" s="444" t="s">
        <v>26</v>
      </c>
      <c r="B230" s="190">
        <f>B47</f>
        <v>90000</v>
      </c>
      <c r="C230" s="442">
        <f>C47</f>
        <v>97900</v>
      </c>
      <c r="D230" s="190">
        <f>D47</f>
        <v>97900</v>
      </c>
      <c r="E230" s="190">
        <f>E47</f>
        <v>97900</v>
      </c>
    </row>
    <row r="231" spans="1:5" ht="15.75" thickBot="1" x14ac:dyDescent="0.3">
      <c r="A231" s="443" t="s">
        <v>85</v>
      </c>
      <c r="B231" s="249"/>
      <c r="C231" s="442"/>
      <c r="D231" s="445"/>
      <c r="E231" s="441"/>
    </row>
    <row r="232" spans="1:5" ht="15.75" thickBot="1" x14ac:dyDescent="0.3">
      <c r="A232" s="444" t="s">
        <v>28</v>
      </c>
      <c r="B232" s="190">
        <f>B50</f>
        <v>8000</v>
      </c>
      <c r="C232" s="442">
        <f>C50</f>
        <v>7900</v>
      </c>
      <c r="D232" s="190">
        <f>D50</f>
        <v>7900</v>
      </c>
      <c r="E232" s="190">
        <f>E50</f>
        <v>7900</v>
      </c>
    </row>
    <row r="233" spans="1:5" ht="24.75" thickBot="1" x14ac:dyDescent="0.3">
      <c r="A233" s="443" t="s">
        <v>86</v>
      </c>
      <c r="B233" s="249"/>
      <c r="C233" s="442"/>
      <c r="D233" s="441"/>
      <c r="E233" s="441"/>
    </row>
    <row r="234" spans="1:5" ht="15.75" thickBot="1" x14ac:dyDescent="0.3">
      <c r="A234" s="444" t="s">
        <v>30</v>
      </c>
      <c r="B234" s="190">
        <f>B53</f>
        <v>20000</v>
      </c>
      <c r="C234" s="190">
        <f>C53</f>
        <v>20000</v>
      </c>
      <c r="D234" s="190">
        <f>D53</f>
        <v>20600</v>
      </c>
      <c r="E234" s="190">
        <f>E53</f>
        <v>21300</v>
      </c>
    </row>
    <row r="235" spans="1:5" ht="15.75" thickBot="1" x14ac:dyDescent="0.3">
      <c r="A235" s="443" t="s">
        <v>87</v>
      </c>
      <c r="B235" s="249"/>
      <c r="C235" s="442">
        <f>C116+C95</f>
        <v>0</v>
      </c>
      <c r="D235" s="441"/>
      <c r="E235" s="441"/>
    </row>
    <row r="236" spans="1:5" ht="15.75" thickBot="1" x14ac:dyDescent="0.3">
      <c r="A236" s="444" t="s">
        <v>32</v>
      </c>
      <c r="B236" s="190">
        <f>B56</f>
        <v>0</v>
      </c>
      <c r="C236" s="190">
        <f>C56</f>
        <v>0</v>
      </c>
      <c r="D236" s="190">
        <f>D56</f>
        <v>0</v>
      </c>
      <c r="E236" s="190">
        <f>E56</f>
        <v>0</v>
      </c>
    </row>
    <row r="237" spans="1:5" ht="15.75" thickBot="1" x14ac:dyDescent="0.3">
      <c r="A237" s="443" t="s">
        <v>88</v>
      </c>
      <c r="B237" s="249"/>
      <c r="C237" s="442"/>
      <c r="D237" s="441"/>
      <c r="E237" s="441"/>
    </row>
    <row r="238" spans="1:5" ht="15.75" thickBot="1" x14ac:dyDescent="0.3">
      <c r="A238" s="444" t="s">
        <v>34</v>
      </c>
      <c r="B238" s="190">
        <f>B59</f>
        <v>0</v>
      </c>
      <c r="C238" s="190">
        <f>C59</f>
        <v>0</v>
      </c>
      <c r="D238" s="190">
        <f>D59</f>
        <v>0</v>
      </c>
      <c r="E238" s="190">
        <f>E59</f>
        <v>0</v>
      </c>
    </row>
    <row r="239" spans="1:5" ht="15.75" thickBot="1" x14ac:dyDescent="0.3">
      <c r="A239" s="443" t="s">
        <v>89</v>
      </c>
      <c r="B239" s="249"/>
      <c r="C239" s="442">
        <f>C51+C120+C99</f>
        <v>0</v>
      </c>
      <c r="D239" s="441"/>
      <c r="E239" s="441"/>
    </row>
    <row r="240" spans="1:5" ht="15.75" thickBot="1" x14ac:dyDescent="0.3">
      <c r="A240" s="444" t="s">
        <v>36</v>
      </c>
      <c r="B240" s="190">
        <f>B62</f>
        <v>0</v>
      </c>
      <c r="C240" s="442">
        <f>C52+C121+C100</f>
        <v>0</v>
      </c>
      <c r="D240" s="190">
        <f>D62</f>
        <v>0</v>
      </c>
      <c r="E240" s="190">
        <f>E62</f>
        <v>0</v>
      </c>
    </row>
    <row r="241" spans="1:5" ht="15.75" thickBot="1" x14ac:dyDescent="0.3">
      <c r="A241" s="443" t="s">
        <v>90</v>
      </c>
      <c r="B241" s="249"/>
      <c r="C241" s="441"/>
      <c r="D241" s="441"/>
      <c r="E241" s="441"/>
    </row>
    <row r="242" spans="1:5" ht="15.75" thickBot="1" x14ac:dyDescent="0.3">
      <c r="A242" s="444" t="s">
        <v>38</v>
      </c>
      <c r="B242" s="190">
        <f>B65</f>
        <v>0</v>
      </c>
      <c r="C242" s="442">
        <f>C54+C123+C102</f>
        <v>0</v>
      </c>
      <c r="D242" s="190">
        <f>D65</f>
        <v>0</v>
      </c>
      <c r="E242" s="190">
        <f>E65</f>
        <v>0</v>
      </c>
    </row>
    <row r="243" spans="1:5" ht="24.75" thickBot="1" x14ac:dyDescent="0.3">
      <c r="A243" s="443" t="s">
        <v>91</v>
      </c>
      <c r="B243" s="249"/>
      <c r="C243" s="442">
        <f>C55+C124+C103</f>
        <v>0</v>
      </c>
      <c r="D243" s="441"/>
      <c r="E243" s="441"/>
    </row>
    <row r="244" spans="1:5" ht="15.75" thickBot="1" x14ac:dyDescent="0.3">
      <c r="A244" s="444" t="s">
        <v>92</v>
      </c>
      <c r="B244" s="190">
        <f>B95+B116+B137+B158+B179+B200+B221</f>
        <v>2500</v>
      </c>
      <c r="C244" s="442">
        <f>C56+C125+C104</f>
        <v>0</v>
      </c>
      <c r="D244" s="190">
        <f>D95+D116</f>
        <v>0</v>
      </c>
      <c r="E244" s="190">
        <f>E95+E116</f>
        <v>0</v>
      </c>
    </row>
    <row r="245" spans="1:5" ht="15.75" thickBot="1" x14ac:dyDescent="0.3">
      <c r="A245" s="443" t="s">
        <v>93</v>
      </c>
      <c r="B245" s="249"/>
      <c r="C245" s="442"/>
      <c r="D245" s="441"/>
      <c r="E245" s="441"/>
    </row>
    <row r="246" spans="1:5" ht="15.75" thickBot="1" x14ac:dyDescent="0.3">
      <c r="A246" s="444" t="s">
        <v>94</v>
      </c>
      <c r="B246" s="190">
        <f>B96+B118+B181+B202+B223</f>
        <v>23500</v>
      </c>
      <c r="C246" s="190">
        <f>C96+C118+C181+C202+C223</f>
        <v>800</v>
      </c>
      <c r="D246" s="190">
        <f>D96+D118+D181+D202+D223</f>
        <v>0</v>
      </c>
      <c r="E246" s="190">
        <f>E96+E118+E181+E202+E223</f>
        <v>0</v>
      </c>
    </row>
    <row r="247" spans="1:5" ht="15.75" thickBot="1" x14ac:dyDescent="0.3">
      <c r="A247" s="443" t="s">
        <v>95</v>
      </c>
      <c r="B247" s="249"/>
      <c r="C247" s="442"/>
      <c r="D247" s="441"/>
      <c r="E247" s="441"/>
    </row>
    <row r="248" spans="1:5" x14ac:dyDescent="0.25">
      <c r="A248" s="1876" t="s">
        <v>1237</v>
      </c>
      <c r="B248" s="1879"/>
      <c r="C248" s="1879"/>
      <c r="D248" s="1879"/>
      <c r="E248" s="1880"/>
    </row>
    <row r="249" spans="1:5" x14ac:dyDescent="0.25">
      <c r="A249" s="1877"/>
      <c r="B249" s="1881"/>
      <c r="C249" s="1881"/>
      <c r="D249" s="1881"/>
      <c r="E249" s="1882"/>
    </row>
    <row r="250" spans="1:5" ht="15.75" thickBot="1" x14ac:dyDescent="0.3">
      <c r="A250" s="1878"/>
      <c r="B250" s="1883"/>
      <c r="C250" s="1883"/>
      <c r="D250" s="1883"/>
      <c r="E250" s="1884"/>
    </row>
    <row r="251" spans="1:5" ht="15.75" thickBot="1" x14ac:dyDescent="0.3">
      <c r="A251" s="440" t="s">
        <v>41</v>
      </c>
      <c r="B251" s="439">
        <f>IF(B228-B227=0,0,"Error")</f>
        <v>0</v>
      </c>
      <c r="C251" s="439">
        <f>IF(C228-C227=0,0,"Error")</f>
        <v>0</v>
      </c>
      <c r="D251" s="439">
        <f>IF(D228-D227=0,0,"Error")</f>
        <v>0</v>
      </c>
      <c r="E251" s="439">
        <f>IF(E228-E227=0,0,"Error")</f>
        <v>0</v>
      </c>
    </row>
    <row r="252" spans="1:5" ht="24.75" thickBot="1" x14ac:dyDescent="0.3">
      <c r="A252" s="438" t="s">
        <v>96</v>
      </c>
      <c r="B252" s="190">
        <v>37</v>
      </c>
      <c r="C252" s="190">
        <v>37</v>
      </c>
      <c r="D252" s="190">
        <v>37</v>
      </c>
      <c r="E252" s="190">
        <v>37</v>
      </c>
    </row>
    <row r="253" spans="1:5" ht="24.75" thickBot="1" x14ac:dyDescent="0.3">
      <c r="A253" s="438" t="s">
        <v>97</v>
      </c>
      <c r="B253" s="190">
        <v>2</v>
      </c>
      <c r="C253" s="190">
        <v>2</v>
      </c>
      <c r="D253" s="190">
        <v>2</v>
      </c>
      <c r="E253" s="190">
        <v>2</v>
      </c>
    </row>
  </sheetData>
  <mergeCells count="95">
    <mergeCell ref="A248:A250"/>
    <mergeCell ref="B248:E250"/>
    <mergeCell ref="B209:E209"/>
    <mergeCell ref="A210:A211"/>
    <mergeCell ref="A218:E218"/>
    <mergeCell ref="A219:A220"/>
    <mergeCell ref="A224:A226"/>
    <mergeCell ref="B224:E226"/>
    <mergeCell ref="A203:A205"/>
    <mergeCell ref="B203:E205"/>
    <mergeCell ref="B206:E206"/>
    <mergeCell ref="B185:E185"/>
    <mergeCell ref="B186:E186"/>
    <mergeCell ref="B187:E187"/>
    <mergeCell ref="B188:E188"/>
    <mergeCell ref="A189:A190"/>
    <mergeCell ref="B207:E207"/>
    <mergeCell ref="B208:E208"/>
    <mergeCell ref="A156:A157"/>
    <mergeCell ref="A161:A163"/>
    <mergeCell ref="B161:E163"/>
    <mergeCell ref="B164:E164"/>
    <mergeCell ref="B165:E165"/>
    <mergeCell ref="B166:E166"/>
    <mergeCell ref="B167:E167"/>
    <mergeCell ref="A168:A169"/>
    <mergeCell ref="A176:E176"/>
    <mergeCell ref="A177:A178"/>
    <mergeCell ref="A182:A184"/>
    <mergeCell ref="B182:E184"/>
    <mergeCell ref="A197:E197"/>
    <mergeCell ref="A198:A199"/>
    <mergeCell ref="B146:E146"/>
    <mergeCell ref="A147:A148"/>
    <mergeCell ref="B125:E125"/>
    <mergeCell ref="A126:A127"/>
    <mergeCell ref="A134:E134"/>
    <mergeCell ref="A135:A136"/>
    <mergeCell ref="A140:A142"/>
    <mergeCell ref="B140:E142"/>
    <mergeCell ref="A155:E155"/>
    <mergeCell ref="B101:E101"/>
    <mergeCell ref="B102:E102"/>
    <mergeCell ref="B103:E103"/>
    <mergeCell ref="B104:E104"/>
    <mergeCell ref="A105:A106"/>
    <mergeCell ref="A113:E113"/>
    <mergeCell ref="A114:A115"/>
    <mergeCell ref="A119:A121"/>
    <mergeCell ref="B119:E121"/>
    <mergeCell ref="B122:E122"/>
    <mergeCell ref="B123:E123"/>
    <mergeCell ref="B124:E124"/>
    <mergeCell ref="B143:E143"/>
    <mergeCell ref="B144:E144"/>
    <mergeCell ref="B145:E145"/>
    <mergeCell ref="A84:A85"/>
    <mergeCell ref="A92:E92"/>
    <mergeCell ref="A93:A94"/>
    <mergeCell ref="A77:E77"/>
    <mergeCell ref="A78:E78"/>
    <mergeCell ref="A79:E79"/>
    <mergeCell ref="B80:E80"/>
    <mergeCell ref="B81:E81"/>
    <mergeCell ref="A98:A100"/>
    <mergeCell ref="B98:E100"/>
    <mergeCell ref="A31:E31"/>
    <mergeCell ref="A32:E32"/>
    <mergeCell ref="B33:E33"/>
    <mergeCell ref="B34:E34"/>
    <mergeCell ref="B35:E35"/>
    <mergeCell ref="A36:A37"/>
    <mergeCell ref="A44:E44"/>
    <mergeCell ref="A45:A46"/>
    <mergeCell ref="A69:A71"/>
    <mergeCell ref="B69:E71"/>
    <mergeCell ref="B73:E73"/>
    <mergeCell ref="A74:E74"/>
    <mergeCell ref="B82:E82"/>
    <mergeCell ref="B83:E83"/>
    <mergeCell ref="B20:E20"/>
    <mergeCell ref="A21:A22"/>
    <mergeCell ref="B26:E26"/>
    <mergeCell ref="A27:E27"/>
    <mergeCell ref="A10:E10"/>
    <mergeCell ref="B13:E13"/>
    <mergeCell ref="B14:E14"/>
    <mergeCell ref="B15:E15"/>
    <mergeCell ref="A16:E16"/>
    <mergeCell ref="A17:E19"/>
    <mergeCell ref="B5:E5"/>
    <mergeCell ref="B6:E6"/>
    <mergeCell ref="B7:E7"/>
    <mergeCell ref="C8:E8"/>
    <mergeCell ref="C9:E9"/>
  </mergeCells>
  <pageMargins left="0.7" right="0.7" top="0.75" bottom="0.75" header="0.3" footer="0.3"/>
  <pageSetup paperSize="9" scale="9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134"/>
  <sheetViews>
    <sheetView view="pageBreakPreview" topLeftCell="A118" zoomScale="60" zoomScaleNormal="130" workbookViewId="0">
      <selection activeCell="C160" sqref="C160"/>
    </sheetView>
  </sheetViews>
  <sheetFormatPr defaultRowHeight="15" x14ac:dyDescent="0.25"/>
  <cols>
    <col min="1" max="1" width="29" customWidth="1"/>
    <col min="2" max="2" width="19.5703125" customWidth="1"/>
    <col min="3" max="4" width="19" customWidth="1"/>
    <col min="5" max="5" width="19.28515625" customWidth="1"/>
    <col min="6" max="6" width="11" customWidth="1"/>
    <col min="7" max="7" width="11" bestFit="1" customWidth="1"/>
  </cols>
  <sheetData>
    <row r="1" spans="1:5" x14ac:dyDescent="0.25">
      <c r="A1" s="189" t="s">
        <v>898</v>
      </c>
      <c r="B1" s="188"/>
      <c r="C1" s="188"/>
      <c r="D1" s="188"/>
    </row>
    <row r="2" spans="1:5" ht="15.75" thickBot="1" x14ac:dyDescent="0.3"/>
    <row r="3" spans="1:5" ht="32.25" thickBot="1" x14ac:dyDescent="0.3">
      <c r="A3" s="168" t="s">
        <v>897</v>
      </c>
      <c r="B3" s="1084" t="s">
        <v>1548</v>
      </c>
      <c r="C3" s="1085"/>
      <c r="D3" s="1085"/>
      <c r="E3" s="1086"/>
    </row>
    <row r="4" spans="1:5" ht="32.25" thickBot="1" x14ac:dyDescent="0.3">
      <c r="A4" s="36" t="s">
        <v>895</v>
      </c>
      <c r="B4" s="1087" t="s">
        <v>657</v>
      </c>
      <c r="C4" s="1088"/>
      <c r="D4" s="1088"/>
      <c r="E4" s="1089"/>
    </row>
    <row r="5" spans="1:5" ht="69.75" customHeight="1" thickBot="1" x14ac:dyDescent="0.3">
      <c r="A5" s="36" t="s">
        <v>914</v>
      </c>
      <c r="B5" s="1265" t="s">
        <v>1547</v>
      </c>
      <c r="C5" s="1095"/>
      <c r="D5" s="1095"/>
      <c r="E5" s="1096"/>
    </row>
    <row r="6" spans="1:5" ht="16.5" customHeight="1" thickBot="1" x14ac:dyDescent="0.3">
      <c r="A6" s="36" t="s">
        <v>891</v>
      </c>
      <c r="B6" s="167" t="s">
        <v>3</v>
      </c>
      <c r="C6" s="1093" t="s">
        <v>7</v>
      </c>
      <c r="D6" s="1093"/>
      <c r="E6" s="1094"/>
    </row>
    <row r="7" spans="1:5" ht="117" customHeight="1" thickBot="1" x14ac:dyDescent="0.3">
      <c r="A7" s="36" t="s">
        <v>656</v>
      </c>
      <c r="B7" s="187" t="s">
        <v>146</v>
      </c>
      <c r="C7" s="1265" t="s">
        <v>1546</v>
      </c>
      <c r="D7" s="1095"/>
      <c r="E7" s="1096"/>
    </row>
    <row r="8" spans="1:5" ht="32.25" thickBot="1" x14ac:dyDescent="0.3">
      <c r="A8" s="36" t="s">
        <v>927</v>
      </c>
      <c r="B8" s="882"/>
      <c r="C8" s="1095"/>
      <c r="D8" s="1095"/>
      <c r="E8" s="1096"/>
    </row>
    <row r="10" spans="1:5" ht="18" customHeight="1" x14ac:dyDescent="0.25">
      <c r="A10" s="1247" t="s">
        <v>0</v>
      </c>
      <c r="B10" s="1247"/>
      <c r="C10" s="1247"/>
      <c r="D10" s="1247"/>
      <c r="E10" s="1247"/>
    </row>
    <row r="11" spans="1:5" ht="18" customHeight="1" x14ac:dyDescent="0.25">
      <c r="A11" s="1558" t="s">
        <v>1</v>
      </c>
      <c r="B11" s="1558"/>
      <c r="C11" s="1558"/>
      <c r="D11" s="1558"/>
      <c r="E11" s="1558"/>
    </row>
    <row r="12" spans="1:5" ht="15.75" thickBot="1" x14ac:dyDescent="0.3"/>
    <row r="13" spans="1:5" ht="15.75" thickBot="1" x14ac:dyDescent="0.3">
      <c r="A13" s="2" t="s">
        <v>2</v>
      </c>
      <c r="B13" s="1263" t="s">
        <v>656</v>
      </c>
      <c r="C13" s="1263"/>
      <c r="D13" s="1263"/>
      <c r="E13" s="1263"/>
    </row>
    <row r="14" spans="1:5" ht="15.75" thickBot="1" x14ac:dyDescent="0.3">
      <c r="A14" s="2" t="s">
        <v>3</v>
      </c>
      <c r="B14" s="1087" t="s">
        <v>657</v>
      </c>
      <c r="C14" s="1088"/>
      <c r="D14" s="1088"/>
      <c r="E14" s="1089"/>
    </row>
    <row r="15" spans="1:5" ht="15.75" thickBot="1" x14ac:dyDescent="0.3">
      <c r="A15" s="2" t="s">
        <v>5</v>
      </c>
      <c r="B15" s="1265" t="s">
        <v>6</v>
      </c>
      <c r="C15" s="1095"/>
      <c r="D15" s="1095"/>
      <c r="E15" s="1096"/>
    </row>
    <row r="16" spans="1:5" ht="15.75" thickBot="1" x14ac:dyDescent="0.3">
      <c r="A16" s="1266" t="s">
        <v>7</v>
      </c>
      <c r="B16" s="1267"/>
      <c r="C16" s="1267"/>
      <c r="D16" s="1267"/>
      <c r="E16" s="1297"/>
    </row>
    <row r="17" spans="1:8" ht="15.75" thickBot="1" x14ac:dyDescent="0.3">
      <c r="A17" s="1268" t="s">
        <v>658</v>
      </c>
      <c r="B17" s="1269"/>
      <c r="C17" s="1269"/>
      <c r="D17" s="1269"/>
      <c r="E17" s="1301"/>
    </row>
    <row r="18" spans="1:8" ht="36.75" customHeight="1" thickBot="1" x14ac:dyDescent="0.3">
      <c r="A18" s="1268"/>
      <c r="B18" s="1269"/>
      <c r="C18" s="1269"/>
      <c r="D18" s="1269"/>
      <c r="E18" s="1301"/>
    </row>
    <row r="19" spans="1:8" ht="6.75" customHeight="1" thickBot="1" x14ac:dyDescent="0.3">
      <c r="A19" s="1268"/>
      <c r="B19" s="1269"/>
      <c r="C19" s="1269"/>
      <c r="D19" s="1269"/>
      <c r="E19" s="1301"/>
    </row>
    <row r="20" spans="1:8" ht="26.25" customHeight="1" thickBot="1" x14ac:dyDescent="0.3">
      <c r="A20" s="3" t="s">
        <v>8</v>
      </c>
      <c r="B20" s="1885" t="s">
        <v>659</v>
      </c>
      <c r="C20" s="1302"/>
      <c r="D20" s="1302"/>
      <c r="E20" s="1886"/>
    </row>
    <row r="21" spans="1:8" ht="23.25" customHeight="1" x14ac:dyDescent="0.25">
      <c r="A21" s="1250" t="s">
        <v>102</v>
      </c>
      <c r="B21" s="851">
        <v>2018</v>
      </c>
      <c r="C21" s="851">
        <v>2019</v>
      </c>
      <c r="D21" s="851">
        <v>2020</v>
      </c>
      <c r="E21" s="851">
        <v>2021</v>
      </c>
    </row>
    <row r="22" spans="1:8" ht="15.75" thickBot="1" x14ac:dyDescent="0.3">
      <c r="A22" s="1251"/>
      <c r="B22" s="852" t="s">
        <v>10</v>
      </c>
      <c r="C22" s="852" t="s">
        <v>11</v>
      </c>
      <c r="D22" s="852" t="s">
        <v>11</v>
      </c>
      <c r="E22" s="852" t="s">
        <v>11</v>
      </c>
    </row>
    <row r="23" spans="1:8" ht="57" thickBot="1" x14ac:dyDescent="0.3">
      <c r="A23" s="849" t="s">
        <v>660</v>
      </c>
      <c r="B23" s="4" t="s">
        <v>661</v>
      </c>
      <c r="C23" s="4" t="s">
        <v>661</v>
      </c>
      <c r="D23" s="4"/>
      <c r="E23" s="4"/>
    </row>
    <row r="24" spans="1:8" ht="48.75" customHeight="1" thickBot="1" x14ac:dyDescent="0.3">
      <c r="A24" s="6" t="s">
        <v>12</v>
      </c>
      <c r="B24" s="1272" t="s">
        <v>662</v>
      </c>
      <c r="C24" s="1270"/>
      <c r="D24" s="1270"/>
      <c r="E24" s="1305"/>
    </row>
    <row r="25" spans="1:8" ht="23.25" customHeight="1" thickBot="1" x14ac:dyDescent="0.3">
      <c r="A25" s="1245" t="s">
        <v>103</v>
      </c>
      <c r="B25" s="1246"/>
      <c r="C25" s="1246"/>
      <c r="D25" s="1246"/>
      <c r="E25" s="1298"/>
      <c r="F25" s="35"/>
      <c r="H25" s="35"/>
    </row>
    <row r="26" spans="1:8" ht="23.25" thickBot="1" x14ac:dyDescent="0.3">
      <c r="A26" s="849" t="s">
        <v>663</v>
      </c>
      <c r="B26" s="4">
        <v>0.42</v>
      </c>
      <c r="C26" s="4">
        <v>0.44</v>
      </c>
      <c r="D26" s="4">
        <v>0.45</v>
      </c>
      <c r="E26" s="4">
        <v>0.46</v>
      </c>
    </row>
    <row r="27" spans="1:8" ht="15.75" thickBot="1" x14ac:dyDescent="0.3">
      <c r="A27" s="1273" t="s">
        <v>14</v>
      </c>
      <c r="B27" s="1274"/>
      <c r="C27" s="1274"/>
      <c r="D27" s="1274"/>
      <c r="E27" s="1299"/>
    </row>
    <row r="28" spans="1:8" ht="15.75" thickBot="1" x14ac:dyDescent="0.3">
      <c r="A28" s="1275" t="s">
        <v>104</v>
      </c>
      <c r="B28" s="1276"/>
      <c r="C28" s="1276"/>
      <c r="D28" s="1276"/>
      <c r="E28" s="1317"/>
    </row>
    <row r="29" spans="1:8" ht="15.75" thickBot="1" x14ac:dyDescent="0.3">
      <c r="A29" s="7" t="s">
        <v>105</v>
      </c>
      <c r="B29" s="1243" t="s">
        <v>664</v>
      </c>
      <c r="C29" s="1244"/>
      <c r="D29" s="1244"/>
      <c r="E29" s="1315"/>
    </row>
    <row r="30" spans="1:8" ht="17.25" customHeight="1" thickBot="1" x14ac:dyDescent="0.3">
      <c r="A30" s="5" t="s">
        <v>17</v>
      </c>
      <c r="B30" s="1245" t="s">
        <v>665</v>
      </c>
      <c r="C30" s="1246"/>
      <c r="D30" s="1246"/>
      <c r="E30" s="1298"/>
    </row>
    <row r="31" spans="1:8" ht="15.75" thickBot="1" x14ac:dyDescent="0.3">
      <c r="A31" s="5" t="s">
        <v>18</v>
      </c>
      <c r="B31" s="1248" t="s">
        <v>666</v>
      </c>
      <c r="C31" s="1249"/>
      <c r="D31" s="1249"/>
      <c r="E31" s="1316"/>
    </row>
    <row r="32" spans="1:8" ht="12.75" customHeight="1" x14ac:dyDescent="0.25">
      <c r="A32" s="1250"/>
      <c r="B32" s="8">
        <v>2018</v>
      </c>
      <c r="C32" s="8">
        <v>2019</v>
      </c>
      <c r="D32" s="8">
        <v>2020</v>
      </c>
      <c r="E32" s="8">
        <v>2021</v>
      </c>
    </row>
    <row r="33" spans="1:9" ht="9" customHeight="1" thickBot="1" x14ac:dyDescent="0.3">
      <c r="A33" s="1251"/>
      <c r="B33" s="9" t="s">
        <v>10</v>
      </c>
      <c r="C33" s="9" t="s">
        <v>11</v>
      </c>
      <c r="D33" s="9" t="s">
        <v>11</v>
      </c>
      <c r="E33" s="9" t="s">
        <v>11</v>
      </c>
    </row>
    <row r="34" spans="1:9" ht="15.75" thickBot="1" x14ac:dyDescent="0.3">
      <c r="A34" s="5" t="s">
        <v>19</v>
      </c>
      <c r="B34" s="10">
        <v>4000</v>
      </c>
      <c r="C34" s="10">
        <v>4200</v>
      </c>
      <c r="D34" s="10">
        <v>4300</v>
      </c>
      <c r="E34" s="10">
        <v>4500</v>
      </c>
    </row>
    <row r="35" spans="1:9" ht="15.75" thickBot="1" x14ac:dyDescent="0.3">
      <c r="A35" s="5" t="s">
        <v>20</v>
      </c>
      <c r="B35" s="10">
        <v>112000</v>
      </c>
      <c r="C35" s="10">
        <v>113100</v>
      </c>
      <c r="D35" s="10">
        <v>113100</v>
      </c>
      <c r="E35" s="10">
        <v>113100</v>
      </c>
    </row>
    <row r="36" spans="1:9" ht="15.75" thickBot="1" x14ac:dyDescent="0.3">
      <c r="A36" s="5" t="s">
        <v>21</v>
      </c>
      <c r="B36" s="10">
        <f>B35/B34</f>
        <v>28</v>
      </c>
      <c r="C36" s="10">
        <f>C35/C34</f>
        <v>26.928571428571427</v>
      </c>
      <c r="D36" s="10">
        <f>D35/D34</f>
        <v>26.302325581395348</v>
      </c>
      <c r="E36" s="10">
        <f>E35/E34</f>
        <v>25.133333333333333</v>
      </c>
    </row>
    <row r="37" spans="1:9" ht="15.75" thickBot="1" x14ac:dyDescent="0.3">
      <c r="A37" s="5" t="s">
        <v>22</v>
      </c>
      <c r="B37" s="850" t="s">
        <v>23</v>
      </c>
      <c r="C37" s="11">
        <f t="shared" ref="C37:E39" si="0">C34/B34-1</f>
        <v>5.0000000000000044E-2</v>
      </c>
      <c r="D37" s="11">
        <f t="shared" si="0"/>
        <v>2.3809523809523725E-2</v>
      </c>
      <c r="E37" s="11">
        <f t="shared" si="0"/>
        <v>4.6511627906976827E-2</v>
      </c>
      <c r="F37" s="12"/>
      <c r="G37" s="12"/>
      <c r="H37" s="12"/>
      <c r="I37" s="12"/>
    </row>
    <row r="38" spans="1:9" ht="15.75" thickBot="1" x14ac:dyDescent="0.3">
      <c r="A38" s="5" t="s">
        <v>24</v>
      </c>
      <c r="B38" s="850" t="s">
        <v>23</v>
      </c>
      <c r="C38" s="11">
        <f t="shared" si="0"/>
        <v>9.8214285714286476E-3</v>
      </c>
      <c r="D38" s="11">
        <f t="shared" si="0"/>
        <v>0</v>
      </c>
      <c r="E38" s="11">
        <f t="shared" si="0"/>
        <v>0</v>
      </c>
    </row>
    <row r="39" spans="1:9" ht="15.75" thickBot="1" x14ac:dyDescent="0.3">
      <c r="A39" s="5" t="s">
        <v>25</v>
      </c>
      <c r="B39" s="850" t="s">
        <v>23</v>
      </c>
      <c r="C39" s="11">
        <f t="shared" si="0"/>
        <v>-3.826530612244905E-2</v>
      </c>
      <c r="D39" s="11">
        <f t="shared" si="0"/>
        <v>-2.3255813953488413E-2</v>
      </c>
      <c r="E39" s="11">
        <f t="shared" si="0"/>
        <v>-4.4444444444444398E-2</v>
      </c>
    </row>
    <row r="40" spans="1:9" ht="15.75" thickBot="1" x14ac:dyDescent="0.3">
      <c r="A40" s="1252" t="s">
        <v>633</v>
      </c>
      <c r="B40" s="1253"/>
      <c r="C40" s="1253"/>
      <c r="D40" s="1253"/>
      <c r="E40" s="1300"/>
    </row>
    <row r="41" spans="1:9" ht="12.75" customHeight="1" x14ac:dyDescent="0.25">
      <c r="A41" s="1250"/>
      <c r="B41" s="8">
        <v>2018</v>
      </c>
      <c r="C41" s="8">
        <v>2019</v>
      </c>
      <c r="D41" s="8">
        <v>2020</v>
      </c>
      <c r="E41" s="8">
        <v>2021</v>
      </c>
    </row>
    <row r="42" spans="1:9" ht="9" customHeight="1" thickBot="1" x14ac:dyDescent="0.3">
      <c r="A42" s="1251"/>
      <c r="B42" s="9" t="s">
        <v>10</v>
      </c>
      <c r="C42" s="9" t="s">
        <v>11</v>
      </c>
      <c r="D42" s="9" t="s">
        <v>11</v>
      </c>
      <c r="E42" s="9" t="s">
        <v>11</v>
      </c>
    </row>
    <row r="43" spans="1:9" ht="15.75" thickBot="1" x14ac:dyDescent="0.3">
      <c r="A43" s="13" t="s">
        <v>26</v>
      </c>
      <c r="B43" s="14">
        <v>81800</v>
      </c>
      <c r="C43" s="14">
        <v>81800</v>
      </c>
      <c r="D43" s="14">
        <v>81800</v>
      </c>
      <c r="E43" s="14">
        <v>81800</v>
      </c>
    </row>
    <row r="44" spans="1:9" ht="24.75" thickBot="1" x14ac:dyDescent="0.3">
      <c r="A44" s="13" t="s">
        <v>28</v>
      </c>
      <c r="B44" s="14">
        <v>12700</v>
      </c>
      <c r="C44" s="14">
        <v>12700</v>
      </c>
      <c r="D44" s="14">
        <v>12700</v>
      </c>
      <c r="E44" s="14">
        <v>12700</v>
      </c>
    </row>
    <row r="45" spans="1:9" ht="15.75" thickBot="1" x14ac:dyDescent="0.3">
      <c r="A45" s="13" t="s">
        <v>30</v>
      </c>
      <c r="B45" s="15">
        <v>15400</v>
      </c>
      <c r="C45" s="14">
        <v>16500</v>
      </c>
      <c r="D45" s="14">
        <v>16500</v>
      </c>
      <c r="E45" s="14">
        <v>16500</v>
      </c>
    </row>
    <row r="46" spans="1:9" ht="15.75" thickBot="1" x14ac:dyDescent="0.3">
      <c r="A46" s="13" t="s">
        <v>32</v>
      </c>
      <c r="B46" s="15"/>
      <c r="C46" s="14"/>
      <c r="D46" s="14"/>
      <c r="E46" s="14"/>
    </row>
    <row r="47" spans="1:9" ht="15.75" thickBot="1" x14ac:dyDescent="0.3">
      <c r="A47" s="13" t="s">
        <v>34</v>
      </c>
      <c r="B47" s="15"/>
      <c r="C47" s="14"/>
      <c r="D47" s="14"/>
      <c r="E47" s="14"/>
    </row>
    <row r="48" spans="1:9" ht="15.75" thickBot="1" x14ac:dyDescent="0.3">
      <c r="A48" s="13" t="s">
        <v>36</v>
      </c>
      <c r="B48" s="15">
        <v>1600</v>
      </c>
      <c r="C48" s="14">
        <v>1600</v>
      </c>
      <c r="D48" s="14">
        <v>1600</v>
      </c>
      <c r="E48" s="14">
        <v>1600</v>
      </c>
    </row>
    <row r="49" spans="1:9" ht="24.75" thickBot="1" x14ac:dyDescent="0.3">
      <c r="A49" s="13" t="s">
        <v>38</v>
      </c>
      <c r="B49" s="15">
        <v>500</v>
      </c>
      <c r="C49" s="14">
        <v>500</v>
      </c>
      <c r="D49" s="14">
        <v>500</v>
      </c>
      <c r="E49" s="14">
        <v>500</v>
      </c>
    </row>
    <row r="50" spans="1:9" ht="15.75" thickBot="1" x14ac:dyDescent="0.3">
      <c r="A50" s="16" t="s">
        <v>40</v>
      </c>
      <c r="B50" s="15">
        <f>B49+B48+B47+B46+B45+B44+B43</f>
        <v>112000</v>
      </c>
      <c r="C50" s="15">
        <f>C49+C48+C47+C46+C45+C44+C43</f>
        <v>113100</v>
      </c>
      <c r="D50" s="15">
        <f>D49+D48+D47+D46+D45+D44+D43</f>
        <v>113100</v>
      </c>
      <c r="E50" s="15">
        <f>E49+E48+E47+E46+E45+E44+E43</f>
        <v>113100</v>
      </c>
    </row>
    <row r="51" spans="1:9" ht="15.75" thickBot="1" x14ac:dyDescent="0.3">
      <c r="A51" s="17" t="s">
        <v>41</v>
      </c>
      <c r="B51" s="18">
        <f>IF(B50-B35=0,0,"Error")</f>
        <v>0</v>
      </c>
      <c r="C51" s="18">
        <f>IF(C50-C35=0,0,"Error")</f>
        <v>0</v>
      </c>
      <c r="D51" s="18">
        <f>IF(D50-D35=0,0,"Error")</f>
        <v>0</v>
      </c>
      <c r="E51" s="18">
        <f>IF(E50-E35=0,0,"Error")</f>
        <v>0</v>
      </c>
    </row>
    <row r="52" spans="1:9" ht="15.75" thickBot="1" x14ac:dyDescent="0.3">
      <c r="A52" s="1275" t="s">
        <v>63</v>
      </c>
      <c r="B52" s="1276"/>
      <c r="C52" s="1276"/>
      <c r="D52" s="1276"/>
      <c r="E52" s="1317"/>
    </row>
    <row r="53" spans="1:9" ht="15.75" thickBot="1" x14ac:dyDescent="0.3">
      <c r="A53" s="1275" t="s">
        <v>56</v>
      </c>
      <c r="B53" s="1276"/>
      <c r="C53" s="1276"/>
      <c r="D53" s="1276"/>
      <c r="E53" s="1317"/>
    </row>
    <row r="54" spans="1:9" ht="15.75" thickBot="1" x14ac:dyDescent="0.3">
      <c r="A54" s="20" t="s">
        <v>61</v>
      </c>
      <c r="B54" s="1241" t="s">
        <v>667</v>
      </c>
      <c r="C54" s="1242"/>
      <c r="D54" s="1242"/>
      <c r="E54" s="1318"/>
    </row>
    <row r="55" spans="1:9" ht="15.75" thickBot="1" x14ac:dyDescent="0.3">
      <c r="A55" s="7" t="s">
        <v>668</v>
      </c>
      <c r="B55" s="1243" t="s">
        <v>669</v>
      </c>
      <c r="C55" s="1244"/>
      <c r="D55" s="1244"/>
      <c r="E55" s="1315"/>
    </row>
    <row r="56" spans="1:9" ht="17.25" customHeight="1" thickBot="1" x14ac:dyDescent="0.3">
      <c r="A56" s="5" t="s">
        <v>17</v>
      </c>
      <c r="B56" s="1245" t="s">
        <v>670</v>
      </c>
      <c r="C56" s="1246"/>
      <c r="D56" s="1246"/>
      <c r="E56" s="1298"/>
    </row>
    <row r="57" spans="1:9" ht="15.75" thickBot="1" x14ac:dyDescent="0.3">
      <c r="A57" s="5" t="s">
        <v>18</v>
      </c>
      <c r="B57" s="1248" t="s">
        <v>671</v>
      </c>
      <c r="C57" s="1249"/>
      <c r="D57" s="1249"/>
      <c r="E57" s="1316"/>
    </row>
    <row r="58" spans="1:9" ht="12.75" customHeight="1" x14ac:dyDescent="0.25">
      <c r="A58" s="1250"/>
      <c r="B58" s="8">
        <v>2018</v>
      </c>
      <c r="C58" s="8">
        <v>2019</v>
      </c>
      <c r="D58" s="8">
        <v>2020</v>
      </c>
      <c r="E58" s="8">
        <v>2021</v>
      </c>
    </row>
    <row r="59" spans="1:9" ht="9" customHeight="1" thickBot="1" x14ac:dyDescent="0.3">
      <c r="A59" s="1251"/>
      <c r="B59" s="9" t="s">
        <v>10</v>
      </c>
      <c r="C59" s="9" t="s">
        <v>11</v>
      </c>
      <c r="D59" s="9" t="s">
        <v>11</v>
      </c>
      <c r="E59" s="9" t="s">
        <v>11</v>
      </c>
    </row>
    <row r="60" spans="1:9" ht="15.75" thickBot="1" x14ac:dyDescent="0.3">
      <c r="A60" s="5" t="s">
        <v>19</v>
      </c>
      <c r="B60" s="10">
        <v>16</v>
      </c>
      <c r="C60" s="10"/>
      <c r="D60" s="10"/>
      <c r="E60" s="10"/>
    </row>
    <row r="61" spans="1:9" ht="15.75" thickBot="1" x14ac:dyDescent="0.3">
      <c r="A61" s="5" t="s">
        <v>20</v>
      </c>
      <c r="B61" s="10">
        <v>1500</v>
      </c>
      <c r="C61" s="10"/>
      <c r="D61" s="10"/>
      <c r="E61" s="10"/>
    </row>
    <row r="62" spans="1:9" ht="15.75" thickBot="1" x14ac:dyDescent="0.3">
      <c r="A62" s="5" t="s">
        <v>21</v>
      </c>
      <c r="B62" s="10">
        <f>B61/B60</f>
        <v>93.75</v>
      </c>
      <c r="C62" s="10" t="e">
        <f>C61/C60</f>
        <v>#DIV/0!</v>
      </c>
      <c r="D62" s="10" t="e">
        <f>D61/D60</f>
        <v>#DIV/0!</v>
      </c>
      <c r="E62" s="10" t="e">
        <f>E61/E60</f>
        <v>#DIV/0!</v>
      </c>
    </row>
    <row r="63" spans="1:9" ht="15.75" thickBot="1" x14ac:dyDescent="0.3">
      <c r="A63" s="5" t="s">
        <v>22</v>
      </c>
      <c r="B63" s="850" t="s">
        <v>23</v>
      </c>
      <c r="C63" s="11">
        <f t="shared" ref="C63:E65" si="1">C60/B60-1</f>
        <v>-1</v>
      </c>
      <c r="D63" s="11" t="e">
        <f t="shared" si="1"/>
        <v>#DIV/0!</v>
      </c>
      <c r="E63" s="11" t="e">
        <f t="shared" si="1"/>
        <v>#DIV/0!</v>
      </c>
      <c r="F63" s="12"/>
      <c r="G63" s="12"/>
      <c r="H63" s="12"/>
      <c r="I63" s="12"/>
    </row>
    <row r="64" spans="1:9" ht="15.75" thickBot="1" x14ac:dyDescent="0.3">
      <c r="A64" s="5" t="s">
        <v>24</v>
      </c>
      <c r="B64" s="850" t="s">
        <v>23</v>
      </c>
      <c r="C64" s="11">
        <f t="shared" si="1"/>
        <v>-1</v>
      </c>
      <c r="D64" s="11" t="e">
        <f t="shared" si="1"/>
        <v>#DIV/0!</v>
      </c>
      <c r="E64" s="11" t="e">
        <f t="shared" si="1"/>
        <v>#DIV/0!</v>
      </c>
    </row>
    <row r="65" spans="1:5" ht="15.75" thickBot="1" x14ac:dyDescent="0.3">
      <c r="A65" s="5" t="s">
        <v>25</v>
      </c>
      <c r="B65" s="850" t="s">
        <v>23</v>
      </c>
      <c r="C65" s="11" t="e">
        <f t="shared" si="1"/>
        <v>#DIV/0!</v>
      </c>
      <c r="D65" s="11" t="e">
        <f t="shared" si="1"/>
        <v>#DIV/0!</v>
      </c>
      <c r="E65" s="11" t="e">
        <f t="shared" si="1"/>
        <v>#DIV/0!</v>
      </c>
    </row>
    <row r="66" spans="1:5" ht="15.75" thickBot="1" x14ac:dyDescent="0.3">
      <c r="A66" s="1252" t="s">
        <v>633</v>
      </c>
      <c r="B66" s="1253"/>
      <c r="C66" s="1253"/>
      <c r="D66" s="1253"/>
      <c r="E66" s="1300"/>
    </row>
    <row r="67" spans="1:5" ht="12.75" customHeight="1" x14ac:dyDescent="0.25">
      <c r="A67" s="1250"/>
      <c r="B67" s="8">
        <v>2018</v>
      </c>
      <c r="C67" s="8">
        <v>2019</v>
      </c>
      <c r="D67" s="8">
        <v>2020</v>
      </c>
      <c r="E67" s="8">
        <v>2021</v>
      </c>
    </row>
    <row r="68" spans="1:5" ht="9" customHeight="1" thickBot="1" x14ac:dyDescent="0.3">
      <c r="A68" s="1251"/>
      <c r="B68" s="9" t="s">
        <v>10</v>
      </c>
      <c r="C68" s="9" t="s">
        <v>11</v>
      </c>
      <c r="D68" s="9" t="s">
        <v>11</v>
      </c>
      <c r="E68" s="9" t="s">
        <v>11</v>
      </c>
    </row>
    <row r="69" spans="1:5" ht="15.75" thickBot="1" x14ac:dyDescent="0.3">
      <c r="A69" s="13" t="s">
        <v>58</v>
      </c>
      <c r="B69" s="14"/>
      <c r="C69" s="14"/>
      <c r="D69" s="14"/>
      <c r="E69" s="14"/>
    </row>
    <row r="70" spans="1:5" ht="15.75" thickBot="1" x14ac:dyDescent="0.3">
      <c r="A70" s="13" t="s">
        <v>59</v>
      </c>
      <c r="B70" s="15">
        <v>1500</v>
      </c>
      <c r="C70" s="14"/>
      <c r="D70" s="14"/>
      <c r="E70" s="14"/>
    </row>
    <row r="71" spans="1:5" ht="15.75" thickBot="1" x14ac:dyDescent="0.3">
      <c r="A71" s="16" t="s">
        <v>40</v>
      </c>
      <c r="B71" s="15">
        <f>B70+B69</f>
        <v>1500</v>
      </c>
      <c r="C71" s="15">
        <f>C70+C69</f>
        <v>0</v>
      </c>
      <c r="D71" s="15">
        <f>D70+D69</f>
        <v>0</v>
      </c>
      <c r="E71" s="15">
        <f>E70+E69</f>
        <v>0</v>
      </c>
    </row>
    <row r="72" spans="1:5" ht="15.75" thickBot="1" x14ac:dyDescent="0.3">
      <c r="A72" s="20" t="s">
        <v>61</v>
      </c>
      <c r="B72" s="1241" t="s">
        <v>672</v>
      </c>
      <c r="C72" s="1242"/>
      <c r="D72" s="1242"/>
      <c r="E72" s="1318"/>
    </row>
    <row r="73" spans="1:5" ht="15.75" thickBot="1" x14ac:dyDescent="0.3">
      <c r="A73" s="7" t="s">
        <v>546</v>
      </c>
      <c r="B73" s="1243" t="s">
        <v>673</v>
      </c>
      <c r="C73" s="1244"/>
      <c r="D73" s="1244"/>
      <c r="E73" s="1315"/>
    </row>
    <row r="74" spans="1:5" ht="15.75" customHeight="1" thickBot="1" x14ac:dyDescent="0.3">
      <c r="A74" s="5" t="s">
        <v>17</v>
      </c>
      <c r="B74" s="1245" t="s">
        <v>1545</v>
      </c>
      <c r="C74" s="1246"/>
      <c r="D74" s="1246"/>
      <c r="E74" s="1298"/>
    </row>
    <row r="75" spans="1:5" ht="15.75" thickBot="1" x14ac:dyDescent="0.3">
      <c r="A75" s="5" t="s">
        <v>18</v>
      </c>
      <c r="B75" s="1248" t="s">
        <v>671</v>
      </c>
      <c r="C75" s="1249"/>
      <c r="D75" s="1249"/>
      <c r="E75" s="1316"/>
    </row>
    <row r="76" spans="1:5" x14ac:dyDescent="0.25">
      <c r="A76" s="1250"/>
      <c r="B76" s="8">
        <v>2018</v>
      </c>
      <c r="C76" s="8">
        <v>2019</v>
      </c>
      <c r="D76" s="8">
        <v>2020</v>
      </c>
      <c r="E76" s="8">
        <v>2021</v>
      </c>
    </row>
    <row r="77" spans="1:5" ht="15.75" thickBot="1" x14ac:dyDescent="0.3">
      <c r="A77" s="1251"/>
      <c r="B77" s="9" t="s">
        <v>10</v>
      </c>
      <c r="C77" s="9" t="s">
        <v>11</v>
      </c>
      <c r="D77" s="9" t="s">
        <v>11</v>
      </c>
      <c r="E77" s="9" t="s">
        <v>11</v>
      </c>
    </row>
    <row r="78" spans="1:5" ht="15.75" thickBot="1" x14ac:dyDescent="0.3">
      <c r="A78" s="5" t="s">
        <v>19</v>
      </c>
      <c r="B78" s="10"/>
      <c r="C78" s="10">
        <v>20</v>
      </c>
      <c r="D78" s="10">
        <v>20</v>
      </c>
      <c r="E78" s="10">
        <v>20</v>
      </c>
    </row>
    <row r="79" spans="1:5" ht="15.75" thickBot="1" x14ac:dyDescent="0.3">
      <c r="A79" s="5" t="s">
        <v>20</v>
      </c>
      <c r="B79" s="10"/>
      <c r="C79" s="10">
        <v>2000</v>
      </c>
      <c r="D79" s="10">
        <v>2000</v>
      </c>
      <c r="E79" s="10">
        <v>2000</v>
      </c>
    </row>
    <row r="80" spans="1:5" ht="15.75" thickBot="1" x14ac:dyDescent="0.3">
      <c r="A80" s="5" t="s">
        <v>21</v>
      </c>
      <c r="B80" s="10"/>
      <c r="C80" s="10">
        <f>C79/C78</f>
        <v>100</v>
      </c>
      <c r="D80" s="10">
        <f>D79/D78</f>
        <v>100</v>
      </c>
      <c r="E80" s="10">
        <f>E79/E78</f>
        <v>100</v>
      </c>
    </row>
    <row r="81" spans="1:5" ht="15.75" thickBot="1" x14ac:dyDescent="0.3">
      <c r="A81" s="5" t="s">
        <v>22</v>
      </c>
      <c r="B81" s="850" t="s">
        <v>23</v>
      </c>
      <c r="C81" s="11" t="e">
        <f t="shared" ref="C81:E83" si="2">C78/B78-1</f>
        <v>#DIV/0!</v>
      </c>
      <c r="D81" s="11">
        <f t="shared" si="2"/>
        <v>0</v>
      </c>
      <c r="E81" s="11">
        <f t="shared" si="2"/>
        <v>0</v>
      </c>
    </row>
    <row r="82" spans="1:5" ht="15.75" thickBot="1" x14ac:dyDescent="0.3">
      <c r="A82" s="5" t="s">
        <v>24</v>
      </c>
      <c r="B82" s="850" t="s">
        <v>23</v>
      </c>
      <c r="C82" s="11" t="e">
        <f t="shared" si="2"/>
        <v>#DIV/0!</v>
      </c>
      <c r="D82" s="11">
        <f t="shared" si="2"/>
        <v>0</v>
      </c>
      <c r="E82" s="11">
        <f t="shared" si="2"/>
        <v>0</v>
      </c>
    </row>
    <row r="83" spans="1:5" ht="15.75" thickBot="1" x14ac:dyDescent="0.3">
      <c r="A83" s="5" t="s">
        <v>25</v>
      </c>
      <c r="B83" s="850" t="s">
        <v>23</v>
      </c>
      <c r="C83" s="11" t="e">
        <f t="shared" si="2"/>
        <v>#DIV/0!</v>
      </c>
      <c r="D83" s="11">
        <f t="shared" si="2"/>
        <v>0</v>
      </c>
      <c r="E83" s="11">
        <f t="shared" si="2"/>
        <v>0</v>
      </c>
    </row>
    <row r="84" spans="1:5" ht="15.75" thickBot="1" x14ac:dyDescent="0.3">
      <c r="A84" s="1252" t="s">
        <v>884</v>
      </c>
      <c r="B84" s="1253"/>
      <c r="C84" s="1253"/>
      <c r="D84" s="1253"/>
      <c r="E84" s="1300"/>
    </row>
    <row r="85" spans="1:5" x14ac:dyDescent="0.25">
      <c r="A85" s="1250"/>
      <c r="B85" s="8">
        <v>2018</v>
      </c>
      <c r="C85" s="8">
        <v>2019</v>
      </c>
      <c r="D85" s="8">
        <v>2020</v>
      </c>
      <c r="E85" s="8">
        <v>2021</v>
      </c>
    </row>
    <row r="86" spans="1:5" ht="15.75" thickBot="1" x14ac:dyDescent="0.3">
      <c r="A86" s="1251"/>
      <c r="B86" s="9" t="s">
        <v>10</v>
      </c>
      <c r="C86" s="9" t="s">
        <v>11</v>
      </c>
      <c r="D86" s="9" t="s">
        <v>11</v>
      </c>
      <c r="E86" s="9" t="s">
        <v>11</v>
      </c>
    </row>
    <row r="87" spans="1:5" ht="15.75" thickBot="1" x14ac:dyDescent="0.3">
      <c r="A87" s="13" t="s">
        <v>58</v>
      </c>
      <c r="B87" s="14"/>
      <c r="C87" s="14"/>
      <c r="D87" s="14"/>
      <c r="E87" s="14"/>
    </row>
    <row r="88" spans="1:5" ht="15.75" thickBot="1" x14ac:dyDescent="0.3">
      <c r="A88" s="13" t="s">
        <v>59</v>
      </c>
      <c r="B88" s="15"/>
      <c r="C88" s="14">
        <v>2000</v>
      </c>
      <c r="D88" s="14">
        <v>2000</v>
      </c>
      <c r="E88" s="14">
        <v>2000</v>
      </c>
    </row>
    <row r="89" spans="1:5" ht="15.75" thickBot="1" x14ac:dyDescent="0.3">
      <c r="A89" s="16" t="s">
        <v>43</v>
      </c>
      <c r="B89" s="15">
        <f>B88+B87</f>
        <v>0</v>
      </c>
      <c r="C89" s="15">
        <f>C88+C87</f>
        <v>2000</v>
      </c>
      <c r="D89" s="15">
        <f>D88+D87</f>
        <v>2000</v>
      </c>
      <c r="E89" s="15">
        <f>E88+E87</f>
        <v>2000</v>
      </c>
    </row>
    <row r="90" spans="1:5" ht="15.75" thickBot="1" x14ac:dyDescent="0.3">
      <c r="A90" s="1275" t="s">
        <v>63</v>
      </c>
      <c r="B90" s="1276"/>
      <c r="C90" s="1276"/>
      <c r="D90" s="1276"/>
      <c r="E90" s="1317"/>
    </row>
    <row r="91" spans="1:5" ht="15.75" thickBot="1" x14ac:dyDescent="0.3">
      <c r="A91" s="1275" t="s">
        <v>64</v>
      </c>
      <c r="B91" s="1276"/>
      <c r="C91" s="1276"/>
      <c r="D91" s="1276"/>
      <c r="E91" s="1317"/>
    </row>
    <row r="92" spans="1:5" ht="15.75" thickBot="1" x14ac:dyDescent="0.3">
      <c r="A92" s="20" t="s">
        <v>61</v>
      </c>
      <c r="B92" s="1241" t="s">
        <v>674</v>
      </c>
      <c r="C92" s="1242"/>
      <c r="D92" s="1242"/>
      <c r="E92" s="1318"/>
    </row>
    <row r="93" spans="1:5" ht="15.75" thickBot="1" x14ac:dyDescent="0.3">
      <c r="A93" s="7" t="s">
        <v>16</v>
      </c>
      <c r="B93" s="1241" t="s">
        <v>675</v>
      </c>
      <c r="C93" s="1242"/>
      <c r="D93" s="1242"/>
      <c r="E93" s="1318"/>
    </row>
    <row r="94" spans="1:5" ht="17.25" customHeight="1" thickBot="1" x14ac:dyDescent="0.3">
      <c r="A94" s="5" t="s">
        <v>17</v>
      </c>
      <c r="B94" s="1245" t="s">
        <v>675</v>
      </c>
      <c r="C94" s="1246"/>
      <c r="D94" s="1246"/>
      <c r="E94" s="1298"/>
    </row>
    <row r="95" spans="1:5" ht="15.75" thickBot="1" x14ac:dyDescent="0.3">
      <c r="A95" s="5" t="s">
        <v>18</v>
      </c>
      <c r="B95" s="1248" t="s">
        <v>676</v>
      </c>
      <c r="C95" s="1249"/>
      <c r="D95" s="1249"/>
      <c r="E95" s="1316"/>
    </row>
    <row r="96" spans="1:5" ht="12.75" customHeight="1" x14ac:dyDescent="0.25">
      <c r="A96" s="1250"/>
      <c r="B96" s="8">
        <v>2018</v>
      </c>
      <c r="C96" s="8">
        <v>2019</v>
      </c>
      <c r="D96" s="8">
        <v>2020</v>
      </c>
      <c r="E96" s="8">
        <v>2021</v>
      </c>
    </row>
    <row r="97" spans="1:9" ht="9" customHeight="1" thickBot="1" x14ac:dyDescent="0.3">
      <c r="A97" s="1251"/>
      <c r="B97" s="9" t="s">
        <v>10</v>
      </c>
      <c r="C97" s="9" t="s">
        <v>11</v>
      </c>
      <c r="D97" s="9" t="s">
        <v>11</v>
      </c>
      <c r="E97" s="9" t="s">
        <v>11</v>
      </c>
    </row>
    <row r="98" spans="1:9" ht="15.75" thickBot="1" x14ac:dyDescent="0.3">
      <c r="A98" s="5" t="s">
        <v>19</v>
      </c>
      <c r="B98" s="10">
        <v>770</v>
      </c>
      <c r="C98" s="10"/>
      <c r="D98" s="10"/>
      <c r="E98" s="10"/>
    </row>
    <row r="99" spans="1:9" ht="15.75" thickBot="1" x14ac:dyDescent="0.3">
      <c r="A99" s="5" t="s">
        <v>20</v>
      </c>
      <c r="B99" s="10">
        <v>2500</v>
      </c>
      <c r="C99" s="10"/>
      <c r="D99" s="10"/>
      <c r="E99" s="10"/>
    </row>
    <row r="100" spans="1:9" ht="15.75" thickBot="1" x14ac:dyDescent="0.3">
      <c r="A100" s="5" t="s">
        <v>21</v>
      </c>
      <c r="B100" s="10">
        <f>B99/B98</f>
        <v>3.2467532467532467</v>
      </c>
      <c r="C100" s="10" t="e">
        <f>C99/C98</f>
        <v>#DIV/0!</v>
      </c>
      <c r="D100" s="10" t="e">
        <f>D99/D98</f>
        <v>#DIV/0!</v>
      </c>
      <c r="E100" s="10" t="e">
        <f>E99/E98</f>
        <v>#DIV/0!</v>
      </c>
    </row>
    <row r="101" spans="1:9" ht="15.75" thickBot="1" x14ac:dyDescent="0.3">
      <c r="A101" s="5" t="s">
        <v>22</v>
      </c>
      <c r="B101" s="850" t="s">
        <v>23</v>
      </c>
      <c r="C101" s="11">
        <f t="shared" ref="C101:E103" si="3">C98/B98-1</f>
        <v>-1</v>
      </c>
      <c r="D101" s="11" t="e">
        <f t="shared" si="3"/>
        <v>#DIV/0!</v>
      </c>
      <c r="E101" s="11" t="e">
        <f t="shared" si="3"/>
        <v>#DIV/0!</v>
      </c>
      <c r="F101" s="12"/>
      <c r="G101" s="12"/>
      <c r="H101" s="12"/>
      <c r="I101" s="12"/>
    </row>
    <row r="102" spans="1:9" ht="15.75" thickBot="1" x14ac:dyDescent="0.3">
      <c r="A102" s="5" t="s">
        <v>24</v>
      </c>
      <c r="B102" s="850" t="s">
        <v>23</v>
      </c>
      <c r="C102" s="11">
        <f t="shared" si="3"/>
        <v>-1</v>
      </c>
      <c r="D102" s="11" t="e">
        <f t="shared" si="3"/>
        <v>#DIV/0!</v>
      </c>
      <c r="E102" s="11" t="e">
        <f t="shared" si="3"/>
        <v>#DIV/0!</v>
      </c>
    </row>
    <row r="103" spans="1:9" ht="15.75" thickBot="1" x14ac:dyDescent="0.3">
      <c r="A103" s="5" t="s">
        <v>25</v>
      </c>
      <c r="B103" s="850" t="s">
        <v>23</v>
      </c>
      <c r="C103" s="11" t="e">
        <f t="shared" si="3"/>
        <v>#DIV/0!</v>
      </c>
      <c r="D103" s="11" t="e">
        <f t="shared" si="3"/>
        <v>#DIV/0!</v>
      </c>
      <c r="E103" s="11" t="e">
        <f t="shared" si="3"/>
        <v>#DIV/0!</v>
      </c>
    </row>
    <row r="104" spans="1:9" ht="15.75" thickBot="1" x14ac:dyDescent="0.3">
      <c r="A104" s="1252" t="s">
        <v>633</v>
      </c>
      <c r="B104" s="1253"/>
      <c r="C104" s="1253"/>
      <c r="D104" s="1253"/>
      <c r="E104" s="1300"/>
    </row>
    <row r="105" spans="1:9" ht="12.75" customHeight="1" x14ac:dyDescent="0.25">
      <c r="A105" s="1250"/>
      <c r="B105" s="8">
        <v>2018</v>
      </c>
      <c r="C105" s="8">
        <v>2019</v>
      </c>
      <c r="D105" s="8">
        <v>2020</v>
      </c>
      <c r="E105" s="8">
        <v>2021</v>
      </c>
    </row>
    <row r="106" spans="1:9" ht="9" customHeight="1" thickBot="1" x14ac:dyDescent="0.3">
      <c r="A106" s="1251"/>
      <c r="B106" s="9" t="s">
        <v>10</v>
      </c>
      <c r="C106" s="9" t="s">
        <v>11</v>
      </c>
      <c r="D106" s="9" t="s">
        <v>11</v>
      </c>
      <c r="E106" s="9" t="s">
        <v>11</v>
      </c>
    </row>
    <row r="107" spans="1:9" ht="15.75" thickBot="1" x14ac:dyDescent="0.3">
      <c r="A107" s="13" t="s">
        <v>58</v>
      </c>
      <c r="B107" s="14"/>
      <c r="C107" s="14"/>
      <c r="D107" s="14"/>
      <c r="E107" s="14"/>
    </row>
    <row r="108" spans="1:9" ht="15.75" thickBot="1" x14ac:dyDescent="0.3">
      <c r="A108" s="13" t="s">
        <v>59</v>
      </c>
      <c r="B108" s="15">
        <v>2500</v>
      </c>
      <c r="C108" s="14"/>
      <c r="D108" s="14"/>
      <c r="E108" s="14"/>
    </row>
    <row r="109" spans="1:9" ht="15.75" thickBot="1" x14ac:dyDescent="0.3">
      <c r="A109" s="16" t="s">
        <v>40</v>
      </c>
      <c r="B109" s="15">
        <f>B108+B107</f>
        <v>2500</v>
      </c>
      <c r="C109" s="15">
        <f>C108+C107</f>
        <v>0</v>
      </c>
      <c r="D109" s="15">
        <f>D108+D107</f>
        <v>0</v>
      </c>
      <c r="E109" s="15">
        <f>E108+E107</f>
        <v>0</v>
      </c>
    </row>
    <row r="110" spans="1:9" ht="15.75" thickBot="1" x14ac:dyDescent="0.3">
      <c r="A110" s="22"/>
      <c r="B110" s="23"/>
      <c r="C110" s="23"/>
      <c r="D110" s="23"/>
      <c r="E110" s="23"/>
    </row>
    <row r="111" spans="1:9" ht="33.75" customHeight="1" thickBot="1" x14ac:dyDescent="0.3">
      <c r="A111" s="6" t="s">
        <v>82</v>
      </c>
      <c r="B111" s="24">
        <f>B35+B61+B79+B99</f>
        <v>116000</v>
      </c>
      <c r="C111" s="24">
        <f>C35+C61+C79+C99</f>
        <v>115100</v>
      </c>
      <c r="D111" s="24">
        <f>D35+D61+D79+D99</f>
        <v>115100</v>
      </c>
      <c r="E111" s="24">
        <f>E35+E61+E79+E99</f>
        <v>115100</v>
      </c>
    </row>
    <row r="112" spans="1:9" ht="24.75" thickBot="1" x14ac:dyDescent="0.3">
      <c r="A112" s="6" t="s">
        <v>83</v>
      </c>
      <c r="B112" s="24">
        <f>B114+B116+B118+B120+B122+B124+B126+B128+B130</f>
        <v>116000</v>
      </c>
      <c r="C112" s="24">
        <f>C114+C116+C118+C120+C122+C124+C126+C128+C130</f>
        <v>115100</v>
      </c>
      <c r="D112" s="24">
        <f>D114+D116+D118+D120+D122+D124+D126+D128+D130</f>
        <v>115100</v>
      </c>
      <c r="E112" s="24">
        <f>E114+E116+E118+E120+E122+E124+E126+E128+E130</f>
        <v>115100</v>
      </c>
    </row>
    <row r="113" spans="1:5" ht="24.75" thickBot="1" x14ac:dyDescent="0.3">
      <c r="A113" s="25" t="s">
        <v>84</v>
      </c>
      <c r="B113" s="26"/>
      <c r="C113" s="27">
        <f>C112/B112-1</f>
        <v>-7.7586206896551602E-3</v>
      </c>
      <c r="D113" s="27">
        <f>D112/C112-1</f>
        <v>0</v>
      </c>
      <c r="E113" s="27">
        <f>E112/D112-1</f>
        <v>0</v>
      </c>
    </row>
    <row r="114" spans="1:5" ht="15.75" thickBot="1" x14ac:dyDescent="0.3">
      <c r="A114" s="13" t="s">
        <v>26</v>
      </c>
      <c r="B114" s="14">
        <f>B43</f>
        <v>81800</v>
      </c>
      <c r="C114" s="14">
        <f>C43</f>
        <v>81800</v>
      </c>
      <c r="D114" s="14">
        <f>D43</f>
        <v>81800</v>
      </c>
      <c r="E114" s="14">
        <f>E43</f>
        <v>81800</v>
      </c>
    </row>
    <row r="115" spans="1:5" ht="15.75" thickBot="1" x14ac:dyDescent="0.3">
      <c r="A115" s="28" t="s">
        <v>85</v>
      </c>
      <c r="B115" s="15"/>
      <c r="C115" s="29">
        <f>C114/B114-1</f>
        <v>0</v>
      </c>
      <c r="D115" s="29">
        <f>D114/C114-1</f>
        <v>0</v>
      </c>
      <c r="E115" s="29">
        <f>E114/D114-1</f>
        <v>0</v>
      </c>
    </row>
    <row r="116" spans="1:5" ht="24.75" thickBot="1" x14ac:dyDescent="0.3">
      <c r="A116" s="13" t="s">
        <v>28</v>
      </c>
      <c r="B116" s="14">
        <f>B44</f>
        <v>12700</v>
      </c>
      <c r="C116" s="14">
        <f>C44</f>
        <v>12700</v>
      </c>
      <c r="D116" s="14">
        <f>D44</f>
        <v>12700</v>
      </c>
      <c r="E116" s="14">
        <f>E44</f>
        <v>12700</v>
      </c>
    </row>
    <row r="117" spans="1:5" ht="24.75" thickBot="1" x14ac:dyDescent="0.3">
      <c r="A117" s="28" t="s">
        <v>86</v>
      </c>
      <c r="B117" s="15"/>
      <c r="C117" s="29">
        <f>C116/B116-1</f>
        <v>0</v>
      </c>
      <c r="D117" s="29">
        <f>D116/C116-1</f>
        <v>0</v>
      </c>
      <c r="E117" s="29">
        <f>E116/D116-1</f>
        <v>0</v>
      </c>
    </row>
    <row r="118" spans="1:5" ht="15.75" thickBot="1" x14ac:dyDescent="0.3">
      <c r="A118" s="13" t="s">
        <v>30</v>
      </c>
      <c r="B118" s="14">
        <f>B45</f>
        <v>15400</v>
      </c>
      <c r="C118" s="14">
        <f>C45</f>
        <v>16500</v>
      </c>
      <c r="D118" s="14">
        <f>D45</f>
        <v>16500</v>
      </c>
      <c r="E118" s="14">
        <f>E45</f>
        <v>16500</v>
      </c>
    </row>
    <row r="119" spans="1:5" ht="24.75" thickBot="1" x14ac:dyDescent="0.3">
      <c r="A119" s="28" t="s">
        <v>87</v>
      </c>
      <c r="B119" s="15"/>
      <c r="C119" s="29">
        <f>C118/B118-1</f>
        <v>7.1428571428571397E-2</v>
      </c>
      <c r="D119" s="29">
        <f>D118/C118-1</f>
        <v>0</v>
      </c>
      <c r="E119" s="29">
        <f>E118/D118-1</f>
        <v>0</v>
      </c>
    </row>
    <row r="120" spans="1:5" ht="15.75" thickBot="1" x14ac:dyDescent="0.3">
      <c r="A120" s="13" t="s">
        <v>32</v>
      </c>
      <c r="B120" s="14">
        <f>B46</f>
        <v>0</v>
      </c>
      <c r="C120" s="14">
        <f>C46</f>
        <v>0</v>
      </c>
      <c r="D120" s="14">
        <f>D46</f>
        <v>0</v>
      </c>
      <c r="E120" s="14">
        <f>E46</f>
        <v>0</v>
      </c>
    </row>
    <row r="121" spans="1:5" ht="15.75" thickBot="1" x14ac:dyDescent="0.3">
      <c r="A121" s="28" t="s">
        <v>88</v>
      </c>
      <c r="B121" s="15"/>
      <c r="C121" s="29" t="e">
        <f>C120/B120-1</f>
        <v>#DIV/0!</v>
      </c>
      <c r="D121" s="29" t="e">
        <f>D120/C120-1</f>
        <v>#DIV/0!</v>
      </c>
      <c r="E121" s="29" t="e">
        <f>E120/D120-1</f>
        <v>#DIV/0!</v>
      </c>
    </row>
    <row r="122" spans="1:5" ht="15.75" thickBot="1" x14ac:dyDescent="0.3">
      <c r="A122" s="13" t="s">
        <v>34</v>
      </c>
      <c r="B122" s="14">
        <f>B47</f>
        <v>0</v>
      </c>
      <c r="C122" s="14">
        <f>C47</f>
        <v>0</v>
      </c>
      <c r="D122" s="14">
        <f>D47</f>
        <v>0</v>
      </c>
      <c r="E122" s="14">
        <f>E47</f>
        <v>0</v>
      </c>
    </row>
    <row r="123" spans="1:5" ht="24.75" thickBot="1" x14ac:dyDescent="0.3">
      <c r="A123" s="28" t="s">
        <v>89</v>
      </c>
      <c r="B123" s="15"/>
      <c r="C123" s="29" t="e">
        <f>C122/B122-1</f>
        <v>#DIV/0!</v>
      </c>
      <c r="D123" s="29" t="e">
        <f>D122/C122-1</f>
        <v>#DIV/0!</v>
      </c>
      <c r="E123" s="29" t="e">
        <f>E122/D122-1</f>
        <v>#DIV/0!</v>
      </c>
    </row>
    <row r="124" spans="1:5" ht="15.75" thickBot="1" x14ac:dyDescent="0.3">
      <c r="A124" s="13" t="s">
        <v>36</v>
      </c>
      <c r="B124" s="14">
        <f>B48</f>
        <v>1600</v>
      </c>
      <c r="C124" s="14">
        <f>C48</f>
        <v>1600</v>
      </c>
      <c r="D124" s="14">
        <f>D48</f>
        <v>1600</v>
      </c>
      <c r="E124" s="14">
        <f>E48</f>
        <v>1600</v>
      </c>
    </row>
    <row r="125" spans="1:5" ht="15.75" thickBot="1" x14ac:dyDescent="0.3">
      <c r="A125" s="28" t="s">
        <v>90</v>
      </c>
      <c r="B125" s="15"/>
      <c r="C125" s="29">
        <f>C124/B124-1</f>
        <v>0</v>
      </c>
      <c r="D125" s="29">
        <f>D124/C124-1</f>
        <v>0</v>
      </c>
      <c r="E125" s="29">
        <f>E124/D124-1</f>
        <v>0</v>
      </c>
    </row>
    <row r="126" spans="1:5" ht="24.75" thickBot="1" x14ac:dyDescent="0.3">
      <c r="A126" s="13" t="s">
        <v>38</v>
      </c>
      <c r="B126" s="14">
        <f>B49</f>
        <v>500</v>
      </c>
      <c r="C126" s="14">
        <f>C49</f>
        <v>500</v>
      </c>
      <c r="D126" s="14">
        <f>D49</f>
        <v>500</v>
      </c>
      <c r="E126" s="14">
        <f>E49</f>
        <v>500</v>
      </c>
    </row>
    <row r="127" spans="1:5" ht="24.75" thickBot="1" x14ac:dyDescent="0.3">
      <c r="A127" s="28" t="s">
        <v>91</v>
      </c>
      <c r="B127" s="15"/>
      <c r="C127" s="29">
        <f>C126/B126-1</f>
        <v>0</v>
      </c>
      <c r="D127" s="29">
        <f>D126/C126-1</f>
        <v>0</v>
      </c>
      <c r="E127" s="29">
        <f>E126/D126-1</f>
        <v>0</v>
      </c>
    </row>
    <row r="128" spans="1:5" ht="15.75" thickBot="1" x14ac:dyDescent="0.3">
      <c r="A128" s="13" t="s">
        <v>92</v>
      </c>
      <c r="B128" s="14">
        <f>B69+B87+B107</f>
        <v>0</v>
      </c>
      <c r="C128" s="14">
        <f>C69+C87+C107</f>
        <v>0</v>
      </c>
      <c r="D128" s="14">
        <f>D69+D87+D107</f>
        <v>0</v>
      </c>
      <c r="E128" s="14">
        <f>E69+E87+E107</f>
        <v>0</v>
      </c>
    </row>
    <row r="129" spans="1:5" ht="24.75" thickBot="1" x14ac:dyDescent="0.3">
      <c r="A129" s="28" t="s">
        <v>93</v>
      </c>
      <c r="B129" s="15"/>
      <c r="C129" s="29" t="e">
        <f>C128/B128-1</f>
        <v>#DIV/0!</v>
      </c>
      <c r="D129" s="29" t="e">
        <f>D128/C128-1</f>
        <v>#DIV/0!</v>
      </c>
      <c r="E129" s="29" t="e">
        <f>E128/D128-1</f>
        <v>#DIV/0!</v>
      </c>
    </row>
    <row r="130" spans="1:5" ht="15.75" thickBot="1" x14ac:dyDescent="0.3">
      <c r="A130" s="13" t="s">
        <v>94</v>
      </c>
      <c r="B130" s="14">
        <f>B70+B88+B108</f>
        <v>4000</v>
      </c>
      <c r="C130" s="14">
        <f>C70+C88+C108</f>
        <v>2000</v>
      </c>
      <c r="D130" s="14">
        <f>D70+D88+D108</f>
        <v>2000</v>
      </c>
      <c r="E130" s="14">
        <f>E70+E88+E108</f>
        <v>2000</v>
      </c>
    </row>
    <row r="131" spans="1:5" ht="15.75" thickBot="1" x14ac:dyDescent="0.3">
      <c r="A131" s="28" t="s">
        <v>95</v>
      </c>
      <c r="B131" s="15"/>
      <c r="C131" s="29">
        <f>C130/B130-1</f>
        <v>-0.5</v>
      </c>
      <c r="D131" s="29">
        <f>D130/C130-1</f>
        <v>0</v>
      </c>
      <c r="E131" s="29">
        <f>E130/D130-1</f>
        <v>0</v>
      </c>
    </row>
    <row r="132" spans="1:5" ht="15.75" thickBot="1" x14ac:dyDescent="0.3">
      <c r="A132" s="17" t="s">
        <v>41</v>
      </c>
      <c r="B132" s="18">
        <f>IF(B112-B111=0,0,"Error")</f>
        <v>0</v>
      </c>
      <c r="C132" s="18">
        <f>IF(C112-C111=0,0,"Error")</f>
        <v>0</v>
      </c>
      <c r="D132" s="18">
        <f>IF(D112-D111=0,0,"Error")</f>
        <v>0</v>
      </c>
      <c r="E132" s="18">
        <f>IF(E112-E111=0,0,"Error")</f>
        <v>0</v>
      </c>
    </row>
    <row r="133" spans="1:5" ht="24.75" thickBot="1" x14ac:dyDescent="0.3">
      <c r="A133" s="30" t="s">
        <v>96</v>
      </c>
      <c r="B133" s="14">
        <v>56</v>
      </c>
      <c r="C133" s="14">
        <v>56</v>
      </c>
      <c r="D133" s="14">
        <v>56</v>
      </c>
      <c r="E133" s="14">
        <v>56</v>
      </c>
    </row>
    <row r="134" spans="1:5" ht="45.75" customHeight="1" thickBot="1" x14ac:dyDescent="0.3">
      <c r="A134" s="30" t="s">
        <v>97</v>
      </c>
      <c r="B134" s="14">
        <v>7</v>
      </c>
      <c r="C134" s="14"/>
      <c r="D134" s="14" t="s">
        <v>23</v>
      </c>
      <c r="E134" s="14" t="s">
        <v>23</v>
      </c>
    </row>
  </sheetData>
  <mergeCells count="50">
    <mergeCell ref="A10:E10"/>
    <mergeCell ref="A11:E11"/>
    <mergeCell ref="B95:E95"/>
    <mergeCell ref="A96:A97"/>
    <mergeCell ref="B20:E20"/>
    <mergeCell ref="A21:A22"/>
    <mergeCell ref="B24:E24"/>
    <mergeCell ref="A25:E25"/>
    <mergeCell ref="A27:E27"/>
    <mergeCell ref="B74:E74"/>
    <mergeCell ref="A90:E90"/>
    <mergeCell ref="A52:E52"/>
    <mergeCell ref="A41:A42"/>
    <mergeCell ref="A91:E91"/>
    <mergeCell ref="B92:E92"/>
    <mergeCell ref="B56:E56"/>
    <mergeCell ref="B57:E57"/>
    <mergeCell ref="A58:A59"/>
    <mergeCell ref="A104:E104"/>
    <mergeCell ref="A105:A106"/>
    <mergeCell ref="B75:E75"/>
    <mergeCell ref="A76:A77"/>
    <mergeCell ref="B94:E94"/>
    <mergeCell ref="A84:E84"/>
    <mergeCell ref="A85:A86"/>
    <mergeCell ref="A66:E66"/>
    <mergeCell ref="A67:A68"/>
    <mergeCell ref="B72:E72"/>
    <mergeCell ref="B73:E73"/>
    <mergeCell ref="B93:E93"/>
    <mergeCell ref="C8:E8"/>
    <mergeCell ref="B3:E3"/>
    <mergeCell ref="B4:E4"/>
    <mergeCell ref="B5:E5"/>
    <mergeCell ref="C6:E6"/>
    <mergeCell ref="C7:E7"/>
    <mergeCell ref="A53:E53"/>
    <mergeCell ref="B13:E13"/>
    <mergeCell ref="B14:E14"/>
    <mergeCell ref="B54:E54"/>
    <mergeCell ref="B55:E55"/>
    <mergeCell ref="B15:E15"/>
    <mergeCell ref="A16:E16"/>
    <mergeCell ref="A40:E40"/>
    <mergeCell ref="A17:E19"/>
    <mergeCell ref="A28:E28"/>
    <mergeCell ref="B29:E29"/>
    <mergeCell ref="B30:E30"/>
    <mergeCell ref="B31:E31"/>
    <mergeCell ref="A32:A33"/>
  </mergeCells>
  <printOptions horizontalCentered="1" verticalCentered="1"/>
  <pageMargins left="0.25" right="0.25" top="0.75" bottom="0.75" header="0.3" footer="0.3"/>
  <pageSetup scale="60" orientation="portrait" r:id="rId1"/>
  <rowBreaks count="2" manualBreakCount="2">
    <brk id="51" max="16383" man="1"/>
    <brk id="10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H199"/>
  <sheetViews>
    <sheetView view="pageBreakPreview" topLeftCell="A174" zoomScale="60" zoomScaleNormal="115" workbookViewId="0">
      <selection activeCell="I208" sqref="I208"/>
    </sheetView>
  </sheetViews>
  <sheetFormatPr defaultRowHeight="15.75" outlineLevelRow="1" x14ac:dyDescent="0.25"/>
  <cols>
    <col min="1" max="1" width="35.28515625" style="468" customWidth="1"/>
    <col min="2" max="2" width="17.28515625" style="468" customWidth="1"/>
    <col min="3" max="4" width="15.7109375" style="468" customWidth="1"/>
    <col min="5" max="5" width="28" style="468" customWidth="1"/>
    <col min="6" max="6" width="7.7109375" style="468" customWidth="1"/>
    <col min="7" max="16384" width="9.140625" style="468"/>
  </cols>
  <sheetData>
    <row r="1" spans="1:5" x14ac:dyDescent="0.25">
      <c r="A1" s="532" t="s">
        <v>898</v>
      </c>
      <c r="B1" s="532"/>
      <c r="C1" s="532"/>
      <c r="D1" s="532"/>
    </row>
    <row r="3" spans="1:5" ht="31.5" x14ac:dyDescent="0.25">
      <c r="A3" s="531" t="s">
        <v>897</v>
      </c>
      <c r="B3" s="1894" t="s">
        <v>1288</v>
      </c>
      <c r="C3" s="1895"/>
      <c r="D3" s="1895"/>
      <c r="E3" s="1896"/>
    </row>
    <row r="4" spans="1:5" ht="31.5" x14ac:dyDescent="0.25">
      <c r="A4" s="528" t="s">
        <v>895</v>
      </c>
      <c r="B4" s="1897" t="s">
        <v>1287</v>
      </c>
      <c r="C4" s="1898"/>
      <c r="D4" s="1898"/>
      <c r="E4" s="1899"/>
    </row>
    <row r="5" spans="1:5" ht="31.5" x14ac:dyDescent="0.25">
      <c r="A5" s="528" t="s">
        <v>893</v>
      </c>
      <c r="B5" s="1900" t="s">
        <v>1286</v>
      </c>
      <c r="C5" s="1901"/>
      <c r="D5" s="1901"/>
      <c r="E5" s="1902"/>
    </row>
    <row r="6" spans="1:5" ht="31.5" x14ac:dyDescent="0.25">
      <c r="A6" s="530" t="s">
        <v>891</v>
      </c>
      <c r="B6" s="529" t="s">
        <v>912</v>
      </c>
      <c r="C6" s="1903" t="s">
        <v>7</v>
      </c>
      <c r="D6" s="1904"/>
      <c r="E6" s="1905"/>
    </row>
    <row r="7" spans="1:5" ht="32.25" thickBot="1" x14ac:dyDescent="0.3">
      <c r="A7" s="528" t="s">
        <v>1285</v>
      </c>
      <c r="B7" s="527" t="s">
        <v>4</v>
      </c>
      <c r="C7" s="1906" t="s">
        <v>1284</v>
      </c>
      <c r="D7" s="1907"/>
      <c r="E7" s="1908"/>
    </row>
    <row r="8" spans="1:5" ht="18" customHeight="1" x14ac:dyDescent="0.25">
      <c r="A8" s="526" t="s">
        <v>122</v>
      </c>
      <c r="B8" s="525"/>
      <c r="C8" s="525"/>
      <c r="D8" s="525"/>
      <c r="E8" s="524"/>
    </row>
    <row r="9" spans="1:5" ht="18" customHeight="1" x14ac:dyDescent="0.25">
      <c r="A9" s="1943" t="s">
        <v>1</v>
      </c>
      <c r="B9" s="1944"/>
      <c r="C9" s="1944"/>
      <c r="D9" s="1944"/>
      <c r="E9" s="1945"/>
    </row>
    <row r="10" spans="1:5" ht="9" customHeight="1" x14ac:dyDescent="0.25">
      <c r="A10" s="523"/>
      <c r="B10" s="522"/>
      <c r="C10" s="522"/>
      <c r="D10" s="522"/>
      <c r="E10" s="521"/>
    </row>
    <row r="11" spans="1:5" x14ac:dyDescent="0.25">
      <c r="A11" s="499" t="s">
        <v>2</v>
      </c>
      <c r="B11" s="1910" t="str">
        <f>'[2]Formati 1 Misioni'!A9</f>
        <v>Planifikim-Menaxhim-Administrim</v>
      </c>
      <c r="C11" s="1910"/>
      <c r="D11" s="1910"/>
      <c r="E11" s="1911"/>
    </row>
    <row r="12" spans="1:5" x14ac:dyDescent="0.25">
      <c r="A12" s="499" t="s">
        <v>3</v>
      </c>
      <c r="B12" s="1946" t="s">
        <v>4</v>
      </c>
      <c r="C12" s="1947"/>
      <c r="D12" s="1947"/>
      <c r="E12" s="1948"/>
    </row>
    <row r="13" spans="1:5" x14ac:dyDescent="0.25">
      <c r="A13" s="499" t="s">
        <v>5</v>
      </c>
      <c r="B13" s="1936" t="s">
        <v>6</v>
      </c>
      <c r="C13" s="1936"/>
      <c r="D13" s="1936"/>
      <c r="E13" s="1937"/>
    </row>
    <row r="14" spans="1:5" x14ac:dyDescent="0.25">
      <c r="A14" s="1949" t="s">
        <v>7</v>
      </c>
      <c r="B14" s="1950"/>
      <c r="C14" s="1950"/>
      <c r="D14" s="1950"/>
      <c r="E14" s="1951"/>
    </row>
    <row r="15" spans="1:5" ht="15.75" customHeight="1" x14ac:dyDescent="0.25">
      <c r="A15" s="1952" t="s">
        <v>1284</v>
      </c>
      <c r="B15" s="1953"/>
      <c r="C15" s="1953"/>
      <c r="D15" s="1953"/>
      <c r="E15" s="1954"/>
    </row>
    <row r="16" spans="1:5" ht="36.75" customHeight="1" x14ac:dyDescent="0.25">
      <c r="A16" s="1952"/>
      <c r="B16" s="1953"/>
      <c r="C16" s="1953"/>
      <c r="D16" s="1953"/>
      <c r="E16" s="1954"/>
    </row>
    <row r="17" spans="1:5" ht="30" customHeight="1" x14ac:dyDescent="0.25">
      <c r="A17" s="1952"/>
      <c r="B17" s="1953"/>
      <c r="C17" s="1953"/>
      <c r="D17" s="1953"/>
      <c r="E17" s="1954"/>
    </row>
    <row r="18" spans="1:5" ht="48.75" customHeight="1" x14ac:dyDescent="0.25">
      <c r="A18" s="486" t="s">
        <v>8</v>
      </c>
      <c r="B18" s="1891" t="s">
        <v>677</v>
      </c>
      <c r="C18" s="1934"/>
      <c r="D18" s="1934"/>
      <c r="E18" s="1935"/>
    </row>
    <row r="19" spans="1:5" ht="23.25" customHeight="1" x14ac:dyDescent="0.25">
      <c r="A19" s="1893" t="s">
        <v>9</v>
      </c>
      <c r="B19" s="493">
        <v>2018</v>
      </c>
      <c r="C19" s="493">
        <v>2019</v>
      </c>
      <c r="D19" s="493">
        <v>2020</v>
      </c>
      <c r="E19" s="492">
        <v>2021</v>
      </c>
    </row>
    <row r="20" spans="1:5" x14ac:dyDescent="0.25">
      <c r="A20" s="1893"/>
      <c r="B20" s="493" t="s">
        <v>10</v>
      </c>
      <c r="C20" s="493" t="s">
        <v>11</v>
      </c>
      <c r="D20" s="493" t="s">
        <v>11</v>
      </c>
      <c r="E20" s="492" t="s">
        <v>11</v>
      </c>
    </row>
    <row r="21" spans="1:5" ht="32.25" thickBot="1" x14ac:dyDescent="0.3">
      <c r="A21" s="520" t="s">
        <v>1283</v>
      </c>
      <c r="B21" s="517">
        <v>0.3</v>
      </c>
      <c r="C21" s="517" t="s">
        <v>1282</v>
      </c>
      <c r="D21" s="517" t="s">
        <v>1282</v>
      </c>
      <c r="E21" s="519" t="s">
        <v>1282</v>
      </c>
    </row>
    <row r="22" spans="1:5" ht="44.25" customHeight="1" x14ac:dyDescent="0.25">
      <c r="A22" s="486" t="s">
        <v>12</v>
      </c>
      <c r="B22" s="1891" t="s">
        <v>1281</v>
      </c>
      <c r="C22" s="1891"/>
      <c r="D22" s="1891"/>
      <c r="E22" s="1892"/>
    </row>
    <row r="23" spans="1:5" ht="23.25" customHeight="1" x14ac:dyDescent="0.25">
      <c r="A23" s="1893" t="s">
        <v>13</v>
      </c>
      <c r="B23" s="1936"/>
      <c r="C23" s="1936"/>
      <c r="D23" s="1936"/>
      <c r="E23" s="1937"/>
    </row>
    <row r="24" spans="1:5" ht="31.5" x14ac:dyDescent="0.25">
      <c r="A24" s="518" t="s">
        <v>678</v>
      </c>
      <c r="B24" s="517">
        <v>0.98</v>
      </c>
      <c r="C24" s="516" t="s">
        <v>110</v>
      </c>
      <c r="D24" s="516" t="s">
        <v>110</v>
      </c>
      <c r="E24" s="515" t="s">
        <v>110</v>
      </c>
    </row>
    <row r="25" spans="1:5" x14ac:dyDescent="0.25">
      <c r="A25" s="1955" t="s">
        <v>14</v>
      </c>
      <c r="B25" s="1939"/>
      <c r="C25" s="1939"/>
      <c r="D25" s="1939"/>
      <c r="E25" s="1940"/>
    </row>
    <row r="26" spans="1:5" x14ac:dyDescent="0.25">
      <c r="A26" s="1938" t="s">
        <v>15</v>
      </c>
      <c r="B26" s="1934"/>
      <c r="C26" s="1934"/>
      <c r="D26" s="1934"/>
      <c r="E26" s="1935"/>
    </row>
    <row r="27" spans="1:5" x14ac:dyDescent="0.25">
      <c r="A27" s="501" t="s">
        <v>16</v>
      </c>
      <c r="B27" s="1934" t="s">
        <v>1280</v>
      </c>
      <c r="C27" s="1934"/>
      <c r="D27" s="1934"/>
      <c r="E27" s="1935"/>
    </row>
    <row r="28" spans="1:5" ht="17.25" customHeight="1" x14ac:dyDescent="0.25">
      <c r="A28" s="499" t="s">
        <v>17</v>
      </c>
      <c r="B28" s="1936" t="s">
        <v>1270</v>
      </c>
      <c r="C28" s="1936"/>
      <c r="D28" s="1936"/>
      <c r="E28" s="1937"/>
    </row>
    <row r="29" spans="1:5" x14ac:dyDescent="0.25">
      <c r="A29" s="499" t="s">
        <v>18</v>
      </c>
      <c r="B29" s="1941" t="s">
        <v>1269</v>
      </c>
      <c r="C29" s="1941"/>
      <c r="D29" s="1941"/>
      <c r="E29" s="1942"/>
    </row>
    <row r="30" spans="1:5" ht="12.75" customHeight="1" x14ac:dyDescent="0.25">
      <c r="A30" s="1893"/>
      <c r="B30" s="493">
        <v>2018</v>
      </c>
      <c r="C30" s="493">
        <v>2019</v>
      </c>
      <c r="D30" s="493">
        <v>2020</v>
      </c>
      <c r="E30" s="492">
        <v>2021</v>
      </c>
    </row>
    <row r="31" spans="1:5" ht="18" customHeight="1" x14ac:dyDescent="0.25">
      <c r="A31" s="1893"/>
      <c r="B31" s="493" t="s">
        <v>10</v>
      </c>
      <c r="C31" s="493" t="s">
        <v>11</v>
      </c>
      <c r="D31" s="493" t="s">
        <v>11</v>
      </c>
      <c r="E31" s="492" t="s">
        <v>11</v>
      </c>
    </row>
    <row r="32" spans="1:5" x14ac:dyDescent="0.25">
      <c r="A32" s="499" t="s">
        <v>19</v>
      </c>
      <c r="B32" s="514">
        <v>84</v>
      </c>
      <c r="C32" s="514">
        <v>97</v>
      </c>
      <c r="D32" s="514">
        <v>105</v>
      </c>
      <c r="E32" s="513">
        <v>109</v>
      </c>
    </row>
    <row r="33" spans="1:8" x14ac:dyDescent="0.25">
      <c r="A33" s="499" t="s">
        <v>20</v>
      </c>
      <c r="B33" s="495">
        <f>53620*70%</f>
        <v>37534</v>
      </c>
      <c r="C33" s="495">
        <f>54266*70%</f>
        <v>37986.199999999997</v>
      </c>
      <c r="D33" s="495">
        <f>54266*70%</f>
        <v>37986.199999999997</v>
      </c>
      <c r="E33" s="494">
        <f>54266*70%</f>
        <v>37986.199999999997</v>
      </c>
    </row>
    <row r="34" spans="1:8" x14ac:dyDescent="0.25">
      <c r="A34" s="499" t="s">
        <v>21</v>
      </c>
      <c r="B34" s="495">
        <f>B33/B32</f>
        <v>446.83333333333331</v>
      </c>
      <c r="C34" s="495">
        <f>C33/C32</f>
        <v>391.61030927835048</v>
      </c>
      <c r="D34" s="495">
        <f>D33/D32</f>
        <v>361.77333333333331</v>
      </c>
      <c r="E34" s="494">
        <f>E33/E32</f>
        <v>348.497247706422</v>
      </c>
    </row>
    <row r="35" spans="1:8" x14ac:dyDescent="0.25">
      <c r="A35" s="499" t="s">
        <v>22</v>
      </c>
      <c r="B35" s="493" t="s">
        <v>23</v>
      </c>
      <c r="C35" s="498">
        <f t="shared" ref="C35:E37" si="0">C32/B32-1</f>
        <v>0.15476190476190466</v>
      </c>
      <c r="D35" s="498">
        <f t="shared" si="0"/>
        <v>8.247422680412364E-2</v>
      </c>
      <c r="E35" s="497">
        <f t="shared" si="0"/>
        <v>3.8095238095238182E-2</v>
      </c>
      <c r="F35" s="500"/>
    </row>
    <row r="36" spans="1:8" x14ac:dyDescent="0.25">
      <c r="A36" s="499" t="s">
        <v>24</v>
      </c>
      <c r="B36" s="493" t="s">
        <v>23</v>
      </c>
      <c r="C36" s="498">
        <f t="shared" si="0"/>
        <v>1.2047743379336007E-2</v>
      </c>
      <c r="D36" s="498">
        <f t="shared" si="0"/>
        <v>0</v>
      </c>
      <c r="E36" s="497">
        <f t="shared" si="0"/>
        <v>0</v>
      </c>
    </row>
    <row r="37" spans="1:8" x14ac:dyDescent="0.25">
      <c r="A37" s="499" t="s">
        <v>25</v>
      </c>
      <c r="B37" s="493" t="s">
        <v>23</v>
      </c>
      <c r="C37" s="498">
        <f t="shared" si="0"/>
        <v>-0.12358752119727601</v>
      </c>
      <c r="D37" s="498">
        <f t="shared" si="0"/>
        <v>-7.6190476190476142E-2</v>
      </c>
      <c r="E37" s="497">
        <f t="shared" si="0"/>
        <v>-3.669724770642202E-2</v>
      </c>
    </row>
    <row r="38" spans="1:8" x14ac:dyDescent="0.25">
      <c r="A38" s="1912" t="s">
        <v>114</v>
      </c>
      <c r="B38" s="1913"/>
      <c r="C38" s="1913"/>
      <c r="D38" s="1913"/>
      <c r="E38" s="1914"/>
    </row>
    <row r="39" spans="1:8" ht="26.25" customHeight="1" x14ac:dyDescent="0.25">
      <c r="A39" s="1893"/>
      <c r="B39" s="493">
        <v>2018</v>
      </c>
      <c r="C39" s="493">
        <v>2019</v>
      </c>
      <c r="D39" s="493">
        <v>2020</v>
      </c>
      <c r="E39" s="492">
        <v>2021</v>
      </c>
    </row>
    <row r="40" spans="1:8" ht="27" customHeight="1" x14ac:dyDescent="0.25">
      <c r="A40" s="1893"/>
      <c r="B40" s="493" t="s">
        <v>10</v>
      </c>
      <c r="C40" s="493" t="s">
        <v>11</v>
      </c>
      <c r="D40" s="493" t="s">
        <v>11</v>
      </c>
      <c r="E40" s="492" t="s">
        <v>11</v>
      </c>
    </row>
    <row r="41" spans="1:8" x14ac:dyDescent="0.25">
      <c r="A41" s="474" t="s">
        <v>26</v>
      </c>
      <c r="B41" s="473">
        <f>34500*70%</f>
        <v>24150</v>
      </c>
      <c r="C41" s="473">
        <f>34500*70%</f>
        <v>24150</v>
      </c>
      <c r="D41" s="473">
        <f>34500*70%</f>
        <v>24150</v>
      </c>
      <c r="E41" s="472">
        <f>34500*70%</f>
        <v>24150</v>
      </c>
    </row>
    <row r="42" spans="1:8" ht="47.25" x14ac:dyDescent="0.25">
      <c r="A42" s="481" t="s">
        <v>27</v>
      </c>
      <c r="B42" s="480"/>
      <c r="C42" s="512"/>
      <c r="D42" s="512"/>
      <c r="E42" s="511"/>
    </row>
    <row r="43" spans="1:8" ht="47.25" x14ac:dyDescent="0.25">
      <c r="A43" s="481" t="s">
        <v>1279</v>
      </c>
      <c r="B43" s="480"/>
      <c r="C43" s="512"/>
      <c r="D43" s="512"/>
      <c r="E43" s="511"/>
    </row>
    <row r="44" spans="1:8" ht="31.5" x14ac:dyDescent="0.25">
      <c r="A44" s="474" t="s">
        <v>28</v>
      </c>
      <c r="B44" s="473">
        <f>5850*70%</f>
        <v>4094.9999999999995</v>
      </c>
      <c r="C44" s="473">
        <f>5850*70%</f>
        <v>4094.9999999999995</v>
      </c>
      <c r="D44" s="473">
        <f>5850*70%</f>
        <v>4094.9999999999995</v>
      </c>
      <c r="E44" s="472">
        <f>5850*70%</f>
        <v>4094.9999999999995</v>
      </c>
    </row>
    <row r="45" spans="1:8" ht="61.5" customHeight="1" x14ac:dyDescent="0.25">
      <c r="A45" s="481" t="s">
        <v>29</v>
      </c>
      <c r="B45" s="480"/>
      <c r="C45" s="506"/>
      <c r="D45" s="506"/>
      <c r="E45" s="505"/>
      <c r="H45" s="468">
        <f>(87-84)/84</f>
        <v>3.5714285714285712E-2</v>
      </c>
    </row>
    <row r="46" spans="1:8" ht="65.25" customHeight="1" x14ac:dyDescent="0.25">
      <c r="A46" s="481" t="s">
        <v>1278</v>
      </c>
      <c r="B46" s="480"/>
      <c r="C46" s="506"/>
      <c r="D46" s="506"/>
      <c r="E46" s="505"/>
    </row>
    <row r="47" spans="1:8" x14ac:dyDescent="0.25">
      <c r="A47" s="474" t="s">
        <v>30</v>
      </c>
      <c r="B47" s="480">
        <f>12830*70%</f>
        <v>8981</v>
      </c>
      <c r="C47" s="506">
        <f>13476*70%</f>
        <v>9433.1999999999989</v>
      </c>
      <c r="D47" s="506">
        <f>13476*70%</f>
        <v>9433.1999999999989</v>
      </c>
      <c r="E47" s="505">
        <f>13476*70%</f>
        <v>9433.1999999999989</v>
      </c>
    </row>
    <row r="48" spans="1:8" ht="63" x14ac:dyDescent="0.25">
      <c r="A48" s="481" t="s">
        <v>31</v>
      </c>
      <c r="B48" s="480"/>
      <c r="C48" s="506"/>
      <c r="D48" s="506"/>
      <c r="E48" s="505"/>
    </row>
    <row r="49" spans="1:5" ht="63" x14ac:dyDescent="0.25">
      <c r="A49" s="481" t="s">
        <v>1277</v>
      </c>
      <c r="B49" s="480"/>
      <c r="C49" s="506"/>
      <c r="D49" s="506"/>
      <c r="E49" s="505"/>
    </row>
    <row r="50" spans="1:5" x14ac:dyDescent="0.25">
      <c r="A50" s="474" t="s">
        <v>36</v>
      </c>
      <c r="B50" s="480">
        <f>200*70%</f>
        <v>140</v>
      </c>
      <c r="C50" s="480">
        <f>200*70%</f>
        <v>140</v>
      </c>
      <c r="D50" s="480">
        <v>140</v>
      </c>
      <c r="E50" s="490">
        <f>200*70%</f>
        <v>140</v>
      </c>
    </row>
    <row r="51" spans="1:5" ht="26.25" customHeight="1" x14ac:dyDescent="0.25">
      <c r="A51" s="481" t="s">
        <v>37</v>
      </c>
      <c r="B51" s="480"/>
      <c r="C51" s="506"/>
      <c r="D51" s="506"/>
      <c r="E51" s="505"/>
    </row>
    <row r="52" spans="1:5" ht="43.5" customHeight="1" x14ac:dyDescent="0.25">
      <c r="A52" s="481" t="s">
        <v>1276</v>
      </c>
      <c r="B52" s="480"/>
      <c r="C52" s="506"/>
      <c r="D52" s="506"/>
      <c r="E52" s="505"/>
    </row>
    <row r="53" spans="1:5" ht="31.5" x14ac:dyDescent="0.25">
      <c r="A53" s="474" t="s">
        <v>38</v>
      </c>
      <c r="B53" s="480">
        <f>240*70%</f>
        <v>168</v>
      </c>
      <c r="C53" s="480">
        <f>240*70%</f>
        <v>168</v>
      </c>
      <c r="D53" s="480">
        <v>168</v>
      </c>
      <c r="E53" s="490">
        <f>240*70%</f>
        <v>168</v>
      </c>
    </row>
    <row r="54" spans="1:5" ht="63" x14ac:dyDescent="0.25">
      <c r="A54" s="481" t="s">
        <v>39</v>
      </c>
      <c r="B54" s="480"/>
      <c r="C54" s="506"/>
      <c r="D54" s="506"/>
      <c r="E54" s="505"/>
    </row>
    <row r="55" spans="1:5" ht="63" x14ac:dyDescent="0.25">
      <c r="A55" s="481" t="s">
        <v>1275</v>
      </c>
      <c r="B55" s="480"/>
      <c r="C55" s="506"/>
      <c r="D55" s="506"/>
      <c r="E55" s="505"/>
    </row>
    <row r="56" spans="1:5" x14ac:dyDescent="0.25">
      <c r="A56" s="496" t="s">
        <v>40</v>
      </c>
      <c r="B56" s="480">
        <f>B53+B50+B47+B44+B41</f>
        <v>37534</v>
      </c>
      <c r="C56" s="480">
        <f>C53+C50+C47+C44+C41</f>
        <v>37986.199999999997</v>
      </c>
      <c r="D56" s="480">
        <f>D53+D50+D47+D44+D41</f>
        <v>37986.199999999997</v>
      </c>
      <c r="E56" s="490">
        <f>E53+E50+E47+E44+E41</f>
        <v>37986.199999999997</v>
      </c>
    </row>
    <row r="57" spans="1:5" x14ac:dyDescent="0.25">
      <c r="A57" s="1909" t="s">
        <v>1274</v>
      </c>
      <c r="B57" s="1936" t="s">
        <v>1273</v>
      </c>
      <c r="C57" s="1936"/>
      <c r="D57" s="1936"/>
      <c r="E57" s="1937"/>
    </row>
    <row r="58" spans="1:5" x14ac:dyDescent="0.25">
      <c r="A58" s="1909"/>
      <c r="B58" s="1936"/>
      <c r="C58" s="1936"/>
      <c r="D58" s="1936"/>
      <c r="E58" s="1937"/>
    </row>
    <row r="59" spans="1:5" x14ac:dyDescent="0.25">
      <c r="A59" s="1909"/>
      <c r="B59" s="1936"/>
      <c r="C59" s="1936"/>
      <c r="D59" s="1936"/>
      <c r="E59" s="1937"/>
    </row>
    <row r="60" spans="1:5" x14ac:dyDescent="0.25">
      <c r="A60" s="477" t="s">
        <v>41</v>
      </c>
      <c r="B60" s="476">
        <f>IF(B56-B33=0,0,"Error")</f>
        <v>0</v>
      </c>
      <c r="C60" s="476">
        <f>IF(C56-C33=0,0,"Error")</f>
        <v>0</v>
      </c>
      <c r="D60" s="476">
        <f>IF(D56-D33=0,0,"Error")</f>
        <v>0</v>
      </c>
      <c r="E60" s="475">
        <f>IF(E56-E33=0,0,"Error")</f>
        <v>0</v>
      </c>
    </row>
    <row r="61" spans="1:5" x14ac:dyDescent="0.25">
      <c r="A61" s="510"/>
      <c r="B61" s="509"/>
      <c r="C61" s="509"/>
      <c r="D61" s="509"/>
      <c r="E61" s="508"/>
    </row>
    <row r="62" spans="1:5" x14ac:dyDescent="0.25">
      <c r="A62" s="507" t="s">
        <v>121</v>
      </c>
      <c r="B62" s="1939" t="s">
        <v>1268</v>
      </c>
      <c r="C62" s="1939"/>
      <c r="D62" s="1939"/>
      <c r="E62" s="1940"/>
    </row>
    <row r="63" spans="1:5" x14ac:dyDescent="0.25">
      <c r="A63" s="499" t="s">
        <v>17</v>
      </c>
      <c r="B63" s="1936" t="s">
        <v>1272</v>
      </c>
      <c r="C63" s="1936"/>
      <c r="D63" s="1936"/>
      <c r="E63" s="1937"/>
    </row>
    <row r="64" spans="1:5" x14ac:dyDescent="0.25">
      <c r="A64" s="499" t="s">
        <v>18</v>
      </c>
      <c r="B64" s="1910" t="s">
        <v>1266</v>
      </c>
      <c r="C64" s="1910"/>
      <c r="D64" s="1910"/>
      <c r="E64" s="1911"/>
    </row>
    <row r="65" spans="1:5" ht="13.5" customHeight="1" x14ac:dyDescent="0.25">
      <c r="A65" s="1893"/>
      <c r="B65" s="493">
        <v>2018</v>
      </c>
      <c r="C65" s="493">
        <v>2019</v>
      </c>
      <c r="D65" s="493">
        <v>2020</v>
      </c>
      <c r="E65" s="492">
        <v>2021</v>
      </c>
    </row>
    <row r="66" spans="1:5" ht="16.5" customHeight="1" x14ac:dyDescent="0.25">
      <c r="A66" s="1893"/>
      <c r="B66" s="493" t="s">
        <v>10</v>
      </c>
      <c r="C66" s="493" t="s">
        <v>11</v>
      </c>
      <c r="D66" s="493" t="s">
        <v>11</v>
      </c>
      <c r="E66" s="492" t="s">
        <v>11</v>
      </c>
    </row>
    <row r="67" spans="1:5" x14ac:dyDescent="0.25">
      <c r="A67" s="499" t="s">
        <v>19</v>
      </c>
      <c r="B67" s="495">
        <v>100</v>
      </c>
      <c r="C67" s="495">
        <v>100</v>
      </c>
      <c r="D67" s="495">
        <v>100</v>
      </c>
      <c r="E67" s="494">
        <v>100</v>
      </c>
    </row>
    <row r="68" spans="1:5" x14ac:dyDescent="0.25">
      <c r="A68" s="499" t="s">
        <v>20</v>
      </c>
      <c r="B68" s="495">
        <f>53620*30%</f>
        <v>16086</v>
      </c>
      <c r="C68" s="495">
        <f>54266*30%</f>
        <v>16279.8</v>
      </c>
      <c r="D68" s="495">
        <f>54266*30%</f>
        <v>16279.8</v>
      </c>
      <c r="E68" s="494">
        <f>54266*30%</f>
        <v>16279.8</v>
      </c>
    </row>
    <row r="69" spans="1:5" x14ac:dyDescent="0.25">
      <c r="A69" s="499" t="s">
        <v>21</v>
      </c>
      <c r="B69" s="495">
        <f>B68/B67</f>
        <v>160.86000000000001</v>
      </c>
      <c r="C69" s="495">
        <f>C68/C67</f>
        <v>162.798</v>
      </c>
      <c r="D69" s="495">
        <f>D68/D67</f>
        <v>162.798</v>
      </c>
      <c r="E69" s="494">
        <f>E68/E67</f>
        <v>162.798</v>
      </c>
    </row>
    <row r="70" spans="1:5" x14ac:dyDescent="0.25">
      <c r="A70" s="499" t="s">
        <v>22</v>
      </c>
      <c r="B70" s="493"/>
      <c r="C70" s="498">
        <f t="shared" ref="C70:E72" si="1">C67/B67-1</f>
        <v>0</v>
      </c>
      <c r="D70" s="498">
        <f t="shared" si="1"/>
        <v>0</v>
      </c>
      <c r="E70" s="497">
        <f t="shared" si="1"/>
        <v>0</v>
      </c>
    </row>
    <row r="71" spans="1:5" x14ac:dyDescent="0.25">
      <c r="A71" s="499" t="s">
        <v>24</v>
      </c>
      <c r="B71" s="493"/>
      <c r="C71" s="498">
        <f t="shared" si="1"/>
        <v>1.2047743379336007E-2</v>
      </c>
      <c r="D71" s="498">
        <f t="shared" si="1"/>
        <v>0</v>
      </c>
      <c r="E71" s="497">
        <f t="shared" si="1"/>
        <v>0</v>
      </c>
    </row>
    <row r="72" spans="1:5" x14ac:dyDescent="0.25">
      <c r="A72" s="499" t="s">
        <v>25</v>
      </c>
      <c r="B72" s="493"/>
      <c r="C72" s="498">
        <f t="shared" si="1"/>
        <v>1.2047743379336007E-2</v>
      </c>
      <c r="D72" s="498">
        <f t="shared" si="1"/>
        <v>0</v>
      </c>
      <c r="E72" s="497">
        <f t="shared" si="1"/>
        <v>0</v>
      </c>
    </row>
    <row r="73" spans="1:5" ht="24.75" customHeight="1" x14ac:dyDescent="0.25">
      <c r="A73" s="1912" t="s">
        <v>568</v>
      </c>
      <c r="B73" s="1913"/>
      <c r="C73" s="1913"/>
      <c r="D73" s="1913"/>
      <c r="E73" s="1914"/>
    </row>
    <row r="74" spans="1:5" ht="12.75" customHeight="1" x14ac:dyDescent="0.25">
      <c r="A74" s="1893"/>
      <c r="B74" s="493">
        <v>2018</v>
      </c>
      <c r="C74" s="493">
        <v>2019</v>
      </c>
      <c r="D74" s="493">
        <v>2020</v>
      </c>
      <c r="E74" s="492">
        <v>2021</v>
      </c>
    </row>
    <row r="75" spans="1:5" ht="19.5" customHeight="1" x14ac:dyDescent="0.25">
      <c r="A75" s="1893"/>
      <c r="B75" s="493" t="s">
        <v>10</v>
      </c>
      <c r="C75" s="493" t="s">
        <v>11</v>
      </c>
      <c r="D75" s="493" t="s">
        <v>11</v>
      </c>
      <c r="E75" s="492" t="s">
        <v>11</v>
      </c>
    </row>
    <row r="76" spans="1:5" ht="24.75" customHeight="1" x14ac:dyDescent="0.25">
      <c r="A76" s="474" t="s">
        <v>26</v>
      </c>
      <c r="B76" s="473">
        <f>34500*30%</f>
        <v>10350</v>
      </c>
      <c r="C76" s="473">
        <f>34500*30%</f>
        <v>10350</v>
      </c>
      <c r="D76" s="473">
        <f>34500*30%</f>
        <v>10350</v>
      </c>
      <c r="E76" s="472">
        <f>34500*30%</f>
        <v>10350</v>
      </c>
    </row>
    <row r="77" spans="1:5" ht="43.5" customHeight="1" x14ac:dyDescent="0.25">
      <c r="A77" s="481" t="s">
        <v>27</v>
      </c>
      <c r="B77" s="480"/>
      <c r="C77" s="506"/>
      <c r="D77" s="506"/>
      <c r="E77" s="505"/>
    </row>
    <row r="78" spans="1:5" ht="29.25" customHeight="1" x14ac:dyDescent="0.25">
      <c r="A78" s="481" t="s">
        <v>45</v>
      </c>
      <c r="B78" s="480"/>
      <c r="C78" s="506"/>
      <c r="D78" s="506"/>
      <c r="E78" s="505"/>
    </row>
    <row r="79" spans="1:5" ht="26.25" customHeight="1" x14ac:dyDescent="0.25">
      <c r="A79" s="474" t="s">
        <v>28</v>
      </c>
      <c r="B79" s="473">
        <f>5850*30%</f>
        <v>1755</v>
      </c>
      <c r="C79" s="473">
        <f>5850*30%</f>
        <v>1755</v>
      </c>
      <c r="D79" s="473">
        <f>5850*30%</f>
        <v>1755</v>
      </c>
      <c r="E79" s="472">
        <f>5850*30%</f>
        <v>1755</v>
      </c>
    </row>
    <row r="80" spans="1:5" ht="45.75" customHeight="1" x14ac:dyDescent="0.25">
      <c r="A80" s="481" t="s">
        <v>29</v>
      </c>
      <c r="B80" s="480"/>
      <c r="C80" s="506"/>
      <c r="D80" s="506"/>
      <c r="E80" s="505"/>
    </row>
    <row r="81" spans="1:5" ht="42" customHeight="1" x14ac:dyDescent="0.25">
      <c r="A81" s="481" t="s">
        <v>46</v>
      </c>
      <c r="B81" s="480"/>
      <c r="C81" s="506"/>
      <c r="D81" s="506"/>
      <c r="E81" s="505"/>
    </row>
    <row r="82" spans="1:5" ht="24.75" customHeight="1" x14ac:dyDescent="0.25">
      <c r="A82" s="474" t="s">
        <v>30</v>
      </c>
      <c r="B82" s="480">
        <f>12830*30%</f>
        <v>3849</v>
      </c>
      <c r="C82" s="480">
        <f>13476*30%</f>
        <v>4042.7999999999997</v>
      </c>
      <c r="D82" s="480">
        <f>13476*30%</f>
        <v>4042.7999999999997</v>
      </c>
      <c r="E82" s="490">
        <f>13476*30%</f>
        <v>4042.7999999999997</v>
      </c>
    </row>
    <row r="83" spans="1:5" ht="63" x14ac:dyDescent="0.25">
      <c r="A83" s="481" t="s">
        <v>31</v>
      </c>
      <c r="B83" s="480"/>
      <c r="C83" s="506"/>
      <c r="D83" s="506"/>
      <c r="E83" s="505"/>
    </row>
    <row r="84" spans="1:5" ht="63" x14ac:dyDescent="0.25">
      <c r="A84" s="481" t="s">
        <v>47</v>
      </c>
      <c r="B84" s="480"/>
      <c r="C84" s="506"/>
      <c r="D84" s="506"/>
      <c r="E84" s="505"/>
    </row>
    <row r="85" spans="1:5" ht="18" customHeight="1" x14ac:dyDescent="0.25">
      <c r="A85" s="474" t="s">
        <v>36</v>
      </c>
      <c r="B85" s="480">
        <f>200*30%</f>
        <v>60</v>
      </c>
      <c r="C85" s="480">
        <f>200*30%</f>
        <v>60</v>
      </c>
      <c r="D85" s="480">
        <f>200*30%</f>
        <v>60</v>
      </c>
      <c r="E85" s="490">
        <f>200*30%</f>
        <v>60</v>
      </c>
    </row>
    <row r="86" spans="1:5" ht="63" x14ac:dyDescent="0.25">
      <c r="A86" s="481" t="s">
        <v>37</v>
      </c>
      <c r="B86" s="480"/>
      <c r="C86" s="506"/>
      <c r="D86" s="506"/>
      <c r="E86" s="505"/>
    </row>
    <row r="87" spans="1:5" ht="63" x14ac:dyDescent="0.25">
      <c r="A87" s="481" t="s">
        <v>50</v>
      </c>
      <c r="B87" s="480"/>
      <c r="C87" s="506"/>
      <c r="D87" s="506"/>
      <c r="E87" s="505"/>
    </row>
    <row r="88" spans="1:5" ht="31.5" x14ac:dyDescent="0.25">
      <c r="A88" s="474" t="s">
        <v>38</v>
      </c>
      <c r="B88" s="480">
        <f>240*30%</f>
        <v>72</v>
      </c>
      <c r="C88" s="480">
        <f>240*30%</f>
        <v>72</v>
      </c>
      <c r="D88" s="480">
        <f>240*30%</f>
        <v>72</v>
      </c>
      <c r="E88" s="490">
        <f>240*30%</f>
        <v>72</v>
      </c>
    </row>
    <row r="89" spans="1:5" ht="55.5" customHeight="1" x14ac:dyDescent="0.25">
      <c r="A89" s="481" t="s">
        <v>39</v>
      </c>
      <c r="B89" s="480"/>
      <c r="C89" s="506"/>
      <c r="D89" s="506"/>
      <c r="E89" s="505"/>
    </row>
    <row r="90" spans="1:5" ht="63" x14ac:dyDescent="0.25">
      <c r="A90" s="481" t="s">
        <v>51</v>
      </c>
      <c r="B90" s="480"/>
      <c r="C90" s="506"/>
      <c r="D90" s="506"/>
      <c r="E90" s="505"/>
    </row>
    <row r="91" spans="1:5" x14ac:dyDescent="0.25">
      <c r="A91" s="504" t="s">
        <v>43</v>
      </c>
      <c r="B91" s="480">
        <f>B88+B85+B82+B79+B76</f>
        <v>16086</v>
      </c>
      <c r="C91" s="480">
        <f>C88+C85+C82+C79+C76</f>
        <v>16279.8</v>
      </c>
      <c r="D91" s="480">
        <f>D88+D85+D82+D79+D76</f>
        <v>16279.8</v>
      </c>
      <c r="E91" s="490">
        <f>E88+E85+E82+E79+E76</f>
        <v>16279.8</v>
      </c>
    </row>
    <row r="92" spans="1:5" x14ac:dyDescent="0.25">
      <c r="A92" s="1909" t="s">
        <v>341</v>
      </c>
      <c r="B92" s="1936"/>
      <c r="C92" s="1936"/>
      <c r="D92" s="1936"/>
      <c r="E92" s="1937"/>
    </row>
    <row r="93" spans="1:5" x14ac:dyDescent="0.25">
      <c r="A93" s="1909"/>
      <c r="B93" s="1936"/>
      <c r="C93" s="1936"/>
      <c r="D93" s="1936"/>
      <c r="E93" s="1937"/>
    </row>
    <row r="94" spans="1:5" ht="18" customHeight="1" x14ac:dyDescent="0.25">
      <c r="A94" s="1909"/>
      <c r="B94" s="1936"/>
      <c r="C94" s="1936"/>
      <c r="D94" s="1936"/>
      <c r="E94" s="1937"/>
    </row>
    <row r="95" spans="1:5" ht="17.25" customHeight="1" x14ac:dyDescent="0.25">
      <c r="A95" s="503" t="s">
        <v>41</v>
      </c>
      <c r="B95" s="476">
        <f>IF(B91-B68=0,0,"Error")</f>
        <v>0</v>
      </c>
      <c r="C95" s="476">
        <f>IF(C91-C68=0,0,"Error")</f>
        <v>0</v>
      </c>
      <c r="D95" s="476">
        <v>0</v>
      </c>
      <c r="E95" s="475">
        <f>IF(E91-E68=0,0,"Error")</f>
        <v>0</v>
      </c>
    </row>
    <row r="96" spans="1:5" x14ac:dyDescent="0.25">
      <c r="A96" s="1938" t="s">
        <v>55</v>
      </c>
      <c r="B96" s="1934"/>
      <c r="C96" s="1934"/>
      <c r="D96" s="1934"/>
      <c r="E96" s="1935"/>
    </row>
    <row r="97" spans="1:6" x14ac:dyDescent="0.25">
      <c r="A97" s="1938" t="s">
        <v>56</v>
      </c>
      <c r="B97" s="1934"/>
      <c r="C97" s="1934"/>
      <c r="D97" s="1934"/>
      <c r="E97" s="1935"/>
    </row>
    <row r="98" spans="1:6" ht="31.5" x14ac:dyDescent="0.25">
      <c r="A98" s="502" t="s">
        <v>79</v>
      </c>
      <c r="B98" s="1932" t="s">
        <v>124</v>
      </c>
      <c r="C98" s="1932"/>
      <c r="D98" s="1932"/>
      <c r="E98" s="1933"/>
    </row>
    <row r="99" spans="1:6" x14ac:dyDescent="0.25">
      <c r="A99" s="501" t="s">
        <v>16</v>
      </c>
      <c r="B99" s="1939" t="s">
        <v>1271</v>
      </c>
      <c r="C99" s="1939"/>
      <c r="D99" s="1939"/>
      <c r="E99" s="1940"/>
    </row>
    <row r="100" spans="1:6" ht="17.25" customHeight="1" x14ac:dyDescent="0.25">
      <c r="A100" s="499" t="s">
        <v>17</v>
      </c>
      <c r="B100" s="1936" t="s">
        <v>1270</v>
      </c>
      <c r="C100" s="1936"/>
      <c r="D100" s="1936"/>
      <c r="E100" s="1937"/>
    </row>
    <row r="101" spans="1:6" x14ac:dyDescent="0.25">
      <c r="A101" s="499" t="s">
        <v>18</v>
      </c>
      <c r="B101" s="1941" t="s">
        <v>1269</v>
      </c>
      <c r="C101" s="1941"/>
      <c r="D101" s="1941"/>
      <c r="E101" s="1942"/>
    </row>
    <row r="102" spans="1:6" ht="12.75" customHeight="1" x14ac:dyDescent="0.25">
      <c r="A102" s="1893"/>
      <c r="B102" s="493">
        <v>2018</v>
      </c>
      <c r="C102" s="493">
        <v>2019</v>
      </c>
      <c r="D102" s="493">
        <v>2020</v>
      </c>
      <c r="E102" s="492">
        <v>2021</v>
      </c>
    </row>
    <row r="103" spans="1:6" ht="15.75" customHeight="1" x14ac:dyDescent="0.25">
      <c r="A103" s="1893"/>
      <c r="B103" s="493" t="s">
        <v>10</v>
      </c>
      <c r="C103" s="493" t="s">
        <v>11</v>
      </c>
      <c r="D103" s="493" t="s">
        <v>11</v>
      </c>
      <c r="E103" s="492" t="s">
        <v>11</v>
      </c>
    </row>
    <row r="104" spans="1:6" x14ac:dyDescent="0.25">
      <c r="A104" s="499" t="s">
        <v>19</v>
      </c>
      <c r="B104" s="495">
        <v>84</v>
      </c>
      <c r="C104" s="495">
        <f>97</f>
        <v>97</v>
      </c>
      <c r="D104" s="495">
        <v>105</v>
      </c>
      <c r="E104" s="494">
        <v>109</v>
      </c>
    </row>
    <row r="105" spans="1:6" x14ac:dyDescent="0.25">
      <c r="A105" s="499" t="s">
        <v>20</v>
      </c>
      <c r="B105" s="495">
        <f>4000*70%</f>
        <v>2800</v>
      </c>
      <c r="C105" s="495">
        <f>2000*70%</f>
        <v>1400</v>
      </c>
      <c r="D105" s="495">
        <f>2000*70%</f>
        <v>1400</v>
      </c>
      <c r="E105" s="494">
        <f>2000*70%</f>
        <v>1400</v>
      </c>
    </row>
    <row r="106" spans="1:6" x14ac:dyDescent="0.25">
      <c r="A106" s="499" t="s">
        <v>21</v>
      </c>
      <c r="B106" s="495">
        <f>B105/B104</f>
        <v>33.333333333333336</v>
      </c>
      <c r="C106" s="495">
        <f>C105/C104</f>
        <v>14.43298969072165</v>
      </c>
      <c r="D106" s="495">
        <f>D105/D104</f>
        <v>13.333333333333334</v>
      </c>
      <c r="E106" s="494">
        <f>E105/E104</f>
        <v>12.844036697247706</v>
      </c>
    </row>
    <row r="107" spans="1:6" x14ac:dyDescent="0.25">
      <c r="A107" s="499" t="s">
        <v>22</v>
      </c>
      <c r="B107" s="493" t="s">
        <v>23</v>
      </c>
      <c r="C107" s="498">
        <f t="shared" ref="C107:E109" si="2">C104/B104-1</f>
        <v>0.15476190476190466</v>
      </c>
      <c r="D107" s="498">
        <f t="shared" si="2"/>
        <v>8.247422680412364E-2</v>
      </c>
      <c r="E107" s="497">
        <f t="shared" si="2"/>
        <v>3.8095238095238182E-2</v>
      </c>
      <c r="F107" s="500"/>
    </row>
    <row r="108" spans="1:6" x14ac:dyDescent="0.25">
      <c r="A108" s="499" t="s">
        <v>24</v>
      </c>
      <c r="B108" s="493" t="s">
        <v>23</v>
      </c>
      <c r="C108" s="498">
        <f t="shared" si="2"/>
        <v>-0.5</v>
      </c>
      <c r="D108" s="498">
        <f t="shared" si="2"/>
        <v>0</v>
      </c>
      <c r="E108" s="497">
        <f t="shared" si="2"/>
        <v>0</v>
      </c>
    </row>
    <row r="109" spans="1:6" x14ac:dyDescent="0.25">
      <c r="A109" s="499" t="s">
        <v>25</v>
      </c>
      <c r="B109" s="493" t="s">
        <v>23</v>
      </c>
      <c r="C109" s="498">
        <f t="shared" si="2"/>
        <v>-0.5670103092783505</v>
      </c>
      <c r="D109" s="498">
        <f t="shared" si="2"/>
        <v>-7.6190476190476142E-2</v>
      </c>
      <c r="E109" s="497">
        <f t="shared" si="2"/>
        <v>-3.6697247706422131E-2</v>
      </c>
    </row>
    <row r="110" spans="1:6" x14ac:dyDescent="0.25">
      <c r="A110" s="1912" t="s">
        <v>114</v>
      </c>
      <c r="B110" s="1913"/>
      <c r="C110" s="1913"/>
      <c r="D110" s="1913"/>
      <c r="E110" s="1914"/>
    </row>
    <row r="111" spans="1:6" ht="19.5" customHeight="1" x14ac:dyDescent="0.25">
      <c r="A111" s="1893"/>
      <c r="B111" s="493">
        <v>2018</v>
      </c>
      <c r="C111" s="493">
        <v>2019</v>
      </c>
      <c r="D111" s="493">
        <v>2020</v>
      </c>
      <c r="E111" s="492">
        <v>2021</v>
      </c>
    </row>
    <row r="112" spans="1:6" ht="15.75" customHeight="1" x14ac:dyDescent="0.25">
      <c r="A112" s="1893"/>
      <c r="B112" s="493" t="s">
        <v>10</v>
      </c>
      <c r="C112" s="493" t="s">
        <v>11</v>
      </c>
      <c r="D112" s="493" t="s">
        <v>11</v>
      </c>
      <c r="E112" s="492" t="s">
        <v>11</v>
      </c>
    </row>
    <row r="113" spans="1:6" x14ac:dyDescent="0.25">
      <c r="A113" s="474" t="s">
        <v>58</v>
      </c>
      <c r="B113" s="473"/>
      <c r="C113" s="473"/>
      <c r="D113" s="473"/>
      <c r="E113" s="472"/>
    </row>
    <row r="114" spans="1:6" x14ac:dyDescent="0.25">
      <c r="A114" s="474" t="s">
        <v>59</v>
      </c>
      <c r="B114" s="495">
        <f>4000*70%</f>
        <v>2800</v>
      </c>
      <c r="C114" s="495">
        <f>2000*70%</f>
        <v>1400</v>
      </c>
      <c r="D114" s="495">
        <f>2000*70%</f>
        <v>1400</v>
      </c>
      <c r="E114" s="494">
        <f>2000*70%</f>
        <v>1400</v>
      </c>
    </row>
    <row r="115" spans="1:6" x14ac:dyDescent="0.25">
      <c r="A115" s="496" t="s">
        <v>40</v>
      </c>
      <c r="B115" s="480">
        <f>B114+B113</f>
        <v>2800</v>
      </c>
      <c r="C115" s="480">
        <f>C114+C113</f>
        <v>1400</v>
      </c>
      <c r="D115" s="480">
        <f>D114+D113</f>
        <v>1400</v>
      </c>
      <c r="E115" s="490">
        <f>E114+E113</f>
        <v>1400</v>
      </c>
    </row>
    <row r="116" spans="1:6" x14ac:dyDescent="0.25">
      <c r="A116" s="1909" t="s">
        <v>60</v>
      </c>
      <c r="B116" s="1910"/>
      <c r="C116" s="1910"/>
      <c r="D116" s="1910"/>
      <c r="E116" s="1911"/>
    </row>
    <row r="117" spans="1:6" x14ac:dyDescent="0.25">
      <c r="A117" s="1909"/>
      <c r="B117" s="1910"/>
      <c r="C117" s="1910"/>
      <c r="D117" s="1910"/>
      <c r="E117" s="1911"/>
    </row>
    <row r="118" spans="1:6" ht="16.5" customHeight="1" x14ac:dyDescent="0.25">
      <c r="A118" s="1909"/>
      <c r="B118" s="1910"/>
      <c r="C118" s="1910"/>
      <c r="D118" s="1910"/>
      <c r="E118" s="1911"/>
    </row>
    <row r="119" spans="1:6" x14ac:dyDescent="0.25">
      <c r="A119" s="502" t="s">
        <v>61</v>
      </c>
      <c r="B119" s="1932" t="s">
        <v>124</v>
      </c>
      <c r="C119" s="1932"/>
      <c r="D119" s="1932"/>
      <c r="E119" s="1933"/>
    </row>
    <row r="120" spans="1:6" x14ac:dyDescent="0.25">
      <c r="A120" s="501" t="s">
        <v>121</v>
      </c>
      <c r="B120" s="1934" t="s">
        <v>1268</v>
      </c>
      <c r="C120" s="1934"/>
      <c r="D120" s="1934"/>
      <c r="E120" s="1935"/>
    </row>
    <row r="121" spans="1:6" ht="17.25" customHeight="1" x14ac:dyDescent="0.25">
      <c r="A121" s="499" t="s">
        <v>17</v>
      </c>
      <c r="B121" s="1936" t="s">
        <v>1267</v>
      </c>
      <c r="C121" s="1936"/>
      <c r="D121" s="1936"/>
      <c r="E121" s="1937"/>
    </row>
    <row r="122" spans="1:6" x14ac:dyDescent="0.25">
      <c r="A122" s="499" t="s">
        <v>18</v>
      </c>
      <c r="B122" s="1910" t="s">
        <v>1266</v>
      </c>
      <c r="C122" s="1910"/>
      <c r="D122" s="1910"/>
      <c r="E122" s="1911"/>
    </row>
    <row r="123" spans="1:6" ht="18" customHeight="1" x14ac:dyDescent="0.25">
      <c r="A123" s="1893"/>
      <c r="B123" s="493">
        <v>2018</v>
      </c>
      <c r="C123" s="493">
        <v>2019</v>
      </c>
      <c r="D123" s="493">
        <v>2020</v>
      </c>
      <c r="E123" s="492">
        <v>2021</v>
      </c>
    </row>
    <row r="124" spans="1:6" ht="41.25" customHeight="1" x14ac:dyDescent="0.25">
      <c r="A124" s="1893"/>
      <c r="B124" s="493" t="s">
        <v>10</v>
      </c>
      <c r="C124" s="493" t="s">
        <v>11</v>
      </c>
      <c r="D124" s="493" t="s">
        <v>11</v>
      </c>
      <c r="E124" s="492" t="s">
        <v>11</v>
      </c>
    </row>
    <row r="125" spans="1:6" x14ac:dyDescent="0.25">
      <c r="A125" s="499" t="s">
        <v>19</v>
      </c>
      <c r="B125" s="495">
        <v>100</v>
      </c>
      <c r="C125" s="495">
        <v>100</v>
      </c>
      <c r="D125" s="495">
        <v>100</v>
      </c>
      <c r="E125" s="494">
        <v>100</v>
      </c>
    </row>
    <row r="126" spans="1:6" x14ac:dyDescent="0.25">
      <c r="A126" s="499" t="s">
        <v>20</v>
      </c>
      <c r="B126" s="495">
        <v>1200</v>
      </c>
      <c r="C126" s="495">
        <v>600</v>
      </c>
      <c r="D126" s="495">
        <v>600</v>
      </c>
      <c r="E126" s="494">
        <v>600</v>
      </c>
    </row>
    <row r="127" spans="1:6" x14ac:dyDescent="0.25">
      <c r="A127" s="499" t="s">
        <v>21</v>
      </c>
      <c r="B127" s="495">
        <f>B126/B125</f>
        <v>12</v>
      </c>
      <c r="C127" s="495">
        <f>C126/C125</f>
        <v>6</v>
      </c>
      <c r="D127" s="495">
        <f>D126/D125</f>
        <v>6</v>
      </c>
      <c r="E127" s="494">
        <f>E126/E125</f>
        <v>6</v>
      </c>
    </row>
    <row r="128" spans="1:6" x14ac:dyDescent="0.25">
      <c r="A128" s="499" t="s">
        <v>22</v>
      </c>
      <c r="B128" s="493" t="s">
        <v>23</v>
      </c>
      <c r="C128" s="498">
        <f t="shared" ref="C128:E130" si="3">C125/B125-1</f>
        <v>0</v>
      </c>
      <c r="D128" s="498">
        <f t="shared" si="3"/>
        <v>0</v>
      </c>
      <c r="E128" s="497">
        <f t="shared" si="3"/>
        <v>0</v>
      </c>
      <c r="F128" s="500"/>
    </row>
    <row r="129" spans="1:5" x14ac:dyDescent="0.25">
      <c r="A129" s="499" t="s">
        <v>24</v>
      </c>
      <c r="B129" s="493" t="s">
        <v>23</v>
      </c>
      <c r="C129" s="498">
        <f t="shared" si="3"/>
        <v>-0.5</v>
      </c>
      <c r="D129" s="498">
        <f t="shared" si="3"/>
        <v>0</v>
      </c>
      <c r="E129" s="497">
        <f t="shared" si="3"/>
        <v>0</v>
      </c>
    </row>
    <row r="130" spans="1:5" x14ac:dyDescent="0.25">
      <c r="A130" s="499" t="s">
        <v>25</v>
      </c>
      <c r="B130" s="493" t="s">
        <v>23</v>
      </c>
      <c r="C130" s="498">
        <f t="shared" si="3"/>
        <v>-0.5</v>
      </c>
      <c r="D130" s="498">
        <f t="shared" si="3"/>
        <v>0</v>
      </c>
      <c r="E130" s="497">
        <f t="shared" si="3"/>
        <v>0</v>
      </c>
    </row>
    <row r="131" spans="1:5" ht="18.75" customHeight="1" x14ac:dyDescent="0.25">
      <c r="A131" s="1912" t="s">
        <v>568</v>
      </c>
      <c r="B131" s="1913"/>
      <c r="C131" s="1913"/>
      <c r="D131" s="1913"/>
      <c r="E131" s="1914"/>
    </row>
    <row r="132" spans="1:5" ht="12.75" customHeight="1" x14ac:dyDescent="0.25">
      <c r="A132" s="1893"/>
      <c r="B132" s="493">
        <v>2018</v>
      </c>
      <c r="C132" s="493">
        <v>2019</v>
      </c>
      <c r="D132" s="493">
        <v>2020</v>
      </c>
      <c r="E132" s="492">
        <v>2021</v>
      </c>
    </row>
    <row r="133" spans="1:5" ht="20.25" customHeight="1" x14ac:dyDescent="0.25">
      <c r="A133" s="1893"/>
      <c r="B133" s="493" t="s">
        <v>10</v>
      </c>
      <c r="C133" s="493" t="s">
        <v>11</v>
      </c>
      <c r="D133" s="493" t="s">
        <v>11</v>
      </c>
      <c r="E133" s="492" t="s">
        <v>11</v>
      </c>
    </row>
    <row r="134" spans="1:5" x14ac:dyDescent="0.25">
      <c r="A134" s="474" t="s">
        <v>58</v>
      </c>
      <c r="B134" s="473"/>
      <c r="C134" s="473"/>
      <c r="D134" s="473"/>
      <c r="E134" s="472"/>
    </row>
    <row r="135" spans="1:5" x14ac:dyDescent="0.25">
      <c r="A135" s="474" t="s">
        <v>59</v>
      </c>
      <c r="B135" s="480">
        <v>1200</v>
      </c>
      <c r="C135" s="480">
        <v>600</v>
      </c>
      <c r="D135" s="480">
        <v>600</v>
      </c>
      <c r="E135" s="490">
        <v>600</v>
      </c>
    </row>
    <row r="136" spans="1:5" x14ac:dyDescent="0.25">
      <c r="A136" s="496" t="s">
        <v>43</v>
      </c>
      <c r="B136" s="480">
        <f>B135+B134</f>
        <v>1200</v>
      </c>
      <c r="C136" s="480">
        <f>C135+C134</f>
        <v>600</v>
      </c>
      <c r="D136" s="480">
        <f>D135+D134</f>
        <v>600</v>
      </c>
      <c r="E136" s="490">
        <f>E135+E134</f>
        <v>600</v>
      </c>
    </row>
    <row r="137" spans="1:5" x14ac:dyDescent="0.25">
      <c r="A137" s="1909" t="s">
        <v>341</v>
      </c>
      <c r="B137" s="1910"/>
      <c r="C137" s="1910"/>
      <c r="D137" s="1910"/>
      <c r="E137" s="1911"/>
    </row>
    <row r="138" spans="1:5" x14ac:dyDescent="0.25">
      <c r="A138" s="1909"/>
      <c r="B138" s="1910"/>
      <c r="C138" s="1910"/>
      <c r="D138" s="1910"/>
      <c r="E138" s="1911"/>
    </row>
    <row r="139" spans="1:5" ht="25.5" customHeight="1" x14ac:dyDescent="0.25">
      <c r="A139" s="1909"/>
      <c r="B139" s="1910"/>
      <c r="C139" s="1910"/>
      <c r="D139" s="1910"/>
      <c r="E139" s="1911"/>
    </row>
    <row r="140" spans="1:5" hidden="1" outlineLevel="1" x14ac:dyDescent="0.25">
      <c r="A140" s="1890" t="s">
        <v>1265</v>
      </c>
      <c r="B140" s="1891"/>
      <c r="C140" s="1891"/>
      <c r="D140" s="1891"/>
      <c r="E140" s="1892"/>
    </row>
    <row r="141" spans="1:5" ht="12.75" hidden="1" customHeight="1" outlineLevel="1" x14ac:dyDescent="0.25">
      <c r="A141" s="1893"/>
      <c r="B141" s="493">
        <v>2018</v>
      </c>
      <c r="C141" s="493">
        <v>2019</v>
      </c>
      <c r="D141" s="493">
        <v>2020</v>
      </c>
      <c r="E141" s="492">
        <v>2021</v>
      </c>
    </row>
    <row r="142" spans="1:5" ht="12" hidden="1" customHeight="1" outlineLevel="1" thickBot="1" x14ac:dyDescent="0.3">
      <c r="A142" s="1893"/>
      <c r="B142" s="493" t="s">
        <v>10</v>
      </c>
      <c r="C142" s="493" t="s">
        <v>11</v>
      </c>
      <c r="D142" s="493" t="s">
        <v>11</v>
      </c>
      <c r="E142" s="492" t="s">
        <v>11</v>
      </c>
    </row>
    <row r="143" spans="1:5" hidden="1" outlineLevel="1" x14ac:dyDescent="0.25">
      <c r="A143" s="474" t="s">
        <v>58</v>
      </c>
      <c r="B143" s="473"/>
      <c r="C143" s="473"/>
      <c r="D143" s="473"/>
      <c r="E143" s="472"/>
    </row>
    <row r="144" spans="1:5" hidden="1" outlineLevel="1" x14ac:dyDescent="0.25">
      <c r="A144" s="474" t="s">
        <v>59</v>
      </c>
      <c r="B144" s="495"/>
      <c r="C144" s="495"/>
      <c r="D144" s="495"/>
      <c r="E144" s="494"/>
    </row>
    <row r="145" spans="1:5" hidden="1" outlineLevel="1" x14ac:dyDescent="0.25">
      <c r="A145" s="491" t="s">
        <v>40</v>
      </c>
      <c r="B145" s="480"/>
      <c r="C145" s="480"/>
      <c r="D145" s="480"/>
      <c r="E145" s="490"/>
    </row>
    <row r="146" spans="1:5" hidden="1" outlineLevel="1" x14ac:dyDescent="0.25">
      <c r="A146" s="1909" t="s">
        <v>60</v>
      </c>
      <c r="B146" s="1910"/>
      <c r="C146" s="1910"/>
      <c r="D146" s="1910"/>
      <c r="E146" s="1911"/>
    </row>
    <row r="147" spans="1:5" hidden="1" outlineLevel="1" x14ac:dyDescent="0.25">
      <c r="A147" s="1909"/>
      <c r="B147" s="1910"/>
      <c r="C147" s="1910"/>
      <c r="D147" s="1910"/>
      <c r="E147" s="1911"/>
    </row>
    <row r="148" spans="1:5" ht="8.25" hidden="1" customHeight="1" outlineLevel="1" thickBot="1" x14ac:dyDescent="0.3">
      <c r="A148" s="1909"/>
      <c r="B148" s="1910"/>
      <c r="C148" s="1910"/>
      <c r="D148" s="1910"/>
      <c r="E148" s="1911"/>
    </row>
    <row r="149" spans="1:5" ht="12.75" hidden="1" customHeight="1" outlineLevel="1" x14ac:dyDescent="0.25">
      <c r="A149" s="1893"/>
      <c r="B149" s="493">
        <v>2018</v>
      </c>
      <c r="C149" s="493">
        <v>2019</v>
      </c>
      <c r="D149" s="493">
        <v>2020</v>
      </c>
      <c r="E149" s="492">
        <v>2021</v>
      </c>
    </row>
    <row r="150" spans="1:5" ht="13.5" hidden="1" customHeight="1" outlineLevel="1" thickBot="1" x14ac:dyDescent="0.3">
      <c r="A150" s="1893"/>
      <c r="B150" s="493" t="s">
        <v>10</v>
      </c>
      <c r="C150" s="493" t="s">
        <v>11</v>
      </c>
      <c r="D150" s="493" t="s">
        <v>11</v>
      </c>
      <c r="E150" s="492" t="s">
        <v>11</v>
      </c>
    </row>
    <row r="151" spans="1:5" hidden="1" outlineLevel="1" x14ac:dyDescent="0.25">
      <c r="A151" s="474" t="s">
        <v>58</v>
      </c>
      <c r="B151" s="473"/>
      <c r="C151" s="473"/>
      <c r="D151" s="473"/>
      <c r="E151" s="472"/>
    </row>
    <row r="152" spans="1:5" hidden="1" outlineLevel="1" x14ac:dyDescent="0.25">
      <c r="A152" s="474" t="s">
        <v>59</v>
      </c>
      <c r="B152" s="480"/>
      <c r="C152" s="473"/>
      <c r="D152" s="473"/>
      <c r="E152" s="472"/>
    </row>
    <row r="153" spans="1:5" hidden="1" outlineLevel="1" x14ac:dyDescent="0.25">
      <c r="A153" s="491" t="s">
        <v>74</v>
      </c>
      <c r="B153" s="480">
        <f>B152+B151</f>
        <v>0</v>
      </c>
      <c r="C153" s="480">
        <f>C152+C151</f>
        <v>0</v>
      </c>
      <c r="D153" s="480">
        <f>D152+D151</f>
        <v>0</v>
      </c>
      <c r="E153" s="490">
        <f>E152+E151</f>
        <v>0</v>
      </c>
    </row>
    <row r="154" spans="1:5" ht="9.75" hidden="1" customHeight="1" outlineLevel="1" x14ac:dyDescent="0.25">
      <c r="A154" s="1909" t="s">
        <v>62</v>
      </c>
      <c r="B154" s="1910"/>
      <c r="C154" s="1910"/>
      <c r="D154" s="1910"/>
      <c r="E154" s="1911"/>
    </row>
    <row r="155" spans="1:5" hidden="1" outlineLevel="1" x14ac:dyDescent="0.25">
      <c r="A155" s="1909"/>
      <c r="B155" s="1910"/>
      <c r="C155" s="1910"/>
      <c r="D155" s="1910"/>
      <c r="E155" s="1911"/>
    </row>
    <row r="156" spans="1:5" hidden="1" outlineLevel="1" x14ac:dyDescent="0.25">
      <c r="A156" s="1909"/>
      <c r="B156" s="1910"/>
      <c r="C156" s="1910"/>
      <c r="D156" s="1910"/>
      <c r="E156" s="1911"/>
    </row>
    <row r="157" spans="1:5" ht="12.75" hidden="1" customHeight="1" outlineLevel="1" x14ac:dyDescent="0.25">
      <c r="A157" s="1893"/>
      <c r="B157" s="493">
        <v>2018</v>
      </c>
      <c r="C157" s="493">
        <v>2019</v>
      </c>
      <c r="D157" s="493">
        <v>2020</v>
      </c>
      <c r="E157" s="492">
        <v>2021</v>
      </c>
    </row>
    <row r="158" spans="1:5" ht="15.75" hidden="1" customHeight="1" outlineLevel="1" thickBot="1" x14ac:dyDescent="0.3">
      <c r="A158" s="1893"/>
      <c r="B158" s="493" t="s">
        <v>10</v>
      </c>
      <c r="C158" s="493" t="s">
        <v>11</v>
      </c>
      <c r="D158" s="493" t="s">
        <v>11</v>
      </c>
      <c r="E158" s="492" t="s">
        <v>11</v>
      </c>
    </row>
    <row r="159" spans="1:5" hidden="1" outlineLevel="1" x14ac:dyDescent="0.25">
      <c r="A159" s="474" t="s">
        <v>58</v>
      </c>
      <c r="B159" s="473"/>
      <c r="C159" s="473"/>
      <c r="D159" s="473"/>
      <c r="E159" s="472"/>
    </row>
    <row r="160" spans="1:5" hidden="1" outlineLevel="1" x14ac:dyDescent="0.25">
      <c r="A160" s="474" t="s">
        <v>59</v>
      </c>
      <c r="B160" s="480"/>
      <c r="C160" s="473"/>
      <c r="D160" s="473"/>
      <c r="E160" s="472"/>
    </row>
    <row r="161" spans="1:5" hidden="1" outlineLevel="1" x14ac:dyDescent="0.25">
      <c r="A161" s="491" t="s">
        <v>74</v>
      </c>
      <c r="B161" s="480">
        <f>B160+B159</f>
        <v>0</v>
      </c>
      <c r="C161" s="480">
        <f>C160+C159</f>
        <v>0</v>
      </c>
      <c r="D161" s="480">
        <f>D160+D159</f>
        <v>0</v>
      </c>
      <c r="E161" s="490">
        <f>E160+E159</f>
        <v>0</v>
      </c>
    </row>
    <row r="162" spans="1:5" ht="15" hidden="1" customHeight="1" outlineLevel="1" x14ac:dyDescent="0.25">
      <c r="A162" s="1909" t="s">
        <v>62</v>
      </c>
      <c r="B162" s="1910"/>
      <c r="C162" s="1910"/>
      <c r="D162" s="1910"/>
      <c r="E162" s="1911"/>
    </row>
    <row r="163" spans="1:5" hidden="1" outlineLevel="1" x14ac:dyDescent="0.25">
      <c r="A163" s="1909"/>
      <c r="B163" s="1910"/>
      <c r="C163" s="1910"/>
      <c r="D163" s="1910"/>
      <c r="E163" s="1911"/>
    </row>
    <row r="164" spans="1:5" ht="7.5" hidden="1" customHeight="1" outlineLevel="1" thickBot="1" x14ac:dyDescent="0.3">
      <c r="A164" s="1909"/>
      <c r="B164" s="1910"/>
      <c r="C164" s="1910"/>
      <c r="D164" s="1910"/>
      <c r="E164" s="1911"/>
    </row>
    <row r="165" spans="1:5" hidden="1" outlineLevel="1" x14ac:dyDescent="0.25">
      <c r="A165" s="1909" t="s">
        <v>62</v>
      </c>
      <c r="B165" s="1910"/>
      <c r="C165" s="1910"/>
      <c r="D165" s="1910"/>
      <c r="E165" s="1911"/>
    </row>
    <row r="166" spans="1:5" hidden="1" outlineLevel="1" x14ac:dyDescent="0.25">
      <c r="A166" s="1909"/>
      <c r="B166" s="1910"/>
      <c r="C166" s="1910"/>
      <c r="D166" s="1910"/>
      <c r="E166" s="1911"/>
    </row>
    <row r="167" spans="1:5" hidden="1" outlineLevel="1" x14ac:dyDescent="0.25">
      <c r="A167" s="1909"/>
      <c r="B167" s="1910"/>
      <c r="C167" s="1910"/>
      <c r="D167" s="1910"/>
      <c r="E167" s="1911"/>
    </row>
    <row r="168" spans="1:5" collapsed="1" x14ac:dyDescent="0.25">
      <c r="A168" s="489"/>
      <c r="B168" s="488"/>
      <c r="C168" s="488"/>
      <c r="D168" s="488"/>
      <c r="E168" s="487"/>
    </row>
    <row r="169" spans="1:5" ht="45" customHeight="1" x14ac:dyDescent="0.25">
      <c r="A169" s="486" t="s">
        <v>82</v>
      </c>
      <c r="B169" s="485">
        <f>B126+B105+B68+B33</f>
        <v>57620</v>
      </c>
      <c r="C169" s="485">
        <f>C126+C105+C68+C33</f>
        <v>56266</v>
      </c>
      <c r="D169" s="485">
        <f>D126+D105+D68+D33</f>
        <v>56266</v>
      </c>
      <c r="E169" s="484">
        <f>E126+E105+E68+E33</f>
        <v>56266</v>
      </c>
    </row>
    <row r="170" spans="1:5" ht="31.5" x14ac:dyDescent="0.25">
      <c r="A170" s="486" t="s">
        <v>83</v>
      </c>
      <c r="B170" s="485">
        <f>B172+B174+B176+B178+B180+B182</f>
        <v>57620</v>
      </c>
      <c r="C170" s="485">
        <f>C172+C174+C176+C178+C180+C182</f>
        <v>56266</v>
      </c>
      <c r="D170" s="485">
        <f>D172+D174+D176+D178+D180+D182</f>
        <v>56266</v>
      </c>
      <c r="E170" s="484">
        <f>E172+E174+E176+E178+E180+E182</f>
        <v>56266</v>
      </c>
    </row>
    <row r="171" spans="1:5" ht="31.5" x14ac:dyDescent="0.25">
      <c r="A171" s="483" t="s">
        <v>84</v>
      </c>
      <c r="B171" s="482"/>
      <c r="C171" s="479">
        <f>C170/B170-1</f>
        <v>-2.3498785144047241E-2</v>
      </c>
      <c r="D171" s="479">
        <f>D170/C170-1</f>
        <v>0</v>
      </c>
      <c r="E171" s="478">
        <f>E170/D170-1</f>
        <v>0</v>
      </c>
    </row>
    <row r="172" spans="1:5" x14ac:dyDescent="0.25">
      <c r="A172" s="474" t="s">
        <v>26</v>
      </c>
      <c r="B172" s="473">
        <f>B76+B41</f>
        <v>34500</v>
      </c>
      <c r="C172" s="473">
        <f>C76+C41</f>
        <v>34500</v>
      </c>
      <c r="D172" s="473">
        <f>D76+D41</f>
        <v>34500</v>
      </c>
      <c r="E172" s="472">
        <f>E76+E41</f>
        <v>34500</v>
      </c>
    </row>
    <row r="173" spans="1:5" x14ac:dyDescent="0.25">
      <c r="A173" s="481" t="s">
        <v>85</v>
      </c>
      <c r="B173" s="480"/>
      <c r="C173" s="479">
        <f>C172/B172-1</f>
        <v>0</v>
      </c>
      <c r="D173" s="479">
        <f>D172/C172-1</f>
        <v>0</v>
      </c>
      <c r="E173" s="478">
        <f>E172/D172-1</f>
        <v>0</v>
      </c>
    </row>
    <row r="174" spans="1:5" ht="31.5" x14ac:dyDescent="0.25">
      <c r="A174" s="474" t="s">
        <v>28</v>
      </c>
      <c r="B174" s="473">
        <f>B79+B44</f>
        <v>5850</v>
      </c>
      <c r="C174" s="473">
        <f>C79+C44</f>
        <v>5850</v>
      </c>
      <c r="D174" s="473">
        <f>D79+D44</f>
        <v>5850</v>
      </c>
      <c r="E174" s="472">
        <f>E79+E44</f>
        <v>5850</v>
      </c>
    </row>
    <row r="175" spans="1:5" ht="31.5" x14ac:dyDescent="0.25">
      <c r="A175" s="481" t="s">
        <v>86</v>
      </c>
      <c r="B175" s="480"/>
      <c r="C175" s="479">
        <f>C174/B174-1</f>
        <v>0</v>
      </c>
      <c r="D175" s="479">
        <f>D174/C174-1</f>
        <v>0</v>
      </c>
      <c r="E175" s="478">
        <f>E174/D174-1</f>
        <v>0</v>
      </c>
    </row>
    <row r="176" spans="1:5" x14ac:dyDescent="0.25">
      <c r="A176" s="474" t="s">
        <v>30</v>
      </c>
      <c r="B176" s="473">
        <f>B82+B47</f>
        <v>12830</v>
      </c>
      <c r="C176" s="473">
        <f>C82+C47</f>
        <v>13475.999999999998</v>
      </c>
      <c r="D176" s="473">
        <f>D82+D47</f>
        <v>13475.999999999998</v>
      </c>
      <c r="E176" s="472">
        <f>E82+E47</f>
        <v>13475.999999999998</v>
      </c>
    </row>
    <row r="177" spans="1:5" ht="31.5" x14ac:dyDescent="0.25">
      <c r="A177" s="481" t="s">
        <v>87</v>
      </c>
      <c r="B177" s="480"/>
      <c r="C177" s="479">
        <f>C176/B176-1</f>
        <v>5.0350740452065335E-2</v>
      </c>
      <c r="D177" s="479">
        <f>D176/C176-1</f>
        <v>0</v>
      </c>
      <c r="E177" s="478">
        <f>E176/D176-1</f>
        <v>0</v>
      </c>
    </row>
    <row r="178" spans="1:5" x14ac:dyDescent="0.25">
      <c r="A178" s="474" t="s">
        <v>36</v>
      </c>
      <c r="B178" s="473">
        <f>B85+B50</f>
        <v>200</v>
      </c>
      <c r="C178" s="473">
        <f>C85+C50</f>
        <v>200</v>
      </c>
      <c r="D178" s="473">
        <f>D85+D50</f>
        <v>200</v>
      </c>
      <c r="E178" s="472">
        <f>E85+E50</f>
        <v>200</v>
      </c>
    </row>
    <row r="179" spans="1:5" ht="31.5" x14ac:dyDescent="0.25">
      <c r="A179" s="481" t="s">
        <v>90</v>
      </c>
      <c r="B179" s="480"/>
      <c r="C179" s="479">
        <f>C178/B178-1</f>
        <v>0</v>
      </c>
      <c r="D179" s="479">
        <f>D178/C178-1</f>
        <v>0</v>
      </c>
      <c r="E179" s="478">
        <f>E178/D178-1</f>
        <v>0</v>
      </c>
    </row>
    <row r="180" spans="1:5" ht="31.5" x14ac:dyDescent="0.25">
      <c r="A180" s="474" t="s">
        <v>38</v>
      </c>
      <c r="B180" s="473">
        <f>B88+B53</f>
        <v>240</v>
      </c>
      <c r="C180" s="473">
        <f>C88+C53</f>
        <v>240</v>
      </c>
      <c r="D180" s="473">
        <f>D88+D53</f>
        <v>240</v>
      </c>
      <c r="E180" s="472">
        <f>E88+E53</f>
        <v>240</v>
      </c>
    </row>
    <row r="181" spans="1:5" ht="31.5" x14ac:dyDescent="0.25">
      <c r="A181" s="481" t="s">
        <v>91</v>
      </c>
      <c r="B181" s="480"/>
      <c r="C181" s="479">
        <f>C180/B180-1</f>
        <v>0</v>
      </c>
      <c r="D181" s="479">
        <f>D180/C180-1</f>
        <v>0</v>
      </c>
      <c r="E181" s="478">
        <f>E180/D180-1</f>
        <v>0</v>
      </c>
    </row>
    <row r="182" spans="1:5" x14ac:dyDescent="0.25">
      <c r="A182" s="474" t="s">
        <v>94</v>
      </c>
      <c r="B182" s="473">
        <f>B114+B135+B144+B152+B160</f>
        <v>4000</v>
      </c>
      <c r="C182" s="473">
        <f>C114+C135+C144+C152+C160</f>
        <v>2000</v>
      </c>
      <c r="D182" s="473">
        <f>D114+D135+D144+D152+D160</f>
        <v>2000</v>
      </c>
      <c r="E182" s="472">
        <f>E114+E135+E144+E152+E160</f>
        <v>2000</v>
      </c>
    </row>
    <row r="183" spans="1:5" ht="31.5" x14ac:dyDescent="0.25">
      <c r="A183" s="481" t="s">
        <v>95</v>
      </c>
      <c r="B183" s="480"/>
      <c r="C183" s="479">
        <f>C182/B182-1</f>
        <v>-0.5</v>
      </c>
      <c r="D183" s="479">
        <f>D182/C182-1</f>
        <v>0</v>
      </c>
      <c r="E183" s="478">
        <f>E182/D182-1</f>
        <v>0</v>
      </c>
    </row>
    <row r="184" spans="1:5" x14ac:dyDescent="0.25">
      <c r="A184" s="1887" t="s">
        <v>1264</v>
      </c>
      <c r="B184" s="1888"/>
      <c r="C184" s="1888"/>
      <c r="D184" s="1888"/>
      <c r="E184" s="1889"/>
    </row>
    <row r="185" spans="1:5" x14ac:dyDescent="0.25">
      <c r="A185" s="1887"/>
      <c r="B185" s="1888"/>
      <c r="C185" s="1888"/>
      <c r="D185" s="1888"/>
      <c r="E185" s="1889"/>
    </row>
    <row r="186" spans="1:5" x14ac:dyDescent="0.25">
      <c r="A186" s="1887"/>
      <c r="B186" s="1888"/>
      <c r="C186" s="1888"/>
      <c r="D186" s="1888"/>
      <c r="E186" s="1889"/>
    </row>
    <row r="187" spans="1:5" x14ac:dyDescent="0.25">
      <c r="A187" s="477" t="s">
        <v>41</v>
      </c>
      <c r="B187" s="476">
        <f>IF(B170-B169=0,0,"Error")</f>
        <v>0</v>
      </c>
      <c r="C187" s="476">
        <f>IF(C170-C169=0,0,"Error")</f>
        <v>0</v>
      </c>
      <c r="D187" s="476">
        <v>0</v>
      </c>
      <c r="E187" s="475">
        <f>IF(E170-E169=0,0,"Error")</f>
        <v>0</v>
      </c>
    </row>
    <row r="188" spans="1:5" ht="31.5" x14ac:dyDescent="0.25">
      <c r="A188" s="474" t="s">
        <v>96</v>
      </c>
      <c r="B188" s="473">
        <v>31</v>
      </c>
      <c r="C188" s="473">
        <v>31</v>
      </c>
      <c r="D188" s="473">
        <v>31</v>
      </c>
      <c r="E188" s="472">
        <v>31</v>
      </c>
    </row>
    <row r="189" spans="1:5" ht="31.5" x14ac:dyDescent="0.25">
      <c r="A189" s="474" t="s">
        <v>97</v>
      </c>
      <c r="B189" s="473">
        <v>3</v>
      </c>
      <c r="C189" s="473">
        <v>3</v>
      </c>
      <c r="D189" s="473">
        <v>3</v>
      </c>
      <c r="E189" s="472">
        <v>3</v>
      </c>
    </row>
    <row r="190" spans="1:5" hidden="1" outlineLevel="1" x14ac:dyDescent="0.25">
      <c r="A190" s="471" t="s">
        <v>98</v>
      </c>
      <c r="C190" s="470"/>
      <c r="D190" s="469"/>
      <c r="E190" s="469"/>
    </row>
    <row r="191" spans="1:5" ht="27.75" hidden="1" customHeight="1" outlineLevel="1" x14ac:dyDescent="0.25">
      <c r="A191" s="1924" t="s">
        <v>1263</v>
      </c>
      <c r="B191" s="1925"/>
      <c r="C191" s="1925"/>
      <c r="D191" s="1925"/>
      <c r="E191" s="1926"/>
    </row>
    <row r="192" spans="1:5" ht="27.75" hidden="1" customHeight="1" outlineLevel="1" x14ac:dyDescent="0.25">
      <c r="A192" s="1918" t="s">
        <v>1262</v>
      </c>
      <c r="B192" s="1927"/>
      <c r="C192" s="1927"/>
      <c r="D192" s="1927"/>
      <c r="E192" s="1928"/>
    </row>
    <row r="193" spans="1:5" ht="28.5" hidden="1" customHeight="1" outlineLevel="1" x14ac:dyDescent="0.25">
      <c r="A193" s="1915" t="s">
        <v>1261</v>
      </c>
      <c r="B193" s="1916"/>
      <c r="C193" s="1916"/>
      <c r="D193" s="1916"/>
      <c r="E193" s="1917"/>
    </row>
    <row r="194" spans="1:5" ht="52.5" hidden="1" customHeight="1" outlineLevel="1" x14ac:dyDescent="0.25">
      <c r="A194" s="1929" t="s">
        <v>1260</v>
      </c>
      <c r="B194" s="1930"/>
      <c r="C194" s="1930"/>
      <c r="D194" s="1930"/>
      <c r="E194" s="1931"/>
    </row>
    <row r="195" spans="1:5" ht="18" hidden="1" customHeight="1" outlineLevel="1" x14ac:dyDescent="0.25">
      <c r="A195" s="1915" t="s">
        <v>99</v>
      </c>
      <c r="B195" s="1916"/>
      <c r="C195" s="1916"/>
      <c r="D195" s="1916"/>
      <c r="E195" s="1917"/>
    </row>
    <row r="196" spans="1:5" ht="36" hidden="1" customHeight="1" outlineLevel="1" x14ac:dyDescent="0.25">
      <c r="A196" s="1915" t="s">
        <v>100</v>
      </c>
      <c r="B196" s="1916"/>
      <c r="C196" s="1916"/>
      <c r="D196" s="1916"/>
      <c r="E196" s="1917"/>
    </row>
    <row r="197" spans="1:5" ht="27" hidden="1" customHeight="1" outlineLevel="1" x14ac:dyDescent="0.25">
      <c r="A197" s="1918" t="s">
        <v>1259</v>
      </c>
      <c r="B197" s="1919"/>
      <c r="C197" s="1919"/>
      <c r="D197" s="1919"/>
      <c r="E197" s="1920"/>
    </row>
    <row r="198" spans="1:5" ht="47.25" hidden="1" customHeight="1" outlineLevel="1" thickBot="1" x14ac:dyDescent="0.3">
      <c r="A198" s="1921" t="s">
        <v>101</v>
      </c>
      <c r="B198" s="1922"/>
      <c r="C198" s="1922"/>
      <c r="D198" s="1922"/>
      <c r="E198" s="1923"/>
    </row>
    <row r="199" spans="1:5" collapsed="1" x14ac:dyDescent="0.25"/>
  </sheetData>
  <mergeCells count="75">
    <mergeCell ref="A26:E26"/>
    <mergeCell ref="A9:E9"/>
    <mergeCell ref="B11:E11"/>
    <mergeCell ref="B12:E12"/>
    <mergeCell ref="B13:E13"/>
    <mergeCell ref="A14:E14"/>
    <mergeCell ref="A15:E17"/>
    <mergeCell ref="B18:E18"/>
    <mergeCell ref="A19:A20"/>
    <mergeCell ref="B22:E22"/>
    <mergeCell ref="A23:E23"/>
    <mergeCell ref="A25:E25"/>
    <mergeCell ref="A65:A66"/>
    <mergeCell ref="B27:E27"/>
    <mergeCell ref="B28:E28"/>
    <mergeCell ref="B29:E29"/>
    <mergeCell ref="A30:A31"/>
    <mergeCell ref="A38:E38"/>
    <mergeCell ref="A39:A40"/>
    <mergeCell ref="A57:A59"/>
    <mergeCell ref="B57:E59"/>
    <mergeCell ref="B62:E62"/>
    <mergeCell ref="B64:E64"/>
    <mergeCell ref="B63:E63"/>
    <mergeCell ref="A73:E73"/>
    <mergeCell ref="A74:A75"/>
    <mergeCell ref="A92:A94"/>
    <mergeCell ref="B92:E94"/>
    <mergeCell ref="A96:E96"/>
    <mergeCell ref="A97:E97"/>
    <mergeCell ref="B98:E98"/>
    <mergeCell ref="B99:E99"/>
    <mergeCell ref="B100:E100"/>
    <mergeCell ref="B101:E101"/>
    <mergeCell ref="A102:A103"/>
    <mergeCell ref="A110:E110"/>
    <mergeCell ref="A111:A112"/>
    <mergeCell ref="A116:A118"/>
    <mergeCell ref="B116:E118"/>
    <mergeCell ref="A157:A158"/>
    <mergeCell ref="B119:E119"/>
    <mergeCell ref="B120:E120"/>
    <mergeCell ref="B121:E121"/>
    <mergeCell ref="A162:A164"/>
    <mergeCell ref="B162:E164"/>
    <mergeCell ref="B137:E139"/>
    <mergeCell ref="A146:A148"/>
    <mergeCell ref="B146:E148"/>
    <mergeCell ref="A149:A150"/>
    <mergeCell ref="A154:A156"/>
    <mergeCell ref="B154:E156"/>
    <mergeCell ref="A196:E196"/>
    <mergeCell ref="A197:E197"/>
    <mergeCell ref="A198:E198"/>
    <mergeCell ref="A191:E191"/>
    <mergeCell ref="A192:E192"/>
    <mergeCell ref="A193:E193"/>
    <mergeCell ref="A194:E194"/>
    <mergeCell ref="A195:E195"/>
    <mergeCell ref="A184:A186"/>
    <mergeCell ref="B184:E186"/>
    <mergeCell ref="A140:E140"/>
    <mergeCell ref="A141:A142"/>
    <mergeCell ref="B3:E3"/>
    <mergeCell ref="B4:E4"/>
    <mergeCell ref="B5:E5"/>
    <mergeCell ref="C6:E6"/>
    <mergeCell ref="C7:E7"/>
    <mergeCell ref="A165:A167"/>
    <mergeCell ref="B165:E167"/>
    <mergeCell ref="B122:E122"/>
    <mergeCell ref="A123:A124"/>
    <mergeCell ref="A131:E131"/>
    <mergeCell ref="A132:A133"/>
    <mergeCell ref="A137:A139"/>
  </mergeCells>
  <pageMargins left="0" right="0" top="0.74803149606299213" bottom="0.74803149606299213" header="0.31496062992125984" footer="0.31496062992125984"/>
  <pageSetup scale="97" orientation="portrait" r:id="rId1"/>
  <headerFooter>
    <oddFooter>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E478"/>
  <sheetViews>
    <sheetView view="pageBreakPreview" topLeftCell="A313" zoomScale="60" zoomScaleNormal="120" workbookViewId="0">
      <selection activeCell="Q361" sqref="Q361"/>
    </sheetView>
  </sheetViews>
  <sheetFormatPr defaultRowHeight="15" x14ac:dyDescent="0.25"/>
  <cols>
    <col min="1" max="1" width="45.42578125" customWidth="1"/>
    <col min="2" max="2" width="10.85546875" customWidth="1"/>
    <col min="3" max="4" width="11.140625" customWidth="1"/>
    <col min="5" max="5" width="10.42578125" customWidth="1"/>
    <col min="7" max="7" width="33.5703125" customWidth="1"/>
    <col min="8" max="8" width="10.85546875" customWidth="1"/>
  </cols>
  <sheetData>
    <row r="1" spans="1:5" ht="15.75" thickBot="1" x14ac:dyDescent="0.3">
      <c r="A1" s="789" t="s">
        <v>898</v>
      </c>
      <c r="B1" s="788"/>
      <c r="C1" s="788"/>
      <c r="D1" s="787"/>
    </row>
    <row r="3" spans="1:5" ht="15.75" thickBot="1" x14ac:dyDescent="0.3"/>
    <row r="4" spans="1:5" ht="16.5" thickBot="1" x14ac:dyDescent="0.3">
      <c r="A4" s="168" t="s">
        <v>897</v>
      </c>
      <c r="B4" s="1976" t="s">
        <v>1336</v>
      </c>
      <c r="C4" s="1977"/>
      <c r="D4" s="1977"/>
      <c r="E4" s="1978"/>
    </row>
    <row r="5" spans="1:5" ht="16.5" thickBot="1" x14ac:dyDescent="0.3">
      <c r="A5" s="36" t="s">
        <v>895</v>
      </c>
      <c r="B5" s="1979" t="s">
        <v>1335</v>
      </c>
      <c r="C5" s="1980"/>
      <c r="D5" s="1980"/>
      <c r="E5" s="1981"/>
    </row>
    <row r="6" spans="1:5" ht="16.5" customHeight="1" thickBot="1" x14ac:dyDescent="0.3">
      <c r="A6" s="36" t="s">
        <v>914</v>
      </c>
      <c r="B6" s="1982" t="s">
        <v>1334</v>
      </c>
      <c r="C6" s="1983"/>
      <c r="D6" s="1983"/>
      <c r="E6" s="1984"/>
    </row>
    <row r="7" spans="1:5" ht="48" thickBot="1" x14ac:dyDescent="0.3">
      <c r="A7" s="36" t="s">
        <v>891</v>
      </c>
      <c r="B7" s="167" t="s">
        <v>912</v>
      </c>
      <c r="C7" s="1093" t="s">
        <v>7</v>
      </c>
      <c r="D7" s="1093"/>
      <c r="E7" s="1985"/>
    </row>
    <row r="8" spans="1:5" ht="16.5" customHeight="1" thickBot="1" x14ac:dyDescent="0.3">
      <c r="A8" s="36" t="s">
        <v>929</v>
      </c>
      <c r="B8" s="786" t="s">
        <v>4</v>
      </c>
      <c r="C8" s="1986" t="s">
        <v>1333</v>
      </c>
      <c r="D8" s="1987"/>
      <c r="E8" s="1988"/>
    </row>
    <row r="9" spans="1:5" ht="16.5" customHeight="1" thickBot="1" x14ac:dyDescent="0.3">
      <c r="A9" s="36" t="s">
        <v>929</v>
      </c>
      <c r="B9" s="186"/>
      <c r="C9" s="1989" t="s">
        <v>555</v>
      </c>
      <c r="D9" s="1990"/>
      <c r="E9" s="1991"/>
    </row>
    <row r="10" spans="1:5" ht="16.5" customHeight="1" x14ac:dyDescent="0.25">
      <c r="A10" s="785"/>
      <c r="B10" s="784"/>
      <c r="C10" s="783"/>
      <c r="D10" s="782"/>
      <c r="E10" s="782"/>
    </row>
    <row r="11" spans="1:5" ht="15.75" thickBot="1" x14ac:dyDescent="0.3">
      <c r="A11" s="2103" t="s">
        <v>1332</v>
      </c>
      <c r="B11" s="2103"/>
      <c r="C11" s="2103"/>
      <c r="D11" s="2103"/>
      <c r="E11" s="2103"/>
    </row>
    <row r="12" spans="1:5" ht="15.75" thickBot="1" x14ac:dyDescent="0.3">
      <c r="A12" s="2104" t="s">
        <v>1</v>
      </c>
      <c r="B12" s="2105"/>
      <c r="C12" s="2105"/>
      <c r="D12" s="2105"/>
      <c r="E12" s="2106"/>
    </row>
    <row r="13" spans="1:5" ht="15.75" thickBot="1" x14ac:dyDescent="0.3">
      <c r="A13" s="130"/>
      <c r="B13" s="131"/>
      <c r="C13" s="131"/>
      <c r="D13" s="131"/>
      <c r="E13" s="132"/>
    </row>
    <row r="14" spans="1:5" ht="15.75" thickBot="1" x14ac:dyDescent="0.3">
      <c r="A14" s="781" t="s">
        <v>2</v>
      </c>
      <c r="B14" s="2107" t="s">
        <v>555</v>
      </c>
      <c r="C14" s="2108"/>
      <c r="D14" s="2108"/>
      <c r="E14" s="2109"/>
    </row>
    <row r="15" spans="1:5" ht="15.75" thickBot="1" x14ac:dyDescent="0.3">
      <c r="A15" s="780" t="s">
        <v>3</v>
      </c>
      <c r="B15" s="2110" t="s">
        <v>4</v>
      </c>
      <c r="C15" s="2111"/>
      <c r="D15" s="2111"/>
      <c r="E15" s="2112"/>
    </row>
    <row r="16" spans="1:5" ht="15.75" thickBot="1" x14ac:dyDescent="0.3">
      <c r="A16" s="780" t="s">
        <v>5</v>
      </c>
      <c r="B16" s="2113" t="s">
        <v>1331</v>
      </c>
      <c r="C16" s="2114"/>
      <c r="D16" s="2114"/>
      <c r="E16" s="2115"/>
    </row>
    <row r="17" spans="1:5" ht="15.75" thickBot="1" x14ac:dyDescent="0.3">
      <c r="A17" s="2116" t="s">
        <v>7</v>
      </c>
      <c r="B17" s="2117"/>
      <c r="C17" s="2117"/>
      <c r="D17" s="2117"/>
      <c r="E17" s="2118"/>
    </row>
    <row r="18" spans="1:5" ht="15.75" thickBot="1" x14ac:dyDescent="0.3">
      <c r="A18" s="779"/>
      <c r="B18" s="777"/>
      <c r="C18" s="778"/>
      <c r="D18" s="777"/>
      <c r="E18" s="776"/>
    </row>
    <row r="19" spans="1:5" ht="96.75" customHeight="1" thickBot="1" x14ac:dyDescent="0.3">
      <c r="A19" s="2119" t="s">
        <v>556</v>
      </c>
      <c r="B19" s="2120"/>
      <c r="C19" s="2120"/>
      <c r="D19" s="2120"/>
      <c r="E19" s="2121"/>
    </row>
    <row r="20" spans="1:5" ht="15.75" thickBot="1" x14ac:dyDescent="0.3">
      <c r="A20" s="2122"/>
      <c r="B20" s="2123"/>
      <c r="C20" s="2123"/>
      <c r="D20" s="2123"/>
      <c r="E20" s="2124"/>
    </row>
    <row r="21" spans="1:5" ht="54.75" customHeight="1" thickBot="1" x14ac:dyDescent="0.3">
      <c r="A21" s="775" t="s">
        <v>8</v>
      </c>
      <c r="B21" s="2125" t="s">
        <v>1330</v>
      </c>
      <c r="C21" s="2126"/>
      <c r="D21" s="2126"/>
      <c r="E21" s="2127"/>
    </row>
    <row r="22" spans="1:5" x14ac:dyDescent="0.25">
      <c r="A22" s="2087" t="s">
        <v>102</v>
      </c>
      <c r="B22" s="774">
        <v>2018</v>
      </c>
      <c r="C22" s="774">
        <v>2019</v>
      </c>
      <c r="D22" s="774">
        <v>2020</v>
      </c>
      <c r="E22" s="773">
        <v>2021</v>
      </c>
    </row>
    <row r="23" spans="1:5" x14ac:dyDescent="0.25">
      <c r="A23" s="2088"/>
      <c r="B23" s="245" t="s">
        <v>10</v>
      </c>
      <c r="C23" s="245" t="s">
        <v>11</v>
      </c>
      <c r="D23" s="245" t="s">
        <v>11</v>
      </c>
      <c r="E23" s="772" t="s">
        <v>11</v>
      </c>
    </row>
    <row r="24" spans="1:5" ht="22.5" x14ac:dyDescent="0.25">
      <c r="A24" s="770" t="s">
        <v>1329</v>
      </c>
      <c r="B24" s="771">
        <v>1</v>
      </c>
      <c r="C24" s="769">
        <v>1.3043478260869565</v>
      </c>
      <c r="D24" s="769">
        <v>1.0166666666666666</v>
      </c>
      <c r="E24" s="768">
        <v>1.0333333333333334</v>
      </c>
    </row>
    <row r="25" spans="1:5" x14ac:dyDescent="0.25">
      <c r="A25" s="770" t="s">
        <v>1322</v>
      </c>
      <c r="B25" s="771">
        <v>1</v>
      </c>
      <c r="C25" s="769">
        <v>1.0333333333333334</v>
      </c>
      <c r="D25" s="769">
        <v>1.0040322580645162</v>
      </c>
      <c r="E25" s="768">
        <v>1.0441767068273093</v>
      </c>
    </row>
    <row r="26" spans="1:5" x14ac:dyDescent="0.25">
      <c r="A26" s="770" t="s">
        <v>1315</v>
      </c>
      <c r="B26" s="766">
        <v>1</v>
      </c>
      <c r="C26" s="769">
        <v>1.2</v>
      </c>
      <c r="D26" s="769">
        <v>1.3</v>
      </c>
      <c r="E26" s="768">
        <v>1.5</v>
      </c>
    </row>
    <row r="27" spans="1:5" x14ac:dyDescent="0.25">
      <c r="A27" s="767" t="s">
        <v>1314</v>
      </c>
      <c r="B27" s="766">
        <v>1</v>
      </c>
      <c r="C27" s="765">
        <v>1.5</v>
      </c>
      <c r="D27" s="765">
        <v>1.3333333333333333</v>
      </c>
      <c r="E27" s="764">
        <v>1.25</v>
      </c>
    </row>
    <row r="28" spans="1:5" ht="15.75" thickBot="1" x14ac:dyDescent="0.3">
      <c r="A28" s="723" t="s">
        <v>111</v>
      </c>
      <c r="B28" s="700" t="s">
        <v>112</v>
      </c>
      <c r="C28" s="700" t="s">
        <v>113</v>
      </c>
      <c r="D28" s="700" t="s">
        <v>113</v>
      </c>
      <c r="E28" s="699" t="s">
        <v>113</v>
      </c>
    </row>
    <row r="29" spans="1:5" ht="118.5" customHeight="1" thickBot="1" x14ac:dyDescent="0.3">
      <c r="A29" s="763" t="s">
        <v>1328</v>
      </c>
      <c r="B29" s="2089" t="s">
        <v>1327</v>
      </c>
      <c r="C29" s="2090"/>
      <c r="D29" s="2090"/>
      <c r="E29" s="2091"/>
    </row>
    <row r="30" spans="1:5" ht="15.75" thickBot="1" x14ac:dyDescent="0.3">
      <c r="A30" s="661"/>
      <c r="B30" s="762"/>
      <c r="C30" s="762"/>
      <c r="D30" s="762"/>
      <c r="E30" s="761"/>
    </row>
    <row r="31" spans="1:5" ht="68.25" customHeight="1" thickBot="1" x14ac:dyDescent="0.3">
      <c r="A31" s="635" t="s">
        <v>12</v>
      </c>
      <c r="B31" s="2092" t="s">
        <v>1326</v>
      </c>
      <c r="C31" s="2093"/>
      <c r="D31" s="2093"/>
      <c r="E31" s="2094"/>
    </row>
    <row r="32" spans="1:5" ht="15.75" thickBot="1" x14ac:dyDescent="0.3">
      <c r="A32" s="1964" t="s">
        <v>103</v>
      </c>
      <c r="B32" s="1965"/>
      <c r="C32" s="1965"/>
      <c r="D32" s="1965"/>
      <c r="E32" s="1966"/>
    </row>
    <row r="33" spans="1:5" ht="15.75" thickBot="1" x14ac:dyDescent="0.3">
      <c r="A33" s="760"/>
      <c r="B33" s="759">
        <v>2018</v>
      </c>
      <c r="C33" s="758">
        <v>2019</v>
      </c>
      <c r="D33" s="758">
        <v>2020</v>
      </c>
      <c r="E33" s="757">
        <v>2021</v>
      </c>
    </row>
    <row r="34" spans="1:5" ht="15.75" thickBot="1" x14ac:dyDescent="0.3">
      <c r="A34" s="707"/>
      <c r="B34" s="756" t="s">
        <v>112</v>
      </c>
      <c r="C34" s="756" t="s">
        <v>113</v>
      </c>
      <c r="D34" s="756" t="s">
        <v>113</v>
      </c>
      <c r="E34" s="755" t="s">
        <v>113</v>
      </c>
    </row>
    <row r="35" spans="1:5" ht="24" thickBot="1" x14ac:dyDescent="0.3">
      <c r="A35" s="707" t="s">
        <v>1325</v>
      </c>
      <c r="B35" s="754">
        <v>1</v>
      </c>
      <c r="C35" s="753">
        <f>+C44/B44</f>
        <v>1.3043478260869565</v>
      </c>
      <c r="D35" s="753">
        <f>+D44/C44</f>
        <v>1.0166666666666666</v>
      </c>
      <c r="E35" s="752">
        <f>+E44/C44</f>
        <v>1.0333333333333334</v>
      </c>
    </row>
    <row r="36" spans="1:5" ht="15.75" thickBot="1" x14ac:dyDescent="0.3">
      <c r="A36" s="2078" t="s">
        <v>14</v>
      </c>
      <c r="B36" s="2079"/>
      <c r="C36" s="2079"/>
      <c r="D36" s="2079"/>
      <c r="E36" s="2080"/>
    </row>
    <row r="37" spans="1:5" ht="15.75" thickBot="1" x14ac:dyDescent="0.3">
      <c r="A37" s="2095" t="s">
        <v>104</v>
      </c>
      <c r="B37" s="2096"/>
      <c r="C37" s="2096"/>
      <c r="D37" s="2096"/>
      <c r="E37" s="2097"/>
    </row>
    <row r="38" spans="1:5" ht="15" customHeight="1" thickBot="1" x14ac:dyDescent="0.3">
      <c r="A38" s="668" t="s">
        <v>105</v>
      </c>
      <c r="B38" s="2098" t="s">
        <v>558</v>
      </c>
      <c r="C38" s="2098"/>
      <c r="D38" s="2098"/>
      <c r="E38" s="2099"/>
    </row>
    <row r="39" spans="1:5" ht="68.25" customHeight="1" thickBot="1" x14ac:dyDescent="0.3">
      <c r="A39" s="661" t="s">
        <v>17</v>
      </c>
      <c r="B39" s="2100" t="s">
        <v>1324</v>
      </c>
      <c r="C39" s="2101"/>
      <c r="D39" s="2101"/>
      <c r="E39" s="2102"/>
    </row>
    <row r="40" spans="1:5" ht="15.75" thickBot="1" x14ac:dyDescent="0.3">
      <c r="A40" s="2075"/>
      <c r="B40" s="2076"/>
      <c r="C40" s="2076"/>
      <c r="D40" s="2076"/>
      <c r="E40" s="2077"/>
    </row>
    <row r="41" spans="1:5" ht="15.75" thickBot="1" x14ac:dyDescent="0.3">
      <c r="A41" s="574" t="s">
        <v>18</v>
      </c>
      <c r="B41" s="1294" t="s">
        <v>1317</v>
      </c>
      <c r="C41" s="1295"/>
      <c r="D41" s="1295"/>
      <c r="E41" s="1998"/>
    </row>
    <row r="42" spans="1:5" x14ac:dyDescent="0.25">
      <c r="A42" s="1956"/>
      <c r="B42" s="8">
        <v>2018</v>
      </c>
      <c r="C42" s="8">
        <v>2019</v>
      </c>
      <c r="D42" s="8">
        <v>2020</v>
      </c>
      <c r="E42" s="572">
        <v>2021</v>
      </c>
    </row>
    <row r="43" spans="1:5" ht="15.75" thickBot="1" x14ac:dyDescent="0.3">
      <c r="A43" s="1957"/>
      <c r="B43" s="9" t="s">
        <v>10</v>
      </c>
      <c r="C43" s="9" t="s">
        <v>11</v>
      </c>
      <c r="D43" s="9" t="s">
        <v>11</v>
      </c>
      <c r="E43" s="571" t="s">
        <v>11</v>
      </c>
    </row>
    <row r="44" spans="1:5" ht="15.75" thickBot="1" x14ac:dyDescent="0.3">
      <c r="A44" s="574" t="s">
        <v>19</v>
      </c>
      <c r="B44" s="10">
        <v>2300</v>
      </c>
      <c r="C44" s="10">
        <v>3000</v>
      </c>
      <c r="D44" s="10">
        <v>3050</v>
      </c>
      <c r="E44" s="582">
        <v>3100</v>
      </c>
    </row>
    <row r="45" spans="1:5" ht="15.75" thickBot="1" x14ac:dyDescent="0.3">
      <c r="A45" s="574" t="s">
        <v>20</v>
      </c>
      <c r="B45" s="751">
        <v>56610</v>
      </c>
      <c r="C45" s="751">
        <v>70810</v>
      </c>
      <c r="D45" s="751">
        <f>+C45</f>
        <v>70810</v>
      </c>
      <c r="E45" s="750">
        <f>+D45</f>
        <v>70810</v>
      </c>
    </row>
    <row r="46" spans="1:5" ht="15.75" thickBot="1" x14ac:dyDescent="0.3">
      <c r="A46" s="574" t="s">
        <v>21</v>
      </c>
      <c r="B46" s="749">
        <f>B45/B44</f>
        <v>24.61304347826087</v>
      </c>
      <c r="C46" s="748">
        <f>C45/C44</f>
        <v>23.603333333333332</v>
      </c>
      <c r="D46" s="748">
        <f>+D45/D44</f>
        <v>23.216393442622952</v>
      </c>
      <c r="E46" s="747">
        <f>+E45/E44</f>
        <v>22.841935483870969</v>
      </c>
    </row>
    <row r="47" spans="1:5" ht="15.75" thickBot="1" x14ac:dyDescent="0.3">
      <c r="A47" s="574" t="s">
        <v>22</v>
      </c>
      <c r="B47" s="225" t="s">
        <v>23</v>
      </c>
      <c r="C47" s="11">
        <f t="shared" ref="C47:E49" si="0">C44/B44-1</f>
        <v>0.30434782608695654</v>
      </c>
      <c r="D47" s="11">
        <f t="shared" si="0"/>
        <v>1.6666666666666607E-2</v>
      </c>
      <c r="E47" s="573">
        <f t="shared" si="0"/>
        <v>1.6393442622950838E-2</v>
      </c>
    </row>
    <row r="48" spans="1:5" ht="15.75" thickBot="1" x14ac:dyDescent="0.3">
      <c r="A48" s="574" t="s">
        <v>24</v>
      </c>
      <c r="B48" s="225" t="s">
        <v>23</v>
      </c>
      <c r="C48" s="11">
        <f t="shared" si="0"/>
        <v>0.25083907436848607</v>
      </c>
      <c r="D48" s="11">
        <f t="shared" si="0"/>
        <v>0</v>
      </c>
      <c r="E48" s="573">
        <f t="shared" si="0"/>
        <v>0</v>
      </c>
    </row>
    <row r="49" spans="1:5" ht="15.75" thickBot="1" x14ac:dyDescent="0.3">
      <c r="A49" s="574" t="s">
        <v>25</v>
      </c>
      <c r="B49" s="225" t="s">
        <v>23</v>
      </c>
      <c r="C49" s="11">
        <f t="shared" si="0"/>
        <v>-4.1023376317494087E-2</v>
      </c>
      <c r="D49" s="11">
        <f t="shared" si="0"/>
        <v>-1.6393442622950727E-2</v>
      </c>
      <c r="E49" s="573">
        <f t="shared" si="0"/>
        <v>-1.6129032258064502E-2</v>
      </c>
    </row>
    <row r="50" spans="1:5" ht="15.75" thickBot="1" x14ac:dyDescent="0.3">
      <c r="A50" s="1999" t="s">
        <v>114</v>
      </c>
      <c r="B50" s="2000"/>
      <c r="C50" s="2000"/>
      <c r="D50" s="2000"/>
      <c r="E50" s="2001"/>
    </row>
    <row r="51" spans="1:5" x14ac:dyDescent="0.25">
      <c r="A51" s="1956"/>
      <c r="B51" s="8">
        <v>2018</v>
      </c>
      <c r="C51" s="8">
        <v>2019</v>
      </c>
      <c r="D51" s="8">
        <v>2020</v>
      </c>
      <c r="E51" s="572">
        <v>2021</v>
      </c>
    </row>
    <row r="52" spans="1:5" ht="15.75" thickBot="1" x14ac:dyDescent="0.3">
      <c r="A52" s="1957"/>
      <c r="B52" s="9" t="s">
        <v>10</v>
      </c>
      <c r="C52" s="9" t="s">
        <v>11</v>
      </c>
      <c r="D52" s="9" t="s">
        <v>11</v>
      </c>
      <c r="E52" s="571" t="s">
        <v>11</v>
      </c>
    </row>
    <row r="53" spans="1:5" ht="15.75" thickBot="1" x14ac:dyDescent="0.3">
      <c r="A53" s="545" t="s">
        <v>26</v>
      </c>
      <c r="B53" s="746">
        <v>50220</v>
      </c>
      <c r="C53" s="746">
        <v>62520</v>
      </c>
      <c r="D53" s="746">
        <f>+C53</f>
        <v>62520</v>
      </c>
      <c r="E53" s="745">
        <f>+D53</f>
        <v>62520</v>
      </c>
    </row>
    <row r="54" spans="1:5" ht="15.75" thickBot="1" x14ac:dyDescent="0.3">
      <c r="A54" s="545" t="s">
        <v>28</v>
      </c>
      <c r="B54" s="14">
        <v>6000</v>
      </c>
      <c r="C54" s="14">
        <v>7900</v>
      </c>
      <c r="D54" s="14">
        <v>7900</v>
      </c>
      <c r="E54" s="536">
        <v>7900</v>
      </c>
    </row>
    <row r="55" spans="1:5" ht="15.75" thickBot="1" x14ac:dyDescent="0.3">
      <c r="A55" s="545" t="s">
        <v>30</v>
      </c>
      <c r="B55" s="15">
        <v>150</v>
      </c>
      <c r="C55" s="14">
        <f>+B55</f>
        <v>150</v>
      </c>
      <c r="D55" s="14">
        <v>150</v>
      </c>
      <c r="E55" s="536">
        <v>150</v>
      </c>
    </row>
    <row r="56" spans="1:5" ht="15.75" thickBot="1" x14ac:dyDescent="0.3">
      <c r="A56" s="545" t="s">
        <v>32</v>
      </c>
      <c r="B56" s="15"/>
      <c r="C56" s="14">
        <f>+B56</f>
        <v>0</v>
      </c>
      <c r="D56" s="14">
        <f>+C56</f>
        <v>0</v>
      </c>
      <c r="E56" s="536"/>
    </row>
    <row r="57" spans="1:5" ht="15.75" thickBot="1" x14ac:dyDescent="0.3">
      <c r="A57" s="545" t="s">
        <v>34</v>
      </c>
      <c r="B57" s="15"/>
      <c r="C57" s="14">
        <f>+B57</f>
        <v>0</v>
      </c>
      <c r="D57" s="14">
        <f>+C57</f>
        <v>0</v>
      </c>
      <c r="E57" s="536"/>
    </row>
    <row r="58" spans="1:5" ht="15.75" thickBot="1" x14ac:dyDescent="0.3">
      <c r="A58" s="545" t="s">
        <v>36</v>
      </c>
      <c r="B58" s="15">
        <v>240</v>
      </c>
      <c r="C58" s="14">
        <f>+B58</f>
        <v>240</v>
      </c>
      <c r="D58" s="14">
        <f>+C58</f>
        <v>240</v>
      </c>
      <c r="E58" s="536">
        <v>240</v>
      </c>
    </row>
    <row r="59" spans="1:5" ht="15.75" thickBot="1" x14ac:dyDescent="0.3">
      <c r="A59" s="545" t="s">
        <v>38</v>
      </c>
      <c r="B59" s="15"/>
      <c r="C59" s="14">
        <f>+B59</f>
        <v>0</v>
      </c>
      <c r="D59" s="14">
        <f>+C59</f>
        <v>0</v>
      </c>
      <c r="E59" s="536"/>
    </row>
    <row r="60" spans="1:5" ht="15.75" thickBot="1" x14ac:dyDescent="0.3">
      <c r="A60" s="744" t="s">
        <v>40</v>
      </c>
      <c r="B60" s="664">
        <f>B59+B58+B57+B56+B55+B54+B53</f>
        <v>56610</v>
      </c>
      <c r="C60" s="694">
        <f>SUM(C53:C59)</f>
        <v>70810</v>
      </c>
      <c r="D60" s="694">
        <f>D59+D58+D57+D56+D55+D54+D53</f>
        <v>70810</v>
      </c>
      <c r="E60" s="565">
        <f>E59+E58+E57+E56+E55+E54+E53</f>
        <v>70810</v>
      </c>
    </row>
    <row r="61" spans="1:5" ht="15.75" thickBot="1" x14ac:dyDescent="0.3">
      <c r="A61" s="743" t="s">
        <v>41</v>
      </c>
      <c r="B61" s="742">
        <f>+B60-B60</f>
        <v>0</v>
      </c>
      <c r="C61" s="742">
        <f>+C60-C60</f>
        <v>0</v>
      </c>
      <c r="D61" s="742">
        <f>+D60-D60</f>
        <v>0</v>
      </c>
      <c r="E61" s="741">
        <f>+E60-E60</f>
        <v>0</v>
      </c>
    </row>
    <row r="62" spans="1:5" ht="50.25" customHeight="1" thickBot="1" x14ac:dyDescent="0.3">
      <c r="A62" s="740" t="s">
        <v>67</v>
      </c>
      <c r="B62" s="2032" t="s">
        <v>1323</v>
      </c>
      <c r="C62" s="2033"/>
      <c r="D62" s="2033"/>
      <c r="E62" s="2034"/>
    </row>
    <row r="63" spans="1:5" ht="15.75" thickBot="1" x14ac:dyDescent="0.3">
      <c r="A63" s="2075" t="s">
        <v>103</v>
      </c>
      <c r="B63" s="2076"/>
      <c r="C63" s="2076"/>
      <c r="D63" s="2076"/>
      <c r="E63" s="2077"/>
    </row>
    <row r="64" spans="1:5" x14ac:dyDescent="0.25">
      <c r="A64" s="739"/>
      <c r="B64" s="597">
        <v>2018</v>
      </c>
      <c r="C64" s="596">
        <v>2019</v>
      </c>
      <c r="D64" s="596">
        <v>2020</v>
      </c>
      <c r="E64" s="595">
        <v>2021</v>
      </c>
    </row>
    <row r="65" spans="1:5" ht="16.5" customHeight="1" x14ac:dyDescent="0.25">
      <c r="A65" s="738" t="s">
        <v>1322</v>
      </c>
      <c r="B65" s="737">
        <v>1</v>
      </c>
      <c r="C65" s="736">
        <f>+C71/B71</f>
        <v>1.0333333333333334</v>
      </c>
      <c r="D65" s="705">
        <f>+D71/C71</f>
        <v>1.0040322580645162</v>
      </c>
      <c r="E65" s="704">
        <f>+E71/D71</f>
        <v>1.0441767068273093</v>
      </c>
    </row>
    <row r="66" spans="1:5" ht="15.75" thickBot="1" x14ac:dyDescent="0.3">
      <c r="A66" s="723"/>
      <c r="B66" s="735" t="s">
        <v>10</v>
      </c>
      <c r="C66" s="734" t="s">
        <v>11</v>
      </c>
      <c r="D66" s="734" t="s">
        <v>11</v>
      </c>
      <c r="E66" s="733" t="s">
        <v>11</v>
      </c>
    </row>
    <row r="67" spans="1:5" ht="15.75" thickBot="1" x14ac:dyDescent="0.3">
      <c r="A67" s="2078" t="s">
        <v>69</v>
      </c>
      <c r="B67" s="2079"/>
      <c r="C67" s="2079"/>
      <c r="D67" s="2079"/>
      <c r="E67" s="2080"/>
    </row>
    <row r="68" spans="1:5" ht="15.75" customHeight="1" thickBot="1" x14ac:dyDescent="0.3">
      <c r="A68" s="732" t="s">
        <v>1291</v>
      </c>
      <c r="B68" s="2081" t="s">
        <v>559</v>
      </c>
      <c r="C68" s="2082"/>
      <c r="D68" s="2082"/>
      <c r="E68" s="2083"/>
    </row>
    <row r="69" spans="1:5" ht="40.5" customHeight="1" thickBot="1" x14ac:dyDescent="0.3">
      <c r="A69" s="731" t="s">
        <v>17</v>
      </c>
      <c r="B69" s="2084" t="s">
        <v>1321</v>
      </c>
      <c r="C69" s="2085"/>
      <c r="D69" s="2085"/>
      <c r="E69" s="2086"/>
    </row>
    <row r="70" spans="1:5" ht="15.75" thickBot="1" x14ac:dyDescent="0.3">
      <c r="A70" s="574" t="s">
        <v>18</v>
      </c>
      <c r="B70" s="1294" t="s">
        <v>1317</v>
      </c>
      <c r="C70" s="1295"/>
      <c r="D70" s="1295"/>
      <c r="E70" s="1998"/>
    </row>
    <row r="71" spans="1:5" ht="15.75" thickBot="1" x14ac:dyDescent="0.3">
      <c r="A71" s="574" t="s">
        <v>19</v>
      </c>
      <c r="B71" s="10">
        <v>1200</v>
      </c>
      <c r="C71" s="10">
        <v>1240</v>
      </c>
      <c r="D71" s="10">
        <v>1245</v>
      </c>
      <c r="E71" s="582">
        <v>1300</v>
      </c>
    </row>
    <row r="72" spans="1:5" ht="13.5" customHeight="1" x14ac:dyDescent="0.25">
      <c r="A72" s="1956"/>
      <c r="B72" s="8">
        <v>2018</v>
      </c>
      <c r="C72" s="8">
        <v>2019</v>
      </c>
      <c r="D72" s="8">
        <v>2020</v>
      </c>
      <c r="E72" s="572">
        <v>2021</v>
      </c>
    </row>
    <row r="73" spans="1:5" ht="12" customHeight="1" thickBot="1" x14ac:dyDescent="0.3">
      <c r="A73" s="1957"/>
      <c r="B73" s="9" t="s">
        <v>10</v>
      </c>
      <c r="C73" s="9" t="s">
        <v>11</v>
      </c>
      <c r="D73" s="9" t="s">
        <v>11</v>
      </c>
      <c r="E73" s="571" t="s">
        <v>11</v>
      </c>
    </row>
    <row r="74" spans="1:5" ht="15.75" thickBot="1" x14ac:dyDescent="0.3">
      <c r="A74" s="574" t="s">
        <v>20</v>
      </c>
      <c r="B74" s="730">
        <v>30299</v>
      </c>
      <c r="C74" s="729">
        <v>31199</v>
      </c>
      <c r="D74" s="729">
        <v>31199</v>
      </c>
      <c r="E74" s="728">
        <v>31199</v>
      </c>
    </row>
    <row r="75" spans="1:5" ht="15.75" thickBot="1" x14ac:dyDescent="0.3">
      <c r="A75" s="574" t="s">
        <v>21</v>
      </c>
      <c r="B75" s="576">
        <f>B74/B71</f>
        <v>25.249166666666667</v>
      </c>
      <c r="C75" s="576">
        <f>C74/C71</f>
        <v>25.160483870967742</v>
      </c>
      <c r="D75" s="576">
        <f>D74/D71</f>
        <v>25.059437751004015</v>
      </c>
      <c r="E75" s="575">
        <f>E74/E71</f>
        <v>23.99923076923077</v>
      </c>
    </row>
    <row r="76" spans="1:5" ht="15.75" thickBot="1" x14ac:dyDescent="0.3">
      <c r="A76" s="574" t="s">
        <v>22</v>
      </c>
      <c r="B76" s="225"/>
      <c r="C76" s="11">
        <f>C71/B71-1</f>
        <v>3.3333333333333437E-2</v>
      </c>
      <c r="D76" s="11">
        <f>D71/C71-1</f>
        <v>4.0322580645162365E-3</v>
      </c>
      <c r="E76" s="573">
        <f>E71/D71-1</f>
        <v>4.4176706827309342E-2</v>
      </c>
    </row>
    <row r="77" spans="1:5" ht="15.75" thickBot="1" x14ac:dyDescent="0.3">
      <c r="A77" s="574" t="s">
        <v>24</v>
      </c>
      <c r="B77" s="225"/>
      <c r="C77" s="11">
        <f t="shared" ref="C77:E78" si="1">C74/B74-1</f>
        <v>2.9703950625433073E-2</v>
      </c>
      <c r="D77" s="11">
        <f t="shared" si="1"/>
        <v>0</v>
      </c>
      <c r="E77" s="573">
        <f t="shared" si="1"/>
        <v>0</v>
      </c>
    </row>
    <row r="78" spans="1:5" ht="15.75" thickBot="1" x14ac:dyDescent="0.3">
      <c r="A78" s="574" t="s">
        <v>25</v>
      </c>
      <c r="B78" s="225"/>
      <c r="C78" s="11">
        <f t="shared" si="1"/>
        <v>-3.5123058463549794E-3</v>
      </c>
      <c r="D78" s="11">
        <f t="shared" si="1"/>
        <v>-4.0160642570281624E-3</v>
      </c>
      <c r="E78" s="573">
        <f t="shared" si="1"/>
        <v>-4.2307692307692268E-2</v>
      </c>
    </row>
    <row r="79" spans="1:5" ht="15.75" thickBot="1" x14ac:dyDescent="0.3">
      <c r="A79" s="2064" t="s">
        <v>560</v>
      </c>
      <c r="B79" s="1324"/>
      <c r="C79" s="1324"/>
      <c r="D79" s="1324"/>
      <c r="E79" s="2065"/>
    </row>
    <row r="80" spans="1:5" x14ac:dyDescent="0.25">
      <c r="A80" s="1956"/>
      <c r="B80" s="8">
        <v>2018</v>
      </c>
      <c r="C80" s="8">
        <v>2019</v>
      </c>
      <c r="D80" s="8">
        <v>2020</v>
      </c>
      <c r="E80" s="572">
        <v>2021</v>
      </c>
    </row>
    <row r="81" spans="1:5" ht="15.75" thickBot="1" x14ac:dyDescent="0.3">
      <c r="A81" s="1957"/>
      <c r="B81" s="9" t="s">
        <v>10</v>
      </c>
      <c r="C81" s="9" t="s">
        <v>11</v>
      </c>
      <c r="D81" s="9" t="s">
        <v>11</v>
      </c>
      <c r="E81" s="571" t="s">
        <v>11</v>
      </c>
    </row>
    <row r="82" spans="1:5" ht="15.75" thickBot="1" x14ac:dyDescent="0.3">
      <c r="A82" s="545" t="s">
        <v>26</v>
      </c>
      <c r="B82" s="14">
        <v>25658</v>
      </c>
      <c r="C82" s="14">
        <v>25658</v>
      </c>
      <c r="D82" s="14">
        <v>25658</v>
      </c>
      <c r="E82" s="536">
        <v>25658</v>
      </c>
    </row>
    <row r="83" spans="1:5" ht="15.75" thickBot="1" x14ac:dyDescent="0.3">
      <c r="A83" s="545" t="s">
        <v>28</v>
      </c>
      <c r="B83" s="14">
        <v>4491</v>
      </c>
      <c r="C83" s="14">
        <v>5391</v>
      </c>
      <c r="D83" s="14">
        <v>5391</v>
      </c>
      <c r="E83" s="536">
        <v>5391</v>
      </c>
    </row>
    <row r="84" spans="1:5" ht="15.75" thickBot="1" x14ac:dyDescent="0.3">
      <c r="A84" s="545" t="s">
        <v>30</v>
      </c>
      <c r="B84" s="15">
        <v>150</v>
      </c>
      <c r="C84" s="14">
        <v>150</v>
      </c>
      <c r="D84" s="14">
        <v>150</v>
      </c>
      <c r="E84" s="536">
        <v>150</v>
      </c>
    </row>
    <row r="85" spans="1:5" ht="15.75" thickBot="1" x14ac:dyDescent="0.3">
      <c r="A85" s="545" t="s">
        <v>32</v>
      </c>
      <c r="B85" s="15"/>
      <c r="C85" s="14"/>
      <c r="D85" s="14"/>
      <c r="E85" s="536"/>
    </row>
    <row r="86" spans="1:5" ht="15.75" thickBot="1" x14ac:dyDescent="0.3">
      <c r="A86" s="545" t="s">
        <v>34</v>
      </c>
      <c r="B86" s="15"/>
      <c r="C86" s="14"/>
      <c r="D86" s="14"/>
      <c r="E86" s="536"/>
    </row>
    <row r="87" spans="1:5" ht="15.75" thickBot="1" x14ac:dyDescent="0.3">
      <c r="A87" s="545" t="s">
        <v>36</v>
      </c>
      <c r="B87" s="15"/>
      <c r="C87" s="14"/>
      <c r="D87" s="14"/>
      <c r="E87" s="536"/>
    </row>
    <row r="88" spans="1:5" ht="15.75" thickBot="1" x14ac:dyDescent="0.3">
      <c r="A88" s="545" t="s">
        <v>38</v>
      </c>
      <c r="B88" s="15"/>
      <c r="C88" s="14"/>
      <c r="D88" s="14"/>
      <c r="E88" s="536"/>
    </row>
    <row r="89" spans="1:5" ht="15.75" thickBot="1" x14ac:dyDescent="0.3">
      <c r="A89" s="727" t="s">
        <v>40</v>
      </c>
      <c r="B89" s="638">
        <f>B88+B87+B86+B85+B84+B83+B82</f>
        <v>30299</v>
      </c>
      <c r="C89" s="726">
        <f>C88+C87+C86+C85+C84+C83+C82</f>
        <v>31199</v>
      </c>
      <c r="D89" s="726">
        <f>D88+D87+D86+D85+D84+D83+D82</f>
        <v>31199</v>
      </c>
      <c r="E89" s="725">
        <f>E88+E87+E86+E85+E84+E83+E82</f>
        <v>31199</v>
      </c>
    </row>
    <row r="90" spans="1:5" ht="15.75" thickBot="1" x14ac:dyDescent="0.3">
      <c r="A90" s="540" t="s">
        <v>41</v>
      </c>
      <c r="B90" s="539">
        <f>IF(B89-B74=0,0,"Error")</f>
        <v>0</v>
      </c>
      <c r="C90" s="539">
        <f>IF(C89-C74=0,0,"Error")</f>
        <v>0</v>
      </c>
      <c r="D90" s="539">
        <v>0</v>
      </c>
      <c r="E90" s="538">
        <f>IF(E89-E74=0,0,"Error")</f>
        <v>0</v>
      </c>
    </row>
    <row r="91" spans="1:5" ht="74.25" customHeight="1" thickBot="1" x14ac:dyDescent="0.3">
      <c r="A91" s="599" t="s">
        <v>75</v>
      </c>
      <c r="B91" s="2066" t="s">
        <v>1320</v>
      </c>
      <c r="C91" s="2067"/>
      <c r="D91" s="2067"/>
      <c r="E91" s="2068"/>
    </row>
    <row r="92" spans="1:5" ht="15.75" thickBot="1" x14ac:dyDescent="0.3">
      <c r="A92" s="1964" t="s">
        <v>103</v>
      </c>
      <c r="B92" s="1965"/>
      <c r="C92" s="1965"/>
      <c r="D92" s="1965"/>
      <c r="E92" s="1966"/>
    </row>
    <row r="93" spans="1:5" x14ac:dyDescent="0.25">
      <c r="A93" s="706"/>
      <c r="B93" s="596">
        <v>2018</v>
      </c>
      <c r="C93" s="596">
        <v>2019</v>
      </c>
      <c r="D93" s="596">
        <v>2020</v>
      </c>
      <c r="E93" s="595">
        <v>2021</v>
      </c>
    </row>
    <row r="94" spans="1:5" ht="22.5" x14ac:dyDescent="0.25">
      <c r="A94" s="724" t="s">
        <v>1319</v>
      </c>
      <c r="B94" s="614">
        <v>800</v>
      </c>
      <c r="C94" s="614"/>
      <c r="D94" s="614"/>
      <c r="E94" s="613"/>
    </row>
    <row r="95" spans="1:5" ht="15.75" thickBot="1" x14ac:dyDescent="0.3">
      <c r="A95" s="723"/>
      <c r="B95" s="722" t="s">
        <v>10</v>
      </c>
      <c r="C95" s="8" t="s">
        <v>11</v>
      </c>
      <c r="D95" s="8" t="s">
        <v>11</v>
      </c>
      <c r="E95" s="572" t="s">
        <v>11</v>
      </c>
    </row>
    <row r="96" spans="1:5" ht="15.75" thickBot="1" x14ac:dyDescent="0.3">
      <c r="A96" s="721" t="s">
        <v>557</v>
      </c>
      <c r="B96" s="720">
        <v>16100</v>
      </c>
      <c r="C96" s="719"/>
      <c r="D96" s="718"/>
      <c r="E96" s="717"/>
    </row>
    <row r="97" spans="1:5" ht="15.75" thickBot="1" x14ac:dyDescent="0.3">
      <c r="A97" s="1992" t="s">
        <v>77</v>
      </c>
      <c r="B97" s="1993"/>
      <c r="C97" s="1993"/>
      <c r="D97" s="1993"/>
      <c r="E97" s="1994"/>
    </row>
    <row r="98" spans="1:5" ht="28.5" customHeight="1" thickBot="1" x14ac:dyDescent="0.3">
      <c r="A98" s="716" t="s">
        <v>1291</v>
      </c>
      <c r="B98" s="2069" t="s">
        <v>1318</v>
      </c>
      <c r="C98" s="2070"/>
      <c r="D98" s="2070"/>
      <c r="E98" s="2071"/>
    </row>
    <row r="99" spans="1:5" ht="30.75" customHeight="1" thickBot="1" x14ac:dyDescent="0.3">
      <c r="A99" s="715" t="s">
        <v>17</v>
      </c>
      <c r="B99" s="2072" t="s">
        <v>561</v>
      </c>
      <c r="C99" s="2073"/>
      <c r="D99" s="2073"/>
      <c r="E99" s="2074"/>
    </row>
    <row r="100" spans="1:5" ht="15.75" thickBot="1" x14ac:dyDescent="0.3">
      <c r="A100" s="574" t="s">
        <v>18</v>
      </c>
      <c r="B100" s="1294" t="s">
        <v>1317</v>
      </c>
      <c r="C100" s="1295"/>
      <c r="D100" s="1295"/>
      <c r="E100" s="1998"/>
    </row>
    <row r="101" spans="1:5" ht="15.75" thickBot="1" x14ac:dyDescent="0.3">
      <c r="A101" s="574" t="s">
        <v>19</v>
      </c>
      <c r="B101" s="10">
        <v>800</v>
      </c>
      <c r="C101" s="10"/>
      <c r="D101" s="10"/>
      <c r="E101" s="582"/>
    </row>
    <row r="102" spans="1:5" x14ac:dyDescent="0.25">
      <c r="A102" s="1956"/>
      <c r="B102" s="8">
        <v>2018</v>
      </c>
      <c r="C102" s="8">
        <v>2019</v>
      </c>
      <c r="D102" s="8">
        <v>2020</v>
      </c>
      <c r="E102" s="572">
        <v>2021</v>
      </c>
    </row>
    <row r="103" spans="1:5" ht="15.75" thickBot="1" x14ac:dyDescent="0.3">
      <c r="A103" s="1957"/>
      <c r="B103" s="9" t="s">
        <v>10</v>
      </c>
      <c r="C103" s="9" t="s">
        <v>11</v>
      </c>
      <c r="D103" s="9" t="s">
        <v>11</v>
      </c>
      <c r="E103" s="571" t="s">
        <v>11</v>
      </c>
    </row>
    <row r="104" spans="1:5" ht="15.75" thickBot="1" x14ac:dyDescent="0.3">
      <c r="A104" s="574" t="s">
        <v>20</v>
      </c>
      <c r="B104" s="714">
        <v>16100</v>
      </c>
      <c r="C104" s="578"/>
      <c r="D104" s="578"/>
      <c r="E104" s="577"/>
    </row>
    <row r="105" spans="1:5" ht="15.75" thickBot="1" x14ac:dyDescent="0.3">
      <c r="A105" s="574" t="s">
        <v>21</v>
      </c>
      <c r="B105" s="576">
        <f>B104/B101</f>
        <v>20.125</v>
      </c>
      <c r="C105" s="576" t="e">
        <f>C104/C101</f>
        <v>#DIV/0!</v>
      </c>
      <c r="D105" s="576" t="e">
        <f>D104/D101</f>
        <v>#DIV/0!</v>
      </c>
      <c r="E105" s="575" t="e">
        <f>E104/E101</f>
        <v>#DIV/0!</v>
      </c>
    </row>
    <row r="106" spans="1:5" ht="15.75" thickBot="1" x14ac:dyDescent="0.3">
      <c r="A106" s="574" t="s">
        <v>22</v>
      </c>
      <c r="B106" s="225"/>
      <c r="C106" s="11">
        <f>C101/B101-1</f>
        <v>-1</v>
      </c>
      <c r="D106" s="11" t="e">
        <f>D101/C101-1</f>
        <v>#DIV/0!</v>
      </c>
      <c r="E106" s="573" t="e">
        <f>E101/D101-1</f>
        <v>#DIV/0!</v>
      </c>
    </row>
    <row r="107" spans="1:5" ht="15.75" thickBot="1" x14ac:dyDescent="0.3">
      <c r="A107" s="574" t="s">
        <v>24</v>
      </c>
      <c r="B107" s="225"/>
      <c r="C107" s="11">
        <f t="shared" ref="C107:E108" si="2">C104/B104-1</f>
        <v>-1</v>
      </c>
      <c r="D107" s="11" t="e">
        <f t="shared" si="2"/>
        <v>#DIV/0!</v>
      </c>
      <c r="E107" s="573" t="e">
        <f t="shared" si="2"/>
        <v>#DIV/0!</v>
      </c>
    </row>
    <row r="108" spans="1:5" ht="15.75" thickBot="1" x14ac:dyDescent="0.3">
      <c r="A108" s="574" t="s">
        <v>25</v>
      </c>
      <c r="B108" s="225"/>
      <c r="C108" s="11" t="e">
        <f t="shared" si="2"/>
        <v>#DIV/0!</v>
      </c>
      <c r="D108" s="11" t="e">
        <f t="shared" si="2"/>
        <v>#DIV/0!</v>
      </c>
      <c r="E108" s="573" t="e">
        <f t="shared" si="2"/>
        <v>#DIV/0!</v>
      </c>
    </row>
    <row r="109" spans="1:5" ht="15.75" thickBot="1" x14ac:dyDescent="0.3">
      <c r="A109" s="1999" t="s">
        <v>560</v>
      </c>
      <c r="B109" s="2000"/>
      <c r="C109" s="2000"/>
      <c r="D109" s="2000"/>
      <c r="E109" s="2001"/>
    </row>
    <row r="110" spans="1:5" x14ac:dyDescent="0.25">
      <c r="A110" s="1956"/>
      <c r="B110" s="8">
        <v>2018</v>
      </c>
      <c r="C110" s="8">
        <v>2019</v>
      </c>
      <c r="D110" s="8">
        <v>2020</v>
      </c>
      <c r="E110" s="572">
        <v>2021</v>
      </c>
    </row>
    <row r="111" spans="1:5" ht="15.75" thickBot="1" x14ac:dyDescent="0.3">
      <c r="A111" s="1957"/>
      <c r="B111" s="9" t="s">
        <v>10</v>
      </c>
      <c r="C111" s="9" t="s">
        <v>11</v>
      </c>
      <c r="D111" s="9" t="s">
        <v>11</v>
      </c>
      <c r="E111" s="571" t="s">
        <v>11</v>
      </c>
    </row>
    <row r="112" spans="1:5" ht="15.75" thickBot="1" x14ac:dyDescent="0.3">
      <c r="A112" s="545" t="s">
        <v>26</v>
      </c>
      <c r="B112" s="14">
        <v>13000</v>
      </c>
      <c r="C112" s="14"/>
      <c r="D112" s="14"/>
      <c r="E112" s="536"/>
    </row>
    <row r="113" spans="1:5" ht="15.75" thickBot="1" x14ac:dyDescent="0.3">
      <c r="A113" s="545" t="s">
        <v>28</v>
      </c>
      <c r="B113" s="14">
        <v>3100</v>
      </c>
      <c r="C113" s="14"/>
      <c r="D113" s="14"/>
      <c r="E113" s="536"/>
    </row>
    <row r="114" spans="1:5" ht="15.75" thickBot="1" x14ac:dyDescent="0.3">
      <c r="A114" s="545" t="s">
        <v>30</v>
      </c>
      <c r="B114" s="15"/>
      <c r="C114" s="14"/>
      <c r="D114" s="14"/>
      <c r="E114" s="536"/>
    </row>
    <row r="115" spans="1:5" ht="15.75" thickBot="1" x14ac:dyDescent="0.3">
      <c r="A115" s="545" t="s">
        <v>32</v>
      </c>
      <c r="B115" s="15"/>
      <c r="C115" s="14"/>
      <c r="D115" s="14"/>
      <c r="E115" s="536"/>
    </row>
    <row r="116" spans="1:5" ht="15.75" thickBot="1" x14ac:dyDescent="0.3">
      <c r="A116" s="545" t="s">
        <v>34</v>
      </c>
      <c r="B116" s="15"/>
      <c r="C116" s="14"/>
      <c r="D116" s="14"/>
      <c r="E116" s="536"/>
    </row>
    <row r="117" spans="1:5" ht="15.75" thickBot="1" x14ac:dyDescent="0.3">
      <c r="A117" s="545" t="s">
        <v>36</v>
      </c>
      <c r="B117" s="15"/>
      <c r="C117" s="14"/>
      <c r="D117" s="14"/>
      <c r="E117" s="536"/>
    </row>
    <row r="118" spans="1:5" ht="15.75" thickBot="1" x14ac:dyDescent="0.3">
      <c r="A118" s="569" t="s">
        <v>38</v>
      </c>
      <c r="B118" s="663"/>
      <c r="C118" s="371"/>
      <c r="D118" s="371"/>
      <c r="E118" s="713"/>
    </row>
    <row r="119" spans="1:5" ht="15.75" thickBot="1" x14ac:dyDescent="0.3">
      <c r="A119" s="712" t="s">
        <v>40</v>
      </c>
      <c r="B119" s="711">
        <f>B118+B117+B116+B115+B114+B113+B112</f>
        <v>16100</v>
      </c>
      <c r="C119" s="710">
        <f>C118+C117+C116+C115+C114+C113+C112</f>
        <v>0</v>
      </c>
      <c r="D119" s="710">
        <f>D118+D117+D116+D115+D114+D113+D112</f>
        <v>0</v>
      </c>
      <c r="E119" s="709">
        <f>E118+E117+E116+E115+E114+E113+E112</f>
        <v>0</v>
      </c>
    </row>
    <row r="120" spans="1:5" ht="15.75" thickBot="1" x14ac:dyDescent="0.3">
      <c r="A120" s="708" t="s">
        <v>41</v>
      </c>
      <c r="B120" s="18">
        <f>IF(B106-B90=0,0,"Error")</f>
        <v>0</v>
      </c>
      <c r="C120" s="18">
        <v>0</v>
      </c>
      <c r="D120" s="18">
        <v>0</v>
      </c>
      <c r="E120" s="554">
        <v>0</v>
      </c>
    </row>
    <row r="121" spans="1:5" ht="57.75" customHeight="1" thickBot="1" x14ac:dyDescent="0.3">
      <c r="A121" s="599" t="s">
        <v>78</v>
      </c>
      <c r="B121" s="2032" t="s">
        <v>1316</v>
      </c>
      <c r="C121" s="2033"/>
      <c r="D121" s="2033"/>
      <c r="E121" s="2034"/>
    </row>
    <row r="122" spans="1:5" ht="15.75" thickBot="1" x14ac:dyDescent="0.3">
      <c r="A122" s="1964" t="s">
        <v>374</v>
      </c>
      <c r="B122" s="1965"/>
      <c r="C122" s="1965"/>
      <c r="D122" s="1965"/>
      <c r="E122" s="1966"/>
    </row>
    <row r="123" spans="1:5" x14ac:dyDescent="0.25">
      <c r="A123" s="707"/>
      <c r="B123" s="597">
        <v>2018</v>
      </c>
      <c r="C123" s="596">
        <v>2019</v>
      </c>
      <c r="D123" s="596">
        <v>2020</v>
      </c>
      <c r="E123" s="595">
        <v>2021</v>
      </c>
    </row>
    <row r="124" spans="1:5" x14ac:dyDescent="0.25">
      <c r="A124" s="706" t="s">
        <v>1315</v>
      </c>
      <c r="B124" s="696" t="s">
        <v>1307</v>
      </c>
      <c r="C124" s="705">
        <v>1.2</v>
      </c>
      <c r="D124" s="705">
        <v>1.3</v>
      </c>
      <c r="E124" s="704">
        <v>1.5</v>
      </c>
    </row>
    <row r="125" spans="1:5" x14ac:dyDescent="0.25">
      <c r="A125" s="703" t="s">
        <v>1314</v>
      </c>
      <c r="B125" s="683" t="s">
        <v>1307</v>
      </c>
      <c r="C125" s="682">
        <v>1.5</v>
      </c>
      <c r="D125" s="682">
        <v>1.3333333333333333</v>
      </c>
      <c r="E125" s="681">
        <v>1.25</v>
      </c>
    </row>
    <row r="126" spans="1:5" ht="15.75" thickBot="1" x14ac:dyDescent="0.3">
      <c r="A126" s="702" t="s">
        <v>111</v>
      </c>
      <c r="B126" s="701" t="s">
        <v>112</v>
      </c>
      <c r="C126" s="700" t="s">
        <v>113</v>
      </c>
      <c r="D126" s="700" t="s">
        <v>113</v>
      </c>
      <c r="E126" s="699" t="s">
        <v>113</v>
      </c>
    </row>
    <row r="127" spans="1:5" ht="57.75" customHeight="1" thickBot="1" x14ac:dyDescent="0.3">
      <c r="A127" s="698" t="s">
        <v>1291</v>
      </c>
      <c r="B127" s="2057" t="s">
        <v>562</v>
      </c>
      <c r="C127" s="2058"/>
      <c r="D127" s="2058"/>
      <c r="E127" s="2059"/>
    </row>
    <row r="128" spans="1:5" ht="69" customHeight="1" thickBot="1" x14ac:dyDescent="0.3">
      <c r="A128" s="697" t="s">
        <v>17</v>
      </c>
      <c r="B128" s="2060" t="s">
        <v>563</v>
      </c>
      <c r="C128" s="2061"/>
      <c r="D128" s="2062"/>
      <c r="E128" s="2063"/>
    </row>
    <row r="129" spans="1:5" ht="15.75" thickBot="1" x14ac:dyDescent="0.3">
      <c r="A129" s="574" t="s">
        <v>18</v>
      </c>
      <c r="B129" s="1294" t="s">
        <v>1313</v>
      </c>
      <c r="C129" s="1295"/>
      <c r="D129" s="1295"/>
      <c r="E129" s="1998"/>
    </row>
    <row r="130" spans="1:5" ht="15.75" thickBot="1" x14ac:dyDescent="0.3">
      <c r="A130" s="574" t="s">
        <v>19</v>
      </c>
      <c r="B130" s="10">
        <v>500</v>
      </c>
      <c r="C130" s="10">
        <v>550</v>
      </c>
      <c r="D130" s="10">
        <v>570</v>
      </c>
      <c r="E130" s="582">
        <v>600</v>
      </c>
    </row>
    <row r="131" spans="1:5" x14ac:dyDescent="0.25">
      <c r="A131" s="1956"/>
      <c r="B131" s="8">
        <v>2018</v>
      </c>
      <c r="C131" s="8">
        <v>2019</v>
      </c>
      <c r="D131" s="8">
        <v>2020</v>
      </c>
      <c r="E131" s="572">
        <v>2021</v>
      </c>
    </row>
    <row r="132" spans="1:5" ht="15.75" thickBot="1" x14ac:dyDescent="0.3">
      <c r="A132" s="1957"/>
      <c r="B132" s="9" t="s">
        <v>10</v>
      </c>
      <c r="C132" s="9" t="s">
        <v>11</v>
      </c>
      <c r="D132" s="9" t="s">
        <v>11</v>
      </c>
      <c r="E132" s="571" t="s">
        <v>11</v>
      </c>
    </row>
    <row r="133" spans="1:5" ht="15.75" thickBot="1" x14ac:dyDescent="0.3">
      <c r="A133" s="574" t="s">
        <v>20</v>
      </c>
      <c r="B133" s="696">
        <v>12731</v>
      </c>
      <c r="C133" s="578">
        <v>12931</v>
      </c>
      <c r="D133" s="578">
        <v>12931</v>
      </c>
      <c r="E133" s="577">
        <v>12931</v>
      </c>
    </row>
    <row r="134" spans="1:5" ht="15.75" thickBot="1" x14ac:dyDescent="0.3">
      <c r="A134" s="574" t="s">
        <v>21</v>
      </c>
      <c r="B134" s="623">
        <f>B133/B130</f>
        <v>25.462</v>
      </c>
      <c r="C134" s="623">
        <f>C133/C130</f>
        <v>23.510909090909092</v>
      </c>
      <c r="D134" s="623">
        <f>D133/D130</f>
        <v>22.685964912280703</v>
      </c>
      <c r="E134" s="575">
        <f>E133/E130</f>
        <v>21.551666666666666</v>
      </c>
    </row>
    <row r="135" spans="1:5" ht="15.75" thickBot="1" x14ac:dyDescent="0.3">
      <c r="A135" s="574" t="s">
        <v>22</v>
      </c>
      <c r="B135" s="225"/>
      <c r="C135" s="11">
        <f>C130/B130-1</f>
        <v>0.10000000000000009</v>
      </c>
      <c r="D135" s="11">
        <f>D130/C130-1</f>
        <v>3.6363636363636376E-2</v>
      </c>
      <c r="E135" s="573">
        <f>E130/D130-1</f>
        <v>5.2631578947368363E-2</v>
      </c>
    </row>
    <row r="136" spans="1:5" ht="15.75" thickBot="1" x14ac:dyDescent="0.3">
      <c r="A136" s="574" t="s">
        <v>24</v>
      </c>
      <c r="B136" s="225"/>
      <c r="C136" s="11">
        <f t="shared" ref="C136:E137" si="3">C133/B133-1</f>
        <v>1.5709685020815378E-2</v>
      </c>
      <c r="D136" s="11">
        <f t="shared" si="3"/>
        <v>0</v>
      </c>
      <c r="E136" s="573">
        <f t="shared" si="3"/>
        <v>0</v>
      </c>
    </row>
    <row r="137" spans="1:5" ht="15.75" thickBot="1" x14ac:dyDescent="0.3">
      <c r="A137" s="574" t="s">
        <v>25</v>
      </c>
      <c r="B137" s="225"/>
      <c r="C137" s="11">
        <f t="shared" si="3"/>
        <v>-7.662755907198604E-2</v>
      </c>
      <c r="D137" s="11">
        <f t="shared" si="3"/>
        <v>-3.5087719298245612E-2</v>
      </c>
      <c r="E137" s="573">
        <f t="shared" si="3"/>
        <v>-5.0000000000000044E-2</v>
      </c>
    </row>
    <row r="138" spans="1:5" ht="15.75" thickBot="1" x14ac:dyDescent="0.3">
      <c r="A138" s="1999" t="s">
        <v>560</v>
      </c>
      <c r="B138" s="2000"/>
      <c r="C138" s="2000"/>
      <c r="D138" s="2000"/>
      <c r="E138" s="2001"/>
    </row>
    <row r="139" spans="1:5" x14ac:dyDescent="0.25">
      <c r="A139" s="1956"/>
      <c r="B139" s="8">
        <v>2018</v>
      </c>
      <c r="C139" s="8">
        <v>2019</v>
      </c>
      <c r="D139" s="8">
        <v>2020</v>
      </c>
      <c r="E139" s="572">
        <v>2021</v>
      </c>
    </row>
    <row r="140" spans="1:5" ht="15.75" thickBot="1" x14ac:dyDescent="0.3">
      <c r="A140" s="1957"/>
      <c r="B140" s="9" t="s">
        <v>10</v>
      </c>
      <c r="C140" s="9" t="s">
        <v>11</v>
      </c>
      <c r="D140" s="9" t="s">
        <v>11</v>
      </c>
      <c r="E140" s="571" t="s">
        <v>11</v>
      </c>
    </row>
    <row r="141" spans="1:5" ht="15.75" thickBot="1" x14ac:dyDescent="0.3">
      <c r="A141" s="545" t="s">
        <v>26</v>
      </c>
      <c r="B141" s="14">
        <v>9622</v>
      </c>
      <c r="C141" s="190">
        <f>+B141</f>
        <v>9622</v>
      </c>
      <c r="D141" s="190">
        <f>+C141</f>
        <v>9622</v>
      </c>
      <c r="E141" s="695">
        <v>9622</v>
      </c>
    </row>
    <row r="142" spans="1:5" ht="15.75" thickBot="1" x14ac:dyDescent="0.3">
      <c r="A142" s="545" t="s">
        <v>28</v>
      </c>
      <c r="B142" s="14">
        <v>1309</v>
      </c>
      <c r="C142" s="14">
        <f>+B142</f>
        <v>1309</v>
      </c>
      <c r="D142" s="14">
        <f>+C142</f>
        <v>1309</v>
      </c>
      <c r="E142" s="536">
        <v>1309</v>
      </c>
    </row>
    <row r="143" spans="1:5" ht="15.75" thickBot="1" x14ac:dyDescent="0.3">
      <c r="A143" s="545" t="s">
        <v>30</v>
      </c>
      <c r="B143" s="14">
        <v>1800</v>
      </c>
      <c r="C143" s="14">
        <v>2000</v>
      </c>
      <c r="D143" s="14">
        <v>2000</v>
      </c>
      <c r="E143" s="536">
        <v>2000</v>
      </c>
    </row>
    <row r="144" spans="1:5" ht="15.75" thickBot="1" x14ac:dyDescent="0.3">
      <c r="A144" s="545" t="s">
        <v>32</v>
      </c>
      <c r="B144" s="15"/>
      <c r="C144" s="14"/>
      <c r="D144" s="14"/>
      <c r="E144" s="536"/>
    </row>
    <row r="145" spans="1:5" ht="15.75" thickBot="1" x14ac:dyDescent="0.3">
      <c r="A145" s="545" t="s">
        <v>34</v>
      </c>
      <c r="B145" s="15"/>
      <c r="C145" s="14"/>
      <c r="D145" s="14"/>
      <c r="E145" s="536"/>
    </row>
    <row r="146" spans="1:5" ht="15.75" thickBot="1" x14ac:dyDescent="0.3">
      <c r="A146" s="545" t="s">
        <v>36</v>
      </c>
      <c r="B146" s="15"/>
      <c r="C146" s="14"/>
      <c r="D146" s="14"/>
      <c r="E146" s="536"/>
    </row>
    <row r="147" spans="1:5" ht="15.75" thickBot="1" x14ac:dyDescent="0.3">
      <c r="A147" s="569" t="s">
        <v>38</v>
      </c>
      <c r="B147" s="15"/>
      <c r="C147" s="14"/>
      <c r="D147" s="14"/>
      <c r="E147" s="536"/>
    </row>
    <row r="148" spans="1:5" ht="15.75" thickBot="1" x14ac:dyDescent="0.3">
      <c r="A148" s="621" t="s">
        <v>40</v>
      </c>
      <c r="B148" s="664">
        <f>B147+B146+B145+B144+B143+B142+B141</f>
        <v>12731</v>
      </c>
      <c r="C148" s="694">
        <f>C147+C146+C145+C144+C143+C142+C141</f>
        <v>12931</v>
      </c>
      <c r="D148" s="694">
        <f>D147+D146+D145+D144+D143+D142+D141</f>
        <v>12931</v>
      </c>
      <c r="E148" s="565">
        <f>E147+E146+E145+E144+E143+E142+E141</f>
        <v>12931</v>
      </c>
    </row>
    <row r="149" spans="1:5" ht="15.75" thickBot="1" x14ac:dyDescent="0.3">
      <c r="A149" s="540" t="s">
        <v>41</v>
      </c>
      <c r="B149" s="539">
        <f>IF(B148-B133=0,0,"Error")</f>
        <v>0</v>
      </c>
      <c r="C149" s="539">
        <f>IF(C148-C133=0,0,"Error")</f>
        <v>0</v>
      </c>
      <c r="D149" s="539">
        <v>0</v>
      </c>
      <c r="E149" s="538">
        <f>IF(E148-E133=0,0,"Error")</f>
        <v>0</v>
      </c>
    </row>
    <row r="150" spans="1:5" ht="15.75" thickBot="1" x14ac:dyDescent="0.3">
      <c r="A150" s="693" t="s">
        <v>1312</v>
      </c>
      <c r="B150" s="628" t="s">
        <v>1311</v>
      </c>
      <c r="C150" s="627"/>
      <c r="D150" s="627"/>
      <c r="E150" s="626"/>
    </row>
    <row r="151" spans="1:5" ht="24.75" customHeight="1" thickBot="1" x14ac:dyDescent="0.3">
      <c r="A151" s="692" t="s">
        <v>17</v>
      </c>
      <c r="B151" s="2054" t="s">
        <v>1310</v>
      </c>
      <c r="C151" s="2055"/>
      <c r="D151" s="2055"/>
      <c r="E151" s="2056"/>
    </row>
    <row r="152" spans="1:5" ht="15.75" thickBot="1" x14ac:dyDescent="0.3">
      <c r="A152" s="691" t="s">
        <v>1309</v>
      </c>
      <c r="B152" s="690"/>
      <c r="C152" s="689"/>
      <c r="D152" s="689"/>
      <c r="E152" s="688"/>
    </row>
    <row r="153" spans="1:5" x14ac:dyDescent="0.25">
      <c r="A153" s="687"/>
      <c r="B153" s="686">
        <v>2018</v>
      </c>
      <c r="C153" s="686">
        <v>2019</v>
      </c>
      <c r="D153" s="686">
        <v>2020</v>
      </c>
      <c r="E153" s="685">
        <v>2021</v>
      </c>
    </row>
    <row r="154" spans="1:5" x14ac:dyDescent="0.25">
      <c r="A154" s="684" t="s">
        <v>1308</v>
      </c>
      <c r="B154" s="683" t="s">
        <v>1307</v>
      </c>
      <c r="C154" s="682">
        <v>1.5</v>
      </c>
      <c r="D154" s="682">
        <v>1.3333333333333333</v>
      </c>
      <c r="E154" s="681">
        <v>1.25</v>
      </c>
    </row>
    <row r="155" spans="1:5" ht="23.25" thickBot="1" x14ac:dyDescent="0.3">
      <c r="A155" s="680" t="s">
        <v>111</v>
      </c>
      <c r="B155" s="679" t="s">
        <v>112</v>
      </c>
      <c r="C155" s="679" t="s">
        <v>113</v>
      </c>
      <c r="D155" s="679" t="s">
        <v>113</v>
      </c>
      <c r="E155" s="678" t="s">
        <v>113</v>
      </c>
    </row>
    <row r="156" spans="1:5" ht="15.75" thickBot="1" x14ac:dyDescent="0.3">
      <c r="A156" s="574" t="s">
        <v>18</v>
      </c>
      <c r="B156" s="1294" t="s">
        <v>1306</v>
      </c>
      <c r="C156" s="1295"/>
      <c r="D156" s="1295"/>
      <c r="E156" s="1998"/>
    </row>
    <row r="157" spans="1:5" ht="15.75" thickBot="1" x14ac:dyDescent="0.3">
      <c r="A157" s="574" t="s">
        <v>19</v>
      </c>
      <c r="B157" s="10">
        <v>2</v>
      </c>
      <c r="C157" s="10">
        <v>3</v>
      </c>
      <c r="D157" s="10">
        <v>4</v>
      </c>
      <c r="E157" s="582">
        <v>5</v>
      </c>
    </row>
    <row r="158" spans="1:5" x14ac:dyDescent="0.25">
      <c r="A158" s="1956"/>
      <c r="B158" s="8">
        <v>2018</v>
      </c>
      <c r="C158" s="8">
        <v>2019</v>
      </c>
      <c r="D158" s="8">
        <v>2020</v>
      </c>
      <c r="E158" s="572">
        <v>2021</v>
      </c>
    </row>
    <row r="159" spans="1:5" ht="11.25" customHeight="1" thickBot="1" x14ac:dyDescent="0.3">
      <c r="A159" s="1957"/>
      <c r="B159" s="9" t="s">
        <v>10</v>
      </c>
      <c r="C159" s="9" t="s">
        <v>11</v>
      </c>
      <c r="D159" s="9" t="s">
        <v>11</v>
      </c>
      <c r="E159" s="571" t="s">
        <v>11</v>
      </c>
    </row>
    <row r="160" spans="1:5" ht="15.75" thickBot="1" x14ac:dyDescent="0.3">
      <c r="A160" s="574" t="s">
        <v>20</v>
      </c>
      <c r="B160" s="677">
        <v>300</v>
      </c>
      <c r="C160" s="578">
        <v>300</v>
      </c>
      <c r="D160" s="578">
        <v>300</v>
      </c>
      <c r="E160" s="577">
        <v>300</v>
      </c>
    </row>
    <row r="161" spans="1:5" ht="15.75" thickBot="1" x14ac:dyDescent="0.3">
      <c r="A161" s="574" t="s">
        <v>21</v>
      </c>
      <c r="B161" s="623">
        <f>B160/B157</f>
        <v>150</v>
      </c>
      <c r="C161" s="623">
        <f>C160/C157</f>
        <v>100</v>
      </c>
      <c r="D161" s="576">
        <f>D160/D157</f>
        <v>75</v>
      </c>
      <c r="E161" s="575">
        <f>E160/E157</f>
        <v>60</v>
      </c>
    </row>
    <row r="162" spans="1:5" ht="15.75" thickBot="1" x14ac:dyDescent="0.3">
      <c r="A162" s="574" t="s">
        <v>22</v>
      </c>
      <c r="B162" s="225"/>
      <c r="C162" s="11">
        <f>C157/B157-1</f>
        <v>0.5</v>
      </c>
      <c r="D162" s="11">
        <f>D157/C157-1</f>
        <v>0.33333333333333326</v>
      </c>
      <c r="E162" s="573">
        <f>E157/D157-1</f>
        <v>0.25</v>
      </c>
    </row>
    <row r="163" spans="1:5" ht="15.75" thickBot="1" x14ac:dyDescent="0.3">
      <c r="A163" s="574" t="s">
        <v>24</v>
      </c>
      <c r="B163" s="225"/>
      <c r="C163" s="11">
        <f t="shared" ref="C163:E164" si="4">C160/B160-1</f>
        <v>0</v>
      </c>
      <c r="D163" s="11">
        <f t="shared" si="4"/>
        <v>0</v>
      </c>
      <c r="E163" s="573">
        <f t="shared" si="4"/>
        <v>0</v>
      </c>
    </row>
    <row r="164" spans="1:5" ht="15.75" thickBot="1" x14ac:dyDescent="0.3">
      <c r="A164" s="574" t="s">
        <v>25</v>
      </c>
      <c r="B164" s="225"/>
      <c r="C164" s="11">
        <f t="shared" si="4"/>
        <v>-0.33333333333333337</v>
      </c>
      <c r="D164" s="11">
        <f t="shared" si="4"/>
        <v>-0.25</v>
      </c>
      <c r="E164" s="573">
        <f t="shared" si="4"/>
        <v>-0.19999999999999996</v>
      </c>
    </row>
    <row r="165" spans="1:5" ht="15.75" thickBot="1" x14ac:dyDescent="0.3">
      <c r="A165" s="2027" t="s">
        <v>564</v>
      </c>
      <c r="B165" s="1773"/>
      <c r="C165" s="1773"/>
      <c r="D165" s="1773"/>
      <c r="E165" s="2028"/>
    </row>
    <row r="166" spans="1:5" x14ac:dyDescent="0.25">
      <c r="A166" s="1956"/>
      <c r="B166" s="8">
        <v>2018</v>
      </c>
      <c r="C166" s="8">
        <v>2019</v>
      </c>
      <c r="D166" s="8">
        <v>2020</v>
      </c>
      <c r="E166" s="572">
        <v>2021</v>
      </c>
    </row>
    <row r="167" spans="1:5" ht="15.75" thickBot="1" x14ac:dyDescent="0.3">
      <c r="A167" s="1957"/>
      <c r="B167" s="9" t="s">
        <v>10</v>
      </c>
      <c r="C167" s="9" t="s">
        <v>11</v>
      </c>
      <c r="D167" s="9" t="s">
        <v>11</v>
      </c>
      <c r="E167" s="571" t="s">
        <v>11</v>
      </c>
    </row>
    <row r="168" spans="1:5" ht="15.75" thickBot="1" x14ac:dyDescent="0.3">
      <c r="A168" s="549" t="s">
        <v>26</v>
      </c>
      <c r="B168" s="60"/>
      <c r="C168" s="60"/>
      <c r="D168" s="60"/>
      <c r="E168" s="675"/>
    </row>
    <row r="169" spans="1:5" ht="15.75" thickBot="1" x14ac:dyDescent="0.3">
      <c r="A169" s="549" t="s">
        <v>28</v>
      </c>
      <c r="B169" s="60"/>
      <c r="C169" s="60"/>
      <c r="D169" s="60"/>
      <c r="E169" s="675"/>
    </row>
    <row r="170" spans="1:5" ht="15.75" thickBot="1" x14ac:dyDescent="0.3">
      <c r="A170" s="549" t="s">
        <v>30</v>
      </c>
      <c r="B170" s="191">
        <v>300</v>
      </c>
      <c r="C170" s="60">
        <v>300</v>
      </c>
      <c r="D170" s="60">
        <v>300</v>
      </c>
      <c r="E170" s="675">
        <v>300</v>
      </c>
    </row>
    <row r="171" spans="1:5" ht="15.75" thickBot="1" x14ac:dyDescent="0.3">
      <c r="A171" s="549" t="s">
        <v>32</v>
      </c>
      <c r="B171" s="191"/>
      <c r="C171" s="60"/>
      <c r="D171" s="60"/>
      <c r="E171" s="675"/>
    </row>
    <row r="172" spans="1:5" ht="15.75" thickBot="1" x14ac:dyDescent="0.3">
      <c r="A172" s="549" t="s">
        <v>34</v>
      </c>
      <c r="B172" s="191"/>
      <c r="C172" s="60"/>
      <c r="D172" s="60"/>
      <c r="E172" s="675"/>
    </row>
    <row r="173" spans="1:5" ht="15.75" thickBot="1" x14ac:dyDescent="0.3">
      <c r="A173" s="549" t="s">
        <v>36</v>
      </c>
      <c r="B173" s="191"/>
      <c r="C173" s="60"/>
      <c r="D173" s="60"/>
      <c r="E173" s="675"/>
    </row>
    <row r="174" spans="1:5" ht="15.75" thickBot="1" x14ac:dyDescent="0.3">
      <c r="A174" s="676" t="s">
        <v>38</v>
      </c>
      <c r="B174" s="191"/>
      <c r="C174" s="60"/>
      <c r="D174" s="60"/>
      <c r="E174" s="675"/>
    </row>
    <row r="175" spans="1:5" ht="15.75" thickBot="1" x14ac:dyDescent="0.3">
      <c r="A175" s="674" t="s">
        <v>43</v>
      </c>
      <c r="B175" s="673">
        <f>SUM(B170:B174)</f>
        <v>300</v>
      </c>
      <c r="C175" s="673">
        <f>SUM(C170:C174)</f>
        <v>300</v>
      </c>
      <c r="D175" s="673">
        <f>SUM(D170:D174)</f>
        <v>300</v>
      </c>
      <c r="E175" s="672">
        <f>SUM(E170:E174)</f>
        <v>300</v>
      </c>
    </row>
    <row r="176" spans="1:5" ht="15.75" thickBot="1" x14ac:dyDescent="0.3">
      <c r="A176" s="671" t="s">
        <v>41</v>
      </c>
      <c r="B176" s="670">
        <v>0</v>
      </c>
      <c r="C176" s="670">
        <v>0</v>
      </c>
      <c r="D176" s="670">
        <v>0</v>
      </c>
      <c r="E176" s="538">
        <v>0</v>
      </c>
    </row>
    <row r="177" spans="1:5" ht="15.75" thickBot="1" x14ac:dyDescent="0.3">
      <c r="A177" s="1967" t="s">
        <v>382</v>
      </c>
      <c r="B177" s="1968"/>
      <c r="C177" s="1968"/>
      <c r="D177" s="1968"/>
      <c r="E177" s="1969"/>
    </row>
    <row r="178" spans="1:5" ht="15.75" thickBot="1" x14ac:dyDescent="0.3">
      <c r="A178" s="2046" t="s">
        <v>63</v>
      </c>
      <c r="B178" s="2047"/>
      <c r="C178" s="2047"/>
      <c r="D178" s="2047"/>
      <c r="E178" s="2048"/>
    </row>
    <row r="179" spans="1:5" ht="15.75" thickBot="1" x14ac:dyDescent="0.3">
      <c r="A179" s="2049" t="s">
        <v>1305</v>
      </c>
      <c r="B179" s="1276"/>
      <c r="C179" s="1276"/>
      <c r="D179" s="1276"/>
      <c r="E179" s="2050"/>
    </row>
    <row r="180" spans="1:5" ht="15.75" thickBot="1" x14ac:dyDescent="0.3">
      <c r="A180" s="669" t="s">
        <v>61</v>
      </c>
      <c r="B180" s="2051"/>
      <c r="C180" s="2052"/>
      <c r="D180" s="2052"/>
      <c r="E180" s="2053"/>
    </row>
    <row r="181" spans="1:5" ht="15.75" thickBot="1" x14ac:dyDescent="0.3">
      <c r="A181" s="668" t="s">
        <v>16</v>
      </c>
      <c r="B181" s="2020" t="s">
        <v>1304</v>
      </c>
      <c r="C181" s="2021"/>
      <c r="D181" s="2021" t="s">
        <v>565</v>
      </c>
      <c r="E181" s="2022"/>
    </row>
    <row r="182" spans="1:5" ht="97.5" customHeight="1" thickBot="1" x14ac:dyDescent="0.3">
      <c r="A182" s="574" t="s">
        <v>17</v>
      </c>
      <c r="B182" s="2023" t="s">
        <v>566</v>
      </c>
      <c r="C182" s="2024"/>
      <c r="D182" s="2024"/>
      <c r="E182" s="2025"/>
    </row>
    <row r="183" spans="1:5" ht="15.75" thickBot="1" x14ac:dyDescent="0.3">
      <c r="A183" s="574" t="s">
        <v>18</v>
      </c>
      <c r="B183" s="1248" t="s">
        <v>321</v>
      </c>
      <c r="C183" s="1249"/>
      <c r="D183" s="1249"/>
      <c r="E183" s="2026"/>
    </row>
    <row r="184" spans="1:5" x14ac:dyDescent="0.25">
      <c r="A184" s="1956"/>
      <c r="B184" s="8">
        <v>2018</v>
      </c>
      <c r="C184" s="8">
        <v>2019</v>
      </c>
      <c r="D184" s="8">
        <v>2020</v>
      </c>
      <c r="E184" s="572">
        <v>2021</v>
      </c>
    </row>
    <row r="185" spans="1:5" ht="15.75" thickBot="1" x14ac:dyDescent="0.3">
      <c r="A185" s="1957"/>
      <c r="B185" s="9" t="s">
        <v>10</v>
      </c>
      <c r="C185" s="9" t="s">
        <v>11</v>
      </c>
      <c r="D185" s="9" t="s">
        <v>11</v>
      </c>
      <c r="E185" s="571" t="s">
        <v>11</v>
      </c>
    </row>
    <row r="186" spans="1:5" ht="15.75" thickBot="1" x14ac:dyDescent="0.3">
      <c r="A186" s="574" t="s">
        <v>19</v>
      </c>
      <c r="B186" s="10">
        <v>9</v>
      </c>
      <c r="C186" s="10">
        <v>12</v>
      </c>
      <c r="D186" s="10">
        <v>20</v>
      </c>
      <c r="E186" s="582">
        <v>21</v>
      </c>
    </row>
    <row r="187" spans="1:5" ht="15.75" thickBot="1" x14ac:dyDescent="0.3">
      <c r="A187" s="574" t="s">
        <v>20</v>
      </c>
      <c r="B187" s="10">
        <v>1500</v>
      </c>
      <c r="C187" s="10">
        <v>1500</v>
      </c>
      <c r="D187" s="10">
        <v>3000</v>
      </c>
      <c r="E187" s="582">
        <v>2250</v>
      </c>
    </row>
    <row r="188" spans="1:5" ht="15.75" thickBot="1" x14ac:dyDescent="0.3">
      <c r="A188" s="574" t="s">
        <v>21</v>
      </c>
      <c r="B188" s="576">
        <f>B187/B186</f>
        <v>166.66666666666666</v>
      </c>
      <c r="C188" s="576">
        <f>C187/C186</f>
        <v>125</v>
      </c>
      <c r="D188" s="576">
        <f>D187/D186</f>
        <v>150</v>
      </c>
      <c r="E188" s="575">
        <f>E187/E186</f>
        <v>107.14285714285714</v>
      </c>
    </row>
    <row r="189" spans="1:5" ht="15.75" thickBot="1" x14ac:dyDescent="0.3">
      <c r="A189" s="574" t="s">
        <v>22</v>
      </c>
      <c r="B189" s="225" t="s">
        <v>23</v>
      </c>
      <c r="C189" s="11">
        <f t="shared" ref="C189:E191" si="5">C186/B186-1</f>
        <v>0.33333333333333326</v>
      </c>
      <c r="D189" s="11">
        <f t="shared" si="5"/>
        <v>0.66666666666666674</v>
      </c>
      <c r="E189" s="573">
        <f t="shared" si="5"/>
        <v>5.0000000000000044E-2</v>
      </c>
    </row>
    <row r="190" spans="1:5" ht="15.75" thickBot="1" x14ac:dyDescent="0.3">
      <c r="A190" s="574" t="s">
        <v>24</v>
      </c>
      <c r="B190" s="225" t="s">
        <v>23</v>
      </c>
      <c r="C190" s="11">
        <f t="shared" si="5"/>
        <v>0</v>
      </c>
      <c r="D190" s="11">
        <f t="shared" si="5"/>
        <v>1</v>
      </c>
      <c r="E190" s="573">
        <f t="shared" si="5"/>
        <v>-0.25</v>
      </c>
    </row>
    <row r="191" spans="1:5" ht="15.75" thickBot="1" x14ac:dyDescent="0.3">
      <c r="A191" s="574" t="s">
        <v>25</v>
      </c>
      <c r="B191" s="225" t="s">
        <v>23</v>
      </c>
      <c r="C191" s="11">
        <f t="shared" si="5"/>
        <v>-0.25</v>
      </c>
      <c r="D191" s="11">
        <f t="shared" si="5"/>
        <v>0.19999999999999996</v>
      </c>
      <c r="E191" s="573">
        <f t="shared" si="5"/>
        <v>-0.2857142857142857</v>
      </c>
    </row>
    <row r="192" spans="1:5" ht="15.75" thickBot="1" x14ac:dyDescent="0.3">
      <c r="A192" s="1999" t="s">
        <v>114</v>
      </c>
      <c r="B192" s="2000"/>
      <c r="C192" s="2000"/>
      <c r="D192" s="2000"/>
      <c r="E192" s="2001"/>
    </row>
    <row r="193" spans="1:5" x14ac:dyDescent="0.25">
      <c r="A193" s="1956"/>
      <c r="B193" s="8">
        <v>2018</v>
      </c>
      <c r="C193" s="8">
        <v>2019</v>
      </c>
      <c r="D193" s="8">
        <v>2020</v>
      </c>
      <c r="E193" s="572">
        <v>2021</v>
      </c>
    </row>
    <row r="194" spans="1:5" ht="15.75" thickBot="1" x14ac:dyDescent="0.3">
      <c r="A194" s="1957"/>
      <c r="B194" s="9" t="s">
        <v>10</v>
      </c>
      <c r="C194" s="9" t="s">
        <v>11</v>
      </c>
      <c r="D194" s="9" t="s">
        <v>11</v>
      </c>
      <c r="E194" s="571" t="s">
        <v>11</v>
      </c>
    </row>
    <row r="195" spans="1:5" ht="15.75" thickBot="1" x14ac:dyDescent="0.3">
      <c r="A195" s="667" t="s">
        <v>58</v>
      </c>
      <c r="B195" s="14"/>
      <c r="C195" s="14"/>
      <c r="D195" s="14"/>
      <c r="E195" s="536"/>
    </row>
    <row r="196" spans="1:5" ht="15.75" thickBot="1" x14ac:dyDescent="0.3">
      <c r="A196" s="666" t="s">
        <v>59</v>
      </c>
      <c r="B196" s="15">
        <v>1500</v>
      </c>
      <c r="C196" s="14">
        <v>1500</v>
      </c>
      <c r="D196" s="14">
        <v>3000</v>
      </c>
      <c r="E196" s="536">
        <v>2250</v>
      </c>
    </row>
    <row r="197" spans="1:5" ht="15.75" thickBot="1" x14ac:dyDescent="0.3">
      <c r="A197" s="665" t="s">
        <v>40</v>
      </c>
      <c r="B197" s="664">
        <f>B196+B195</f>
        <v>1500</v>
      </c>
      <c r="C197" s="663">
        <f>C196+C195</f>
        <v>1500</v>
      </c>
      <c r="D197" s="663">
        <f>D196+D195</f>
        <v>3000</v>
      </c>
      <c r="E197" s="662">
        <f>E196+E195</f>
        <v>2250</v>
      </c>
    </row>
    <row r="198" spans="1:5" ht="15.75" thickBot="1" x14ac:dyDescent="0.3">
      <c r="A198" s="600"/>
      <c r="B198" s="1958"/>
      <c r="C198" s="1959"/>
      <c r="D198" s="1959"/>
      <c r="E198" s="1960"/>
    </row>
    <row r="199" spans="1:5" ht="15.75" thickBot="1" x14ac:dyDescent="0.3">
      <c r="A199" s="574" t="s">
        <v>61</v>
      </c>
      <c r="B199" s="2035" t="s">
        <v>1303</v>
      </c>
      <c r="C199" s="2036"/>
      <c r="D199" s="2036"/>
      <c r="E199" s="2037"/>
    </row>
    <row r="200" spans="1:5" ht="48" customHeight="1" thickBot="1" x14ac:dyDescent="0.3">
      <c r="A200" s="574" t="s">
        <v>17</v>
      </c>
      <c r="B200" s="2023" t="s">
        <v>1302</v>
      </c>
      <c r="C200" s="2024" t="s">
        <v>567</v>
      </c>
      <c r="D200" s="2024" t="s">
        <v>567</v>
      </c>
      <c r="E200" s="2025" t="s">
        <v>567</v>
      </c>
    </row>
    <row r="201" spans="1:5" ht="15.75" thickBot="1" x14ac:dyDescent="0.3">
      <c r="A201" s="574" t="s">
        <v>18</v>
      </c>
      <c r="B201" s="1248" t="s">
        <v>321</v>
      </c>
      <c r="C201" s="1249"/>
      <c r="D201" s="1249"/>
      <c r="E201" s="2026"/>
    </row>
    <row r="202" spans="1:5" x14ac:dyDescent="0.25">
      <c r="A202" s="1956"/>
      <c r="B202" s="8">
        <v>2018</v>
      </c>
      <c r="C202" s="8">
        <v>2019</v>
      </c>
      <c r="D202" s="8">
        <v>2020</v>
      </c>
      <c r="E202" s="572">
        <v>2021</v>
      </c>
    </row>
    <row r="203" spans="1:5" ht="15.75" thickBot="1" x14ac:dyDescent="0.3">
      <c r="A203" s="1957"/>
      <c r="B203" s="9" t="s">
        <v>10</v>
      </c>
      <c r="C203" s="9" t="s">
        <v>11</v>
      </c>
      <c r="D203" s="9" t="s">
        <v>11</v>
      </c>
      <c r="E203" s="571" t="s">
        <v>11</v>
      </c>
    </row>
    <row r="204" spans="1:5" ht="15.75" thickBot="1" x14ac:dyDescent="0.3">
      <c r="A204" s="574" t="s">
        <v>19</v>
      </c>
      <c r="B204" s="10"/>
      <c r="C204" s="10">
        <v>1</v>
      </c>
      <c r="D204" s="10"/>
      <c r="E204" s="582"/>
    </row>
    <row r="205" spans="1:5" ht="15.75" thickBot="1" x14ac:dyDescent="0.3">
      <c r="A205" s="574" t="s">
        <v>20</v>
      </c>
      <c r="B205" s="10"/>
      <c r="C205" s="10">
        <v>1500</v>
      </c>
      <c r="D205" s="10"/>
      <c r="E205" s="582"/>
    </row>
    <row r="206" spans="1:5" ht="15.75" thickBot="1" x14ac:dyDescent="0.3">
      <c r="A206" s="574" t="s">
        <v>21</v>
      </c>
      <c r="B206" s="10" t="e">
        <f>B205/B204</f>
        <v>#DIV/0!</v>
      </c>
      <c r="C206" s="10">
        <f>C205/C204</f>
        <v>1500</v>
      </c>
      <c r="D206" s="10" t="e">
        <f>D205/D204</f>
        <v>#DIV/0!</v>
      </c>
      <c r="E206" s="582" t="e">
        <f>E205/E204</f>
        <v>#DIV/0!</v>
      </c>
    </row>
    <row r="207" spans="1:5" ht="15.75" thickBot="1" x14ac:dyDescent="0.3">
      <c r="A207" s="574" t="s">
        <v>22</v>
      </c>
      <c r="B207" s="225" t="s">
        <v>23</v>
      </c>
      <c r="C207" s="11" t="e">
        <f t="shared" ref="C207:E209" si="6">C204/B204-1</f>
        <v>#DIV/0!</v>
      </c>
      <c r="D207" s="11">
        <f t="shared" si="6"/>
        <v>-1</v>
      </c>
      <c r="E207" s="573" t="e">
        <f t="shared" si="6"/>
        <v>#DIV/0!</v>
      </c>
    </row>
    <row r="208" spans="1:5" ht="15.75" thickBot="1" x14ac:dyDescent="0.3">
      <c r="A208" s="574" t="s">
        <v>24</v>
      </c>
      <c r="B208" s="225" t="s">
        <v>23</v>
      </c>
      <c r="C208" s="11" t="e">
        <f t="shared" si="6"/>
        <v>#DIV/0!</v>
      </c>
      <c r="D208" s="11">
        <f t="shared" si="6"/>
        <v>-1</v>
      </c>
      <c r="E208" s="573" t="e">
        <f t="shared" si="6"/>
        <v>#DIV/0!</v>
      </c>
    </row>
    <row r="209" spans="1:5" ht="15.75" thickBot="1" x14ac:dyDescent="0.3">
      <c r="A209" s="661" t="s">
        <v>25</v>
      </c>
      <c r="B209" s="660" t="s">
        <v>23</v>
      </c>
      <c r="C209" s="659" t="e">
        <f t="shared" si="6"/>
        <v>#DIV/0!</v>
      </c>
      <c r="D209" s="659" t="e">
        <f t="shared" si="6"/>
        <v>#DIV/0!</v>
      </c>
      <c r="E209" s="658" t="e">
        <f t="shared" si="6"/>
        <v>#DIV/0!</v>
      </c>
    </row>
    <row r="210" spans="1:5" ht="15.75" thickBot="1" x14ac:dyDescent="0.3">
      <c r="A210" s="2038" t="s">
        <v>568</v>
      </c>
      <c r="B210" s="2039"/>
      <c r="C210" s="2039"/>
      <c r="D210" s="2039"/>
      <c r="E210" s="2040"/>
    </row>
    <row r="211" spans="1:5" x14ac:dyDescent="0.25">
      <c r="A211" s="2041"/>
      <c r="B211" s="657">
        <v>2018</v>
      </c>
      <c r="C211" s="657">
        <v>2019</v>
      </c>
      <c r="D211" s="657">
        <v>2020</v>
      </c>
      <c r="E211" s="656">
        <v>2021</v>
      </c>
    </row>
    <row r="212" spans="1:5" x14ac:dyDescent="0.25">
      <c r="A212" s="2042"/>
      <c r="B212" s="655" t="s">
        <v>10</v>
      </c>
      <c r="C212" s="655" t="s">
        <v>11</v>
      </c>
      <c r="D212" s="655" t="s">
        <v>11</v>
      </c>
      <c r="E212" s="654" t="s">
        <v>11</v>
      </c>
    </row>
    <row r="213" spans="1:5" x14ac:dyDescent="0.25">
      <c r="A213" s="653" t="s">
        <v>58</v>
      </c>
      <c r="B213" s="651"/>
      <c r="C213" s="651"/>
      <c r="D213" s="651"/>
      <c r="E213" s="650"/>
    </row>
    <row r="214" spans="1:5" x14ac:dyDescent="0.25">
      <c r="A214" s="653" t="s">
        <v>59</v>
      </c>
      <c r="B214" s="652"/>
      <c r="C214" s="651">
        <v>1500</v>
      </c>
      <c r="D214" s="651"/>
      <c r="E214" s="650"/>
    </row>
    <row r="215" spans="1:5" ht="15.75" thickBot="1" x14ac:dyDescent="0.3">
      <c r="A215" s="639" t="s">
        <v>43</v>
      </c>
      <c r="B215" s="638">
        <f>B214+B213</f>
        <v>0</v>
      </c>
      <c r="C215" s="638">
        <f>C214+C213</f>
        <v>1500</v>
      </c>
      <c r="D215" s="638">
        <f>D214+D213</f>
        <v>0</v>
      </c>
      <c r="E215" s="649">
        <f>E214+E213</f>
        <v>0</v>
      </c>
    </row>
    <row r="216" spans="1:5" ht="15.75" thickBot="1" x14ac:dyDescent="0.3">
      <c r="A216" s="618"/>
      <c r="B216" s="2029"/>
      <c r="C216" s="2030"/>
      <c r="D216" s="2030"/>
      <c r="E216" s="2031"/>
    </row>
    <row r="217" spans="1:5" ht="15.75" thickBot="1" x14ac:dyDescent="0.3">
      <c r="A217" s="648" t="s">
        <v>61</v>
      </c>
      <c r="B217" s="2043"/>
      <c r="C217" s="2044"/>
      <c r="D217" s="2044"/>
      <c r="E217" s="2045"/>
    </row>
    <row r="218" spans="1:5" ht="15.75" thickBot="1" x14ac:dyDescent="0.3">
      <c r="A218" s="647" t="s">
        <v>66</v>
      </c>
      <c r="B218" s="2020" t="s">
        <v>1301</v>
      </c>
      <c r="C218" s="2021"/>
      <c r="D218" s="2021" t="s">
        <v>569</v>
      </c>
      <c r="E218" s="2022"/>
    </row>
    <row r="219" spans="1:5" ht="28.5" customHeight="1" thickBot="1" x14ac:dyDescent="0.3">
      <c r="A219" s="574" t="s">
        <v>17</v>
      </c>
      <c r="B219" s="2023" t="s">
        <v>1300</v>
      </c>
      <c r="C219" s="2024" t="s">
        <v>567</v>
      </c>
      <c r="D219" s="2024" t="s">
        <v>567</v>
      </c>
      <c r="E219" s="2025" t="s">
        <v>567</v>
      </c>
    </row>
    <row r="220" spans="1:5" ht="15.75" thickBot="1" x14ac:dyDescent="0.3">
      <c r="A220" s="574" t="s">
        <v>18</v>
      </c>
      <c r="B220" s="1248" t="s">
        <v>321</v>
      </c>
      <c r="C220" s="1249"/>
      <c r="D220" s="1249"/>
      <c r="E220" s="2026"/>
    </row>
    <row r="221" spans="1:5" x14ac:dyDescent="0.25">
      <c r="A221" s="1956"/>
      <c r="B221" s="8">
        <v>2018</v>
      </c>
      <c r="C221" s="8">
        <v>2019</v>
      </c>
      <c r="D221" s="8">
        <v>2020</v>
      </c>
      <c r="E221" s="572">
        <v>2021</v>
      </c>
    </row>
    <row r="222" spans="1:5" ht="15.75" thickBot="1" x14ac:dyDescent="0.3">
      <c r="A222" s="1957"/>
      <c r="B222" s="9" t="s">
        <v>10</v>
      </c>
      <c r="C222" s="9" t="s">
        <v>11</v>
      </c>
      <c r="D222" s="9" t="s">
        <v>11</v>
      </c>
      <c r="E222" s="571" t="s">
        <v>11</v>
      </c>
    </row>
    <row r="223" spans="1:5" ht="15.75" thickBot="1" x14ac:dyDescent="0.3">
      <c r="A223" s="574" t="s">
        <v>19</v>
      </c>
      <c r="B223" s="10"/>
      <c r="C223" s="10"/>
      <c r="D223" s="10"/>
      <c r="E223" s="582">
        <v>1</v>
      </c>
    </row>
    <row r="224" spans="1:5" ht="15.75" thickBot="1" x14ac:dyDescent="0.3">
      <c r="A224" s="574" t="s">
        <v>20</v>
      </c>
      <c r="B224" s="10"/>
      <c r="C224" s="10"/>
      <c r="D224" s="10"/>
      <c r="E224" s="582">
        <v>750</v>
      </c>
    </row>
    <row r="225" spans="1:5" ht="15.75" thickBot="1" x14ac:dyDescent="0.3">
      <c r="A225" s="574" t="s">
        <v>21</v>
      </c>
      <c r="B225" s="10" t="e">
        <f>B224/B223</f>
        <v>#DIV/0!</v>
      </c>
      <c r="C225" s="10" t="e">
        <f>C224/C223</f>
        <v>#DIV/0!</v>
      </c>
      <c r="D225" s="10" t="e">
        <f>D224/D223</f>
        <v>#DIV/0!</v>
      </c>
      <c r="E225" s="582">
        <f>E224/E223</f>
        <v>750</v>
      </c>
    </row>
    <row r="226" spans="1:5" ht="15.75" thickBot="1" x14ac:dyDescent="0.3">
      <c r="A226" s="574" t="s">
        <v>22</v>
      </c>
      <c r="B226" s="225" t="s">
        <v>23</v>
      </c>
      <c r="C226" s="11" t="e">
        <f t="shared" ref="C226:E228" si="7">C223/B223-1</f>
        <v>#DIV/0!</v>
      </c>
      <c r="D226" s="11" t="e">
        <f t="shared" si="7"/>
        <v>#DIV/0!</v>
      </c>
      <c r="E226" s="573" t="e">
        <f t="shared" si="7"/>
        <v>#DIV/0!</v>
      </c>
    </row>
    <row r="227" spans="1:5" ht="15.75" thickBot="1" x14ac:dyDescent="0.3">
      <c r="A227" s="574" t="s">
        <v>24</v>
      </c>
      <c r="B227" s="225" t="s">
        <v>23</v>
      </c>
      <c r="C227" s="11" t="e">
        <f t="shared" si="7"/>
        <v>#DIV/0!</v>
      </c>
      <c r="D227" s="11" t="e">
        <f t="shared" si="7"/>
        <v>#DIV/0!</v>
      </c>
      <c r="E227" s="573" t="e">
        <f t="shared" si="7"/>
        <v>#DIV/0!</v>
      </c>
    </row>
    <row r="228" spans="1:5" ht="15.75" thickBot="1" x14ac:dyDescent="0.3">
      <c r="A228" s="574" t="s">
        <v>25</v>
      </c>
      <c r="B228" s="225" t="s">
        <v>23</v>
      </c>
      <c r="C228" s="11" t="e">
        <f t="shared" si="7"/>
        <v>#DIV/0!</v>
      </c>
      <c r="D228" s="11" t="e">
        <f t="shared" si="7"/>
        <v>#DIV/0!</v>
      </c>
      <c r="E228" s="573" t="e">
        <f t="shared" si="7"/>
        <v>#DIV/0!</v>
      </c>
    </row>
    <row r="229" spans="1:5" ht="15.75" thickBot="1" x14ac:dyDescent="0.3">
      <c r="A229" s="2027" t="s">
        <v>570</v>
      </c>
      <c r="B229" s="1773"/>
      <c r="C229" s="1773"/>
      <c r="D229" s="1773"/>
      <c r="E229" s="2028"/>
    </row>
    <row r="230" spans="1:5" x14ac:dyDescent="0.25">
      <c r="A230" s="1956"/>
      <c r="B230" s="8">
        <v>2018</v>
      </c>
      <c r="C230" s="8">
        <v>2019</v>
      </c>
      <c r="D230" s="8">
        <v>2020</v>
      </c>
      <c r="E230" s="572">
        <v>2021</v>
      </c>
    </row>
    <row r="231" spans="1:5" ht="15.75" thickBot="1" x14ac:dyDescent="0.3">
      <c r="A231" s="1957"/>
      <c r="B231" s="9" t="s">
        <v>10</v>
      </c>
      <c r="C231" s="9" t="s">
        <v>11</v>
      </c>
      <c r="D231" s="9" t="s">
        <v>11</v>
      </c>
      <c r="E231" s="571" t="s">
        <v>11</v>
      </c>
    </row>
    <row r="232" spans="1:5" ht="15.75" thickBot="1" x14ac:dyDescent="0.3">
      <c r="A232" s="646" t="s">
        <v>58</v>
      </c>
      <c r="B232" s="645"/>
      <c r="C232" s="645"/>
      <c r="D232" s="645"/>
      <c r="E232" s="644"/>
    </row>
    <row r="233" spans="1:5" ht="15.75" thickBot="1" x14ac:dyDescent="0.3">
      <c r="A233" s="643" t="s">
        <v>59</v>
      </c>
      <c r="B233" s="642">
        <v>1500</v>
      </c>
      <c r="C233" s="641"/>
      <c r="D233" s="641"/>
      <c r="E233" s="640">
        <v>750</v>
      </c>
    </row>
    <row r="234" spans="1:5" ht="15.75" thickBot="1" x14ac:dyDescent="0.3">
      <c r="A234" s="639" t="s">
        <v>54</v>
      </c>
      <c r="B234" s="638">
        <f>B233+B232</f>
        <v>1500</v>
      </c>
      <c r="C234" s="637">
        <f>C233+C232</f>
        <v>0</v>
      </c>
      <c r="D234" s="637">
        <f>D233+D232</f>
        <v>0</v>
      </c>
      <c r="E234" s="636">
        <f>E233+E232</f>
        <v>750</v>
      </c>
    </row>
    <row r="235" spans="1:5" ht="15.75" thickBot="1" x14ac:dyDescent="0.3">
      <c r="A235" s="618"/>
      <c r="B235" s="2029"/>
      <c r="C235" s="2030"/>
      <c r="D235" s="2030"/>
      <c r="E235" s="2031"/>
    </row>
    <row r="236" spans="1:5" ht="34.5" customHeight="1" thickBot="1" x14ac:dyDescent="0.3">
      <c r="A236" s="635" t="s">
        <v>1299</v>
      </c>
      <c r="B236" s="2032" t="s">
        <v>1298</v>
      </c>
      <c r="C236" s="2033" t="s">
        <v>571</v>
      </c>
      <c r="D236" s="2033" t="s">
        <v>571</v>
      </c>
      <c r="E236" s="2034" t="s">
        <v>571</v>
      </c>
    </row>
    <row r="237" spans="1:5" ht="15.75" thickBot="1" x14ac:dyDescent="0.3">
      <c r="A237" s="1964" t="s">
        <v>1297</v>
      </c>
      <c r="B237" s="1965"/>
      <c r="C237" s="1965"/>
      <c r="D237" s="1965"/>
      <c r="E237" s="1966"/>
    </row>
    <row r="238" spans="1:5" ht="15.75" thickBot="1" x14ac:dyDescent="0.3">
      <c r="A238" s="634" t="s">
        <v>572</v>
      </c>
      <c r="B238" s="597">
        <v>2018</v>
      </c>
      <c r="C238" s="596">
        <v>2019</v>
      </c>
      <c r="D238" s="596">
        <v>2020</v>
      </c>
      <c r="E238" s="595">
        <v>2021</v>
      </c>
    </row>
    <row r="239" spans="1:5" x14ac:dyDescent="0.25">
      <c r="A239" s="633" t="s">
        <v>1296</v>
      </c>
      <c r="B239" s="593" t="s">
        <v>10</v>
      </c>
      <c r="C239" s="593" t="s">
        <v>11</v>
      </c>
      <c r="D239" s="593" t="s">
        <v>11</v>
      </c>
      <c r="E239" s="592" t="s">
        <v>11</v>
      </c>
    </row>
    <row r="240" spans="1:5" ht="15.75" thickBot="1" x14ac:dyDescent="0.3">
      <c r="A240" s="632" t="s">
        <v>1295</v>
      </c>
      <c r="B240" s="631">
        <v>1</v>
      </c>
      <c r="C240" s="630">
        <v>1.1399999999999999</v>
      </c>
      <c r="D240" s="630">
        <v>1.0526</v>
      </c>
      <c r="E240" s="629">
        <v>1.0333000000000001</v>
      </c>
    </row>
    <row r="241" spans="1:5" ht="15.75" thickBot="1" x14ac:dyDescent="0.3">
      <c r="A241" s="1992" t="s">
        <v>573</v>
      </c>
      <c r="B241" s="1993"/>
      <c r="C241" s="1993"/>
      <c r="D241" s="1993"/>
      <c r="E241" s="1994"/>
    </row>
    <row r="242" spans="1:5" ht="15.75" thickBot="1" x14ac:dyDescent="0.3">
      <c r="A242" s="587" t="s">
        <v>1294</v>
      </c>
      <c r="B242" s="628" t="s">
        <v>1293</v>
      </c>
      <c r="C242" s="627"/>
      <c r="D242" s="627"/>
      <c r="E242" s="626"/>
    </row>
    <row r="243" spans="1:5" ht="15.75" thickBot="1" x14ac:dyDescent="0.3">
      <c r="A243" s="625" t="s">
        <v>17</v>
      </c>
      <c r="B243" s="2008" t="s">
        <v>574</v>
      </c>
      <c r="C243" s="2009"/>
      <c r="D243" s="2009"/>
      <c r="E243" s="2010"/>
    </row>
    <row r="244" spans="1:5" ht="15.75" thickBot="1" x14ac:dyDescent="0.3">
      <c r="A244" s="574" t="s">
        <v>18</v>
      </c>
      <c r="B244" s="1294" t="s">
        <v>321</v>
      </c>
      <c r="C244" s="1295"/>
      <c r="D244" s="1295"/>
      <c r="E244" s="1998"/>
    </row>
    <row r="245" spans="1:5" ht="15.75" thickBot="1" x14ac:dyDescent="0.3">
      <c r="A245" s="574" t="s">
        <v>19</v>
      </c>
      <c r="B245" s="10">
        <v>250</v>
      </c>
      <c r="C245" s="10">
        <v>285</v>
      </c>
      <c r="D245" s="10">
        <v>300</v>
      </c>
      <c r="E245" s="582">
        <v>310</v>
      </c>
    </row>
    <row r="246" spans="1:5" x14ac:dyDescent="0.25">
      <c r="A246" s="1956"/>
      <c r="B246" s="8">
        <v>2018</v>
      </c>
      <c r="C246" s="8">
        <v>2019</v>
      </c>
      <c r="D246" s="8">
        <v>2020</v>
      </c>
      <c r="E246" s="572">
        <v>2021</v>
      </c>
    </row>
    <row r="247" spans="1:5" ht="15.75" thickBot="1" x14ac:dyDescent="0.3">
      <c r="A247" s="1957"/>
      <c r="B247" s="9" t="s">
        <v>10</v>
      </c>
      <c r="C247" s="9" t="s">
        <v>11</v>
      </c>
      <c r="D247" s="9" t="s">
        <v>11</v>
      </c>
      <c r="E247" s="571" t="s">
        <v>11</v>
      </c>
    </row>
    <row r="248" spans="1:5" ht="15.75" thickBot="1" x14ac:dyDescent="0.3">
      <c r="A248" s="574" t="s">
        <v>20</v>
      </c>
      <c r="B248" s="624">
        <v>14360</v>
      </c>
      <c r="C248" s="578">
        <v>15660</v>
      </c>
      <c r="D248" s="578">
        <v>15660</v>
      </c>
      <c r="E248" s="577">
        <v>15660</v>
      </c>
    </row>
    <row r="249" spans="1:5" ht="15.75" thickBot="1" x14ac:dyDescent="0.3">
      <c r="A249" s="574" t="s">
        <v>21</v>
      </c>
      <c r="B249" s="623">
        <f>B248/B245</f>
        <v>57.44</v>
      </c>
      <c r="C249" s="623">
        <f>C248/C245</f>
        <v>54.94736842105263</v>
      </c>
      <c r="D249" s="623">
        <f>D248/D245</f>
        <v>52.2</v>
      </c>
      <c r="E249" s="622">
        <f>E248/E245</f>
        <v>50.516129032258064</v>
      </c>
    </row>
    <row r="250" spans="1:5" ht="15.75" thickBot="1" x14ac:dyDescent="0.3">
      <c r="A250" s="574" t="s">
        <v>22</v>
      </c>
      <c r="B250" s="225"/>
      <c r="C250" s="11">
        <f>C245/B245-1</f>
        <v>0.1399999999999999</v>
      </c>
      <c r="D250" s="11">
        <f>D245/C245-1</f>
        <v>5.2631578947368363E-2</v>
      </c>
      <c r="E250" s="573">
        <f>E245/D245-1</f>
        <v>3.3333333333333437E-2</v>
      </c>
    </row>
    <row r="251" spans="1:5" ht="15.75" thickBot="1" x14ac:dyDescent="0.3">
      <c r="A251" s="574" t="s">
        <v>24</v>
      </c>
      <c r="B251" s="225"/>
      <c r="C251" s="11">
        <f t="shared" ref="C251:E252" si="8">C248/B248-1</f>
        <v>9.0529247910863475E-2</v>
      </c>
      <c r="D251" s="11">
        <f t="shared" si="8"/>
        <v>0</v>
      </c>
      <c r="E251" s="573">
        <f t="shared" si="8"/>
        <v>0</v>
      </c>
    </row>
    <row r="252" spans="1:5" ht="15.75" thickBot="1" x14ac:dyDescent="0.3">
      <c r="A252" s="574" t="s">
        <v>25</v>
      </c>
      <c r="B252" s="225"/>
      <c r="C252" s="11">
        <f t="shared" si="8"/>
        <v>-4.3395396569417932E-2</v>
      </c>
      <c r="D252" s="11">
        <f t="shared" si="8"/>
        <v>-4.9999999999999933E-2</v>
      </c>
      <c r="E252" s="573">
        <f t="shared" si="8"/>
        <v>-3.2258064516129115E-2</v>
      </c>
    </row>
    <row r="253" spans="1:5" ht="15.75" thickBot="1" x14ac:dyDescent="0.3">
      <c r="A253" s="1999" t="s">
        <v>114</v>
      </c>
      <c r="B253" s="2000"/>
      <c r="C253" s="2000"/>
      <c r="D253" s="2000"/>
      <c r="E253" s="2001"/>
    </row>
    <row r="254" spans="1:5" x14ac:dyDescent="0.25">
      <c r="A254" s="1956"/>
      <c r="B254" s="8">
        <v>2018</v>
      </c>
      <c r="C254" s="8">
        <v>2019</v>
      </c>
      <c r="D254" s="8">
        <v>2020</v>
      </c>
      <c r="E254" s="572">
        <v>2021</v>
      </c>
    </row>
    <row r="255" spans="1:5" ht="12" customHeight="1" thickBot="1" x14ac:dyDescent="0.3">
      <c r="A255" s="1957"/>
      <c r="B255" s="9" t="s">
        <v>10</v>
      </c>
      <c r="C255" s="9" t="s">
        <v>11</v>
      </c>
      <c r="D255" s="9" t="s">
        <v>11</v>
      </c>
      <c r="E255" s="571" t="s">
        <v>11</v>
      </c>
    </row>
    <row r="256" spans="1:5" ht="15.75" thickBot="1" x14ac:dyDescent="0.3">
      <c r="A256" s="545" t="s">
        <v>26</v>
      </c>
      <c r="B256" s="14"/>
      <c r="C256" s="14">
        <v>700</v>
      </c>
      <c r="D256" s="14">
        <v>700</v>
      </c>
      <c r="E256" s="536">
        <v>700</v>
      </c>
    </row>
    <row r="257" spans="1:5" ht="15.75" thickBot="1" x14ac:dyDescent="0.3">
      <c r="A257" s="545" t="s">
        <v>28</v>
      </c>
      <c r="B257" s="14"/>
      <c r="C257" s="14">
        <v>300</v>
      </c>
      <c r="D257" s="14">
        <v>300</v>
      </c>
      <c r="E257" s="536">
        <v>300</v>
      </c>
    </row>
    <row r="258" spans="1:5" ht="15.75" thickBot="1" x14ac:dyDescent="0.3">
      <c r="A258" s="545" t="s">
        <v>30</v>
      </c>
      <c r="B258" s="15">
        <v>14360</v>
      </c>
      <c r="C258" s="14">
        <v>14660</v>
      </c>
      <c r="D258" s="14">
        <v>14660</v>
      </c>
      <c r="E258" s="536">
        <v>14660</v>
      </c>
    </row>
    <row r="259" spans="1:5" ht="15.75" thickBot="1" x14ac:dyDescent="0.3">
      <c r="A259" s="545" t="s">
        <v>32</v>
      </c>
      <c r="B259" s="15"/>
      <c r="C259" s="14"/>
      <c r="D259" s="14"/>
      <c r="E259" s="536"/>
    </row>
    <row r="260" spans="1:5" ht="15.75" thickBot="1" x14ac:dyDescent="0.3">
      <c r="A260" s="545" t="s">
        <v>34</v>
      </c>
      <c r="B260" s="15"/>
      <c r="C260" s="14"/>
      <c r="D260" s="14"/>
      <c r="E260" s="536"/>
    </row>
    <row r="261" spans="1:5" ht="15.75" thickBot="1" x14ac:dyDescent="0.3">
      <c r="A261" s="545" t="s">
        <v>36</v>
      </c>
      <c r="B261" s="15"/>
      <c r="C261" s="14"/>
      <c r="D261" s="14"/>
      <c r="E261" s="536"/>
    </row>
    <row r="262" spans="1:5" ht="15.75" thickBot="1" x14ac:dyDescent="0.3">
      <c r="A262" s="569" t="s">
        <v>38</v>
      </c>
      <c r="B262" s="15"/>
      <c r="C262" s="14"/>
      <c r="D262" s="14"/>
      <c r="E262" s="536"/>
    </row>
    <row r="263" spans="1:5" ht="15.75" thickBot="1" x14ac:dyDescent="0.3">
      <c r="A263" s="621" t="s">
        <v>40</v>
      </c>
      <c r="B263" s="567">
        <f>B262+B261+B260+B259+B258+B257+B256</f>
        <v>14360</v>
      </c>
      <c r="C263" s="620">
        <f>SUM(C256:C262)</f>
        <v>15660</v>
      </c>
      <c r="D263" s="620">
        <f>SUM(D256:D262)</f>
        <v>15660</v>
      </c>
      <c r="E263" s="619">
        <f>SUM(E256:E262)</f>
        <v>15660</v>
      </c>
    </row>
    <row r="264" spans="1:5" ht="15.75" thickBot="1" x14ac:dyDescent="0.3">
      <c r="A264" s="540" t="s">
        <v>41</v>
      </c>
      <c r="B264" s="539">
        <f>IF(B263-B248=0,0,"Error")</f>
        <v>0</v>
      </c>
      <c r="C264" s="539">
        <f>IF(C263-C248=0,0,"Error")</f>
        <v>0</v>
      </c>
      <c r="D264" s="539">
        <f>IF(D263-D248=0,0,"Error")</f>
        <v>0</v>
      </c>
      <c r="E264" s="538">
        <f>IF(E263-E248=0,0,"Error")</f>
        <v>0</v>
      </c>
    </row>
    <row r="265" spans="1:5" ht="15.75" thickBot="1" x14ac:dyDescent="0.3">
      <c r="A265" s="618"/>
      <c r="B265" s="2011"/>
      <c r="C265" s="2012"/>
      <c r="D265" s="2012"/>
      <c r="E265" s="2013"/>
    </row>
    <row r="266" spans="1:5" ht="42" customHeight="1" thickBot="1" x14ac:dyDescent="0.3">
      <c r="A266" s="617" t="s">
        <v>575</v>
      </c>
      <c r="B266" s="2014" t="s">
        <v>1292</v>
      </c>
      <c r="C266" s="2015"/>
      <c r="D266" s="2015"/>
      <c r="E266" s="2016"/>
    </row>
    <row r="267" spans="1:5" ht="15.75" thickBot="1" x14ac:dyDescent="0.3">
      <c r="A267" s="2017" t="s">
        <v>103</v>
      </c>
      <c r="B267" s="2018"/>
      <c r="C267" s="2018"/>
      <c r="D267" s="2018"/>
      <c r="E267" s="2019"/>
    </row>
    <row r="268" spans="1:5" x14ac:dyDescent="0.25">
      <c r="A268" s="616"/>
      <c r="B268" s="593">
        <v>2018</v>
      </c>
      <c r="C268" s="593">
        <v>2019</v>
      </c>
      <c r="D268" s="593">
        <v>2020</v>
      </c>
      <c r="E268" s="592">
        <v>2021</v>
      </c>
    </row>
    <row r="269" spans="1:5" x14ac:dyDescent="0.25">
      <c r="A269" s="615" t="s">
        <v>1290</v>
      </c>
      <c r="B269" s="614"/>
      <c r="C269" s="614"/>
      <c r="D269" s="614"/>
      <c r="E269" s="613"/>
    </row>
    <row r="270" spans="1:5" x14ac:dyDescent="0.25">
      <c r="A270" s="612" t="s">
        <v>577</v>
      </c>
      <c r="B270" s="611">
        <v>0.9</v>
      </c>
      <c r="C270" s="610">
        <v>0.92</v>
      </c>
      <c r="D270" s="610">
        <v>0.95</v>
      </c>
      <c r="E270" s="609">
        <v>1</v>
      </c>
    </row>
    <row r="271" spans="1:5" ht="15.75" thickBot="1" x14ac:dyDescent="0.3">
      <c r="A271" s="608"/>
      <c r="B271" s="607" t="s">
        <v>10</v>
      </c>
      <c r="C271" s="607" t="s">
        <v>11</v>
      </c>
      <c r="D271" s="607" t="s">
        <v>11</v>
      </c>
      <c r="E271" s="606" t="s">
        <v>11</v>
      </c>
    </row>
    <row r="272" spans="1:5" ht="15.75" thickBot="1" x14ac:dyDescent="0.3">
      <c r="A272" s="1992" t="s">
        <v>576</v>
      </c>
      <c r="B272" s="1993"/>
      <c r="C272" s="1993"/>
      <c r="D272" s="1993"/>
      <c r="E272" s="1994"/>
    </row>
    <row r="273" spans="1:5" ht="36.75" customHeight="1" thickBot="1" x14ac:dyDescent="0.3">
      <c r="A273" s="605" t="s">
        <v>1291</v>
      </c>
      <c r="B273" s="2002" t="s">
        <v>577</v>
      </c>
      <c r="C273" s="2003"/>
      <c r="D273" s="2003"/>
      <c r="E273" s="2004"/>
    </row>
    <row r="274" spans="1:5" ht="33" customHeight="1" thickBot="1" x14ac:dyDescent="0.3">
      <c r="A274" s="583" t="s">
        <v>17</v>
      </c>
      <c r="B274" s="1995" t="s">
        <v>578</v>
      </c>
      <c r="C274" s="1996" t="s">
        <v>577</v>
      </c>
      <c r="D274" s="1996" t="s">
        <v>577</v>
      </c>
      <c r="E274" s="1997" t="s">
        <v>577</v>
      </c>
    </row>
    <row r="275" spans="1:5" ht="15.75" thickBot="1" x14ac:dyDescent="0.3">
      <c r="A275" s="574" t="s">
        <v>18</v>
      </c>
      <c r="B275" s="1294" t="s">
        <v>321</v>
      </c>
      <c r="C275" s="1295"/>
      <c r="D275" s="1295"/>
      <c r="E275" s="1998"/>
    </row>
    <row r="276" spans="1:5" ht="15.75" thickBot="1" x14ac:dyDescent="0.3">
      <c r="A276" s="574" t="s">
        <v>19</v>
      </c>
      <c r="B276" s="10">
        <v>100</v>
      </c>
      <c r="C276" s="10">
        <v>150</v>
      </c>
      <c r="D276" s="10">
        <v>200</v>
      </c>
      <c r="E276" s="582">
        <v>300</v>
      </c>
    </row>
    <row r="277" spans="1:5" x14ac:dyDescent="0.25">
      <c r="A277" s="1956"/>
      <c r="B277" s="8">
        <v>2018</v>
      </c>
      <c r="C277" s="8">
        <v>2019</v>
      </c>
      <c r="D277" s="8">
        <v>2020</v>
      </c>
      <c r="E277" s="572">
        <v>2021</v>
      </c>
    </row>
    <row r="278" spans="1:5" ht="15.75" thickBot="1" x14ac:dyDescent="0.3">
      <c r="A278" s="1957"/>
      <c r="B278" s="9" t="s">
        <v>10</v>
      </c>
      <c r="C278" s="9" t="s">
        <v>11</v>
      </c>
      <c r="D278" s="9" t="s">
        <v>11</v>
      </c>
      <c r="E278" s="571" t="s">
        <v>11</v>
      </c>
    </row>
    <row r="279" spans="1:5" ht="15.75" thickBot="1" x14ac:dyDescent="0.3">
      <c r="A279" s="574" t="s">
        <v>20</v>
      </c>
      <c r="B279" s="579">
        <v>2400</v>
      </c>
      <c r="C279" s="578">
        <v>2400</v>
      </c>
      <c r="D279" s="578">
        <v>2400</v>
      </c>
      <c r="E279" s="577">
        <v>2400</v>
      </c>
    </row>
    <row r="280" spans="1:5" ht="15.75" thickBot="1" x14ac:dyDescent="0.3">
      <c r="A280" s="574" t="s">
        <v>21</v>
      </c>
      <c r="B280" s="576">
        <f>B279/B276</f>
        <v>24</v>
      </c>
      <c r="C280" s="576">
        <f>C279/C276</f>
        <v>16</v>
      </c>
      <c r="D280" s="576">
        <f>D279/D276</f>
        <v>12</v>
      </c>
      <c r="E280" s="575">
        <f>E279/E276</f>
        <v>8</v>
      </c>
    </row>
    <row r="281" spans="1:5" ht="15.75" thickBot="1" x14ac:dyDescent="0.3">
      <c r="A281" s="574" t="s">
        <v>22</v>
      </c>
      <c r="B281" s="225"/>
      <c r="C281" s="11">
        <f>C276/B276-1</f>
        <v>0.5</v>
      </c>
      <c r="D281" s="11">
        <f>D276/C276-1</f>
        <v>0.33333333333333326</v>
      </c>
      <c r="E281" s="573">
        <f>E276/D276-1</f>
        <v>0.5</v>
      </c>
    </row>
    <row r="282" spans="1:5" ht="15.75" thickBot="1" x14ac:dyDescent="0.3">
      <c r="A282" s="574" t="s">
        <v>24</v>
      </c>
      <c r="B282" s="225"/>
      <c r="C282" s="11">
        <f t="shared" ref="C282:E283" si="9">C279/B279-1</f>
        <v>0</v>
      </c>
      <c r="D282" s="11">
        <f t="shared" si="9"/>
        <v>0</v>
      </c>
      <c r="E282" s="573">
        <f t="shared" si="9"/>
        <v>0</v>
      </c>
    </row>
    <row r="283" spans="1:5" ht="15.75" thickBot="1" x14ac:dyDescent="0.3">
      <c r="A283" s="574" t="s">
        <v>25</v>
      </c>
      <c r="B283" s="225"/>
      <c r="C283" s="11">
        <f t="shared" si="9"/>
        <v>-0.33333333333333337</v>
      </c>
      <c r="D283" s="11">
        <f t="shared" si="9"/>
        <v>-0.25</v>
      </c>
      <c r="E283" s="573">
        <f t="shared" si="9"/>
        <v>-0.33333333333333337</v>
      </c>
    </row>
    <row r="284" spans="1:5" ht="15.75" thickBot="1" x14ac:dyDescent="0.3">
      <c r="A284" s="1999" t="s">
        <v>114</v>
      </c>
      <c r="B284" s="2000"/>
      <c r="C284" s="2000"/>
      <c r="D284" s="2000"/>
      <c r="E284" s="2001"/>
    </row>
    <row r="285" spans="1:5" x14ac:dyDescent="0.25">
      <c r="A285" s="1956"/>
      <c r="B285" s="8">
        <v>2018</v>
      </c>
      <c r="C285" s="8">
        <v>2019</v>
      </c>
      <c r="D285" s="8">
        <v>2020</v>
      </c>
      <c r="E285" s="572">
        <v>2021</v>
      </c>
    </row>
    <row r="286" spans="1:5" ht="15.75" thickBot="1" x14ac:dyDescent="0.3">
      <c r="A286" s="1957"/>
      <c r="B286" s="9" t="s">
        <v>10</v>
      </c>
      <c r="C286" s="9" t="s">
        <v>11</v>
      </c>
      <c r="D286" s="9" t="s">
        <v>11</v>
      </c>
      <c r="E286" s="571" t="s">
        <v>11</v>
      </c>
    </row>
    <row r="287" spans="1:5" ht="15.75" thickBot="1" x14ac:dyDescent="0.3">
      <c r="A287" s="545" t="s">
        <v>26</v>
      </c>
      <c r="B287" s="14">
        <v>2000</v>
      </c>
      <c r="C287" s="14">
        <v>2000</v>
      </c>
      <c r="D287" s="14">
        <v>2000</v>
      </c>
      <c r="E287" s="536">
        <v>2000</v>
      </c>
    </row>
    <row r="288" spans="1:5" ht="15.75" thickBot="1" x14ac:dyDescent="0.3">
      <c r="A288" s="545" t="s">
        <v>28</v>
      </c>
      <c r="B288" s="14">
        <v>400</v>
      </c>
      <c r="C288" s="14">
        <v>400</v>
      </c>
      <c r="D288" s="14">
        <v>400</v>
      </c>
      <c r="E288" s="536">
        <v>400</v>
      </c>
    </row>
    <row r="289" spans="1:5" ht="15.75" thickBot="1" x14ac:dyDescent="0.3">
      <c r="A289" s="545" t="s">
        <v>30</v>
      </c>
      <c r="B289" s="570"/>
      <c r="C289" s="14"/>
      <c r="D289" s="14"/>
      <c r="E289" s="536"/>
    </row>
    <row r="290" spans="1:5" ht="15.75" thickBot="1" x14ac:dyDescent="0.3">
      <c r="A290" s="545" t="s">
        <v>32</v>
      </c>
      <c r="B290" s="15"/>
      <c r="C290" s="14"/>
      <c r="D290" s="14"/>
      <c r="E290" s="536"/>
    </row>
    <row r="291" spans="1:5" ht="15.75" thickBot="1" x14ac:dyDescent="0.3">
      <c r="A291" s="545" t="s">
        <v>34</v>
      </c>
      <c r="B291" s="15"/>
      <c r="C291" s="14"/>
      <c r="D291" s="14"/>
      <c r="E291" s="536"/>
    </row>
    <row r="292" spans="1:5" ht="15.75" thickBot="1" x14ac:dyDescent="0.3">
      <c r="A292" s="545" t="s">
        <v>36</v>
      </c>
      <c r="B292" s="15"/>
      <c r="C292" s="14"/>
      <c r="D292" s="14"/>
      <c r="E292" s="536"/>
    </row>
    <row r="293" spans="1:5" ht="15.75" thickBot="1" x14ac:dyDescent="0.3">
      <c r="A293" s="569" t="s">
        <v>38</v>
      </c>
      <c r="B293" s="15"/>
      <c r="C293" s="14"/>
      <c r="D293" s="14"/>
      <c r="E293" s="536"/>
    </row>
    <row r="294" spans="1:5" ht="15.75" thickBot="1" x14ac:dyDescent="0.3">
      <c r="A294" s="604" t="s">
        <v>40</v>
      </c>
      <c r="B294" s="26">
        <f>B293+B292+B291+B290+B289+B288+B287</f>
        <v>2400</v>
      </c>
      <c r="C294" s="140">
        <f>C293+C292+C291+C290+C289+C288+C287</f>
        <v>2400</v>
      </c>
      <c r="D294" s="140">
        <f>D293+D292+D291+D290+D289+D288+D287</f>
        <v>2400</v>
      </c>
      <c r="E294" s="544">
        <f>E293+E292+E291+E290+E289+E288+E287</f>
        <v>2400</v>
      </c>
    </row>
    <row r="295" spans="1:5" ht="15.75" thickBot="1" x14ac:dyDescent="0.3">
      <c r="A295" s="603" t="s">
        <v>41</v>
      </c>
      <c r="B295" s="602">
        <f>IF(B294-B279=0,0,"Error")</f>
        <v>0</v>
      </c>
      <c r="C295" s="602">
        <f>IF(C294-C279=0,0,"Error")</f>
        <v>0</v>
      </c>
      <c r="D295" s="602">
        <f>IF(D294-D279=0,0,"Error")</f>
        <v>0</v>
      </c>
      <c r="E295" s="601">
        <f>IF(E294-E279=0,0,"Error")</f>
        <v>0</v>
      </c>
    </row>
    <row r="296" spans="1:5" ht="15.75" thickBot="1" x14ac:dyDescent="0.3">
      <c r="A296" s="600"/>
      <c r="B296" s="1958"/>
      <c r="C296" s="1959"/>
      <c r="D296" s="1959"/>
      <c r="E296" s="1960"/>
    </row>
    <row r="297" spans="1:5" ht="40.5" customHeight="1" thickBot="1" x14ac:dyDescent="0.3">
      <c r="A297" s="599" t="s">
        <v>579</v>
      </c>
      <c r="B297" s="1961" t="s">
        <v>580</v>
      </c>
      <c r="C297" s="1962"/>
      <c r="D297" s="1962"/>
      <c r="E297" s="1963"/>
    </row>
    <row r="298" spans="1:5" ht="15.75" thickBot="1" x14ac:dyDescent="0.3">
      <c r="A298" s="1964" t="s">
        <v>581</v>
      </c>
      <c r="B298" s="1965"/>
      <c r="C298" s="1965"/>
      <c r="D298" s="1965"/>
      <c r="E298" s="1966"/>
    </row>
    <row r="299" spans="1:5" ht="15.75" thickBot="1" x14ac:dyDescent="0.3">
      <c r="A299" s="598" t="s">
        <v>582</v>
      </c>
      <c r="B299" s="597">
        <v>2018</v>
      </c>
      <c r="C299" s="596">
        <v>2019</v>
      </c>
      <c r="D299" s="596">
        <v>2020</v>
      </c>
      <c r="E299" s="595">
        <v>2021</v>
      </c>
    </row>
    <row r="300" spans="1:5" x14ac:dyDescent="0.25">
      <c r="A300" s="594" t="s">
        <v>1290</v>
      </c>
      <c r="B300" s="593" t="s">
        <v>10</v>
      </c>
      <c r="C300" s="593" t="s">
        <v>11</v>
      </c>
      <c r="D300" s="593" t="s">
        <v>11</v>
      </c>
      <c r="E300" s="592" t="s">
        <v>11</v>
      </c>
    </row>
    <row r="301" spans="1:5" ht="15.75" thickBot="1" x14ac:dyDescent="0.3">
      <c r="A301" s="591" t="s">
        <v>582</v>
      </c>
      <c r="B301" s="590">
        <v>0.9</v>
      </c>
      <c r="C301" s="589">
        <v>0.92</v>
      </c>
      <c r="D301" s="589">
        <v>0.95</v>
      </c>
      <c r="E301" s="588">
        <v>1</v>
      </c>
    </row>
    <row r="302" spans="1:5" ht="15.75" thickBot="1" x14ac:dyDescent="0.3">
      <c r="A302" s="1967" t="s">
        <v>583</v>
      </c>
      <c r="B302" s="1968"/>
      <c r="C302" s="1968"/>
      <c r="D302" s="1968"/>
      <c r="E302" s="1969"/>
    </row>
    <row r="303" spans="1:5" ht="15.75" thickBot="1" x14ac:dyDescent="0.3">
      <c r="A303" s="587" t="s">
        <v>1289</v>
      </c>
      <c r="B303" s="586" t="s">
        <v>582</v>
      </c>
      <c r="C303" s="585"/>
      <c r="D303" s="585"/>
      <c r="E303" s="584"/>
    </row>
    <row r="304" spans="1:5" ht="36.75" customHeight="1" thickBot="1" x14ac:dyDescent="0.3">
      <c r="A304" s="583" t="s">
        <v>17</v>
      </c>
      <c r="B304" s="1970" t="s">
        <v>584</v>
      </c>
      <c r="C304" s="1971"/>
      <c r="D304" s="1971"/>
      <c r="E304" s="1972"/>
    </row>
    <row r="305" spans="1:5" ht="15.75" thickBot="1" x14ac:dyDescent="0.3">
      <c r="A305" s="574" t="s">
        <v>18</v>
      </c>
      <c r="B305" s="1973" t="s">
        <v>321</v>
      </c>
      <c r="C305" s="1974"/>
      <c r="D305" s="1974"/>
      <c r="E305" s="1975"/>
    </row>
    <row r="306" spans="1:5" ht="15.75" thickBot="1" x14ac:dyDescent="0.3">
      <c r="A306" s="574" t="s">
        <v>19</v>
      </c>
      <c r="B306" s="10">
        <v>30</v>
      </c>
      <c r="C306" s="10">
        <v>40</v>
      </c>
      <c r="D306" s="10">
        <v>45</v>
      </c>
      <c r="E306" s="582">
        <v>50</v>
      </c>
    </row>
    <row r="307" spans="1:5" x14ac:dyDescent="0.25">
      <c r="A307" s="1956"/>
      <c r="B307" s="8">
        <v>2018</v>
      </c>
      <c r="C307" s="581">
        <v>2019</v>
      </c>
      <c r="D307" s="581">
        <v>2020</v>
      </c>
      <c r="E307" s="580">
        <v>2021</v>
      </c>
    </row>
    <row r="308" spans="1:5" ht="15.75" thickBot="1" x14ac:dyDescent="0.3">
      <c r="A308" s="1957"/>
      <c r="B308" s="9" t="s">
        <v>10</v>
      </c>
      <c r="C308" s="9" t="s">
        <v>11</v>
      </c>
      <c r="D308" s="9" t="s">
        <v>11</v>
      </c>
      <c r="E308" s="571" t="s">
        <v>11</v>
      </c>
    </row>
    <row r="309" spans="1:5" ht="15.75" thickBot="1" x14ac:dyDescent="0.3">
      <c r="A309" s="574" t="s">
        <v>20</v>
      </c>
      <c r="B309" s="579">
        <v>2400</v>
      </c>
      <c r="C309" s="578">
        <v>2400</v>
      </c>
      <c r="D309" s="578">
        <v>2400</v>
      </c>
      <c r="E309" s="577">
        <v>2400</v>
      </c>
    </row>
    <row r="310" spans="1:5" ht="15.75" thickBot="1" x14ac:dyDescent="0.3">
      <c r="A310" s="574" t="s">
        <v>21</v>
      </c>
      <c r="B310" s="576">
        <f>B309/B306</f>
        <v>80</v>
      </c>
      <c r="C310" s="576">
        <f>C309/C306</f>
        <v>60</v>
      </c>
      <c r="D310" s="576">
        <f>D309/D306</f>
        <v>53.333333333333336</v>
      </c>
      <c r="E310" s="575">
        <f>E309/E306</f>
        <v>48</v>
      </c>
    </row>
    <row r="311" spans="1:5" ht="15.75" thickBot="1" x14ac:dyDescent="0.3">
      <c r="A311" s="574" t="s">
        <v>22</v>
      </c>
      <c r="B311" s="225"/>
      <c r="C311" s="11">
        <f>C306/B306-1</f>
        <v>0.33333333333333326</v>
      </c>
      <c r="D311" s="11">
        <f>D306/C306-1</f>
        <v>0.125</v>
      </c>
      <c r="E311" s="573">
        <f>E306/D306-1</f>
        <v>0.11111111111111116</v>
      </c>
    </row>
    <row r="312" spans="1:5" ht="15.75" thickBot="1" x14ac:dyDescent="0.3">
      <c r="A312" s="574" t="s">
        <v>24</v>
      </c>
      <c r="B312" s="225"/>
      <c r="C312" s="11">
        <f t="shared" ref="C312:E313" si="10">C309/B309-1</f>
        <v>0</v>
      </c>
      <c r="D312" s="11">
        <f t="shared" si="10"/>
        <v>0</v>
      </c>
      <c r="E312" s="573">
        <f t="shared" si="10"/>
        <v>0</v>
      </c>
    </row>
    <row r="313" spans="1:5" ht="15.75" thickBot="1" x14ac:dyDescent="0.3">
      <c r="A313" s="574" t="s">
        <v>25</v>
      </c>
      <c r="B313" s="225"/>
      <c r="C313" s="11">
        <f t="shared" si="10"/>
        <v>-0.25</v>
      </c>
      <c r="D313" s="11">
        <f t="shared" si="10"/>
        <v>-0.11111111111111105</v>
      </c>
      <c r="E313" s="573">
        <f t="shared" si="10"/>
        <v>-0.10000000000000009</v>
      </c>
    </row>
    <row r="314" spans="1:5" ht="15.75" thickBot="1" x14ac:dyDescent="0.3">
      <c r="A314" s="2005" t="s">
        <v>585</v>
      </c>
      <c r="B314" s="2006"/>
      <c r="C314" s="2006"/>
      <c r="D314" s="2006"/>
      <c r="E314" s="2007"/>
    </row>
    <row r="315" spans="1:5" x14ac:dyDescent="0.25">
      <c r="A315" s="1956"/>
      <c r="B315" s="8">
        <v>2018</v>
      </c>
      <c r="C315" s="8">
        <v>2019</v>
      </c>
      <c r="D315" s="8">
        <v>2020</v>
      </c>
      <c r="E315" s="572">
        <v>2021</v>
      </c>
    </row>
    <row r="316" spans="1:5" ht="15.75" thickBot="1" x14ac:dyDescent="0.3">
      <c r="A316" s="1957"/>
      <c r="B316" s="9" t="s">
        <v>10</v>
      </c>
      <c r="C316" s="9" t="s">
        <v>11</v>
      </c>
      <c r="D316" s="9" t="s">
        <v>11</v>
      </c>
      <c r="E316" s="571" t="s">
        <v>11</v>
      </c>
    </row>
    <row r="317" spans="1:5" ht="15.75" thickBot="1" x14ac:dyDescent="0.3">
      <c r="A317" s="545" t="s">
        <v>26</v>
      </c>
      <c r="B317" s="14">
        <v>2000</v>
      </c>
      <c r="C317" s="14">
        <v>2000</v>
      </c>
      <c r="D317" s="14">
        <v>2000</v>
      </c>
      <c r="E317" s="536">
        <v>2000</v>
      </c>
    </row>
    <row r="318" spans="1:5" ht="15.75" thickBot="1" x14ac:dyDescent="0.3">
      <c r="A318" s="545" t="s">
        <v>28</v>
      </c>
      <c r="B318" s="14">
        <v>400</v>
      </c>
      <c r="C318" s="14">
        <v>400</v>
      </c>
      <c r="D318" s="14">
        <v>400</v>
      </c>
      <c r="E318" s="536">
        <v>400</v>
      </c>
    </row>
    <row r="319" spans="1:5" ht="15.75" thickBot="1" x14ac:dyDescent="0.3">
      <c r="A319" s="545" t="s">
        <v>30</v>
      </c>
      <c r="B319" s="570"/>
      <c r="C319" s="14"/>
      <c r="D319" s="14"/>
      <c r="E319" s="536"/>
    </row>
    <row r="320" spans="1:5" ht="15.75" thickBot="1" x14ac:dyDescent="0.3">
      <c r="A320" s="545" t="s">
        <v>32</v>
      </c>
      <c r="B320" s="15"/>
      <c r="C320" s="14"/>
      <c r="D320" s="14"/>
      <c r="E320" s="536"/>
    </row>
    <row r="321" spans="1:5" ht="15.75" thickBot="1" x14ac:dyDescent="0.3">
      <c r="A321" s="545" t="s">
        <v>34</v>
      </c>
      <c r="B321" s="15"/>
      <c r="C321" s="14"/>
      <c r="D321" s="14"/>
      <c r="E321" s="536"/>
    </row>
    <row r="322" spans="1:5" ht="15.75" thickBot="1" x14ac:dyDescent="0.3">
      <c r="A322" s="545" t="s">
        <v>36</v>
      </c>
      <c r="B322" s="15"/>
      <c r="C322" s="14"/>
      <c r="D322" s="14"/>
      <c r="E322" s="536"/>
    </row>
    <row r="323" spans="1:5" ht="15.75" thickBot="1" x14ac:dyDescent="0.3">
      <c r="A323" s="569" t="s">
        <v>38</v>
      </c>
      <c r="B323" s="15"/>
      <c r="C323" s="14"/>
      <c r="D323" s="14"/>
      <c r="E323" s="536"/>
    </row>
    <row r="324" spans="1:5" ht="15.75" thickBot="1" x14ac:dyDescent="0.3">
      <c r="A324" s="568" t="s">
        <v>586</v>
      </c>
      <c r="B324" s="567">
        <f>B323+B322+B321+B320+B319+B318+B317</f>
        <v>2400</v>
      </c>
      <c r="C324" s="566">
        <f>C323+C322+C321+C320+C319+C318+C317</f>
        <v>2400</v>
      </c>
      <c r="D324" s="566">
        <f>D323+D322+D321+D320+D319+D318+D317</f>
        <v>2400</v>
      </c>
      <c r="E324" s="565">
        <f>E323+E322+E321+E320+E319+E318+E317</f>
        <v>2400</v>
      </c>
    </row>
    <row r="325" spans="1:5" ht="15.75" thickBot="1" x14ac:dyDescent="0.3">
      <c r="A325" s="564" t="s">
        <v>41</v>
      </c>
      <c r="B325" s="563">
        <f>IF(B324-B309=0,0,"Error")</f>
        <v>0</v>
      </c>
      <c r="C325" s="563">
        <f>IF(C324-C309=0,0,"Error")</f>
        <v>0</v>
      </c>
      <c r="D325" s="563">
        <f>IF(D324-D309=0,0,"Error")</f>
        <v>0</v>
      </c>
      <c r="E325" s="562">
        <f>IF(E324-E309=0,0,"Error")</f>
        <v>0</v>
      </c>
    </row>
    <row r="326" spans="1:5" ht="15.75" thickBot="1" x14ac:dyDescent="0.3">
      <c r="A326" s="561"/>
      <c r="B326" s="560"/>
      <c r="C326" s="560"/>
      <c r="D326" s="560"/>
      <c r="E326" s="559"/>
    </row>
    <row r="327" spans="1:5" ht="15.75" thickBot="1" x14ac:dyDescent="0.3">
      <c r="A327" s="558" t="s">
        <v>82</v>
      </c>
      <c r="B327" s="557">
        <v>138200</v>
      </c>
      <c r="C327" s="557">
        <v>138700</v>
      </c>
      <c r="D327" s="557">
        <v>138700</v>
      </c>
      <c r="E327" s="556">
        <v>138700</v>
      </c>
    </row>
    <row r="328" spans="1:5" ht="15.75" thickBot="1" x14ac:dyDescent="0.3">
      <c r="A328" s="555" t="s">
        <v>83</v>
      </c>
      <c r="B328" s="18">
        <f>+B324+B294+B263+B234+B197+B175+B148+B119+B89+B60</f>
        <v>138200</v>
      </c>
      <c r="C328" s="18">
        <f>+C324+C294+C263+C215+C175+C148+C89+C60+C197</f>
        <v>138700</v>
      </c>
      <c r="D328" s="18">
        <f>+D324+D294+D263+D215+D175+D148+D89+D60+D197</f>
        <v>138700</v>
      </c>
      <c r="E328" s="554">
        <f>+E324+E294+E263+E215+E175+E148+E89+E60+E197+E234</f>
        <v>138700</v>
      </c>
    </row>
    <row r="329" spans="1:5" ht="15.75" thickBot="1" x14ac:dyDescent="0.3">
      <c r="A329" s="553" t="s">
        <v>84</v>
      </c>
      <c r="B329" s="26"/>
      <c r="C329" s="234">
        <f>C328/B328-1</f>
        <v>3.6179450072360009E-3</v>
      </c>
      <c r="D329" s="234">
        <f>D328/C328-1</f>
        <v>0</v>
      </c>
      <c r="E329" s="550">
        <f>E328/D328-1</f>
        <v>0</v>
      </c>
    </row>
    <row r="330" spans="1:5" ht="15.75" thickBot="1" x14ac:dyDescent="0.3">
      <c r="A330" s="549" t="s">
        <v>26</v>
      </c>
      <c r="B330" s="26">
        <v>102500</v>
      </c>
      <c r="C330" s="26">
        <f>+C317+C287+C141+C82+C53+C256</f>
        <v>102500</v>
      </c>
      <c r="D330" s="26">
        <f>+D317+D287+D141+D82+D53+D256</f>
        <v>102500</v>
      </c>
      <c r="E330" s="548">
        <f>+E317+E287+E141+E82+E53+E256</f>
        <v>102500</v>
      </c>
    </row>
    <row r="331" spans="1:5" ht="15.75" thickBot="1" x14ac:dyDescent="0.3">
      <c r="A331" s="551" t="s">
        <v>85</v>
      </c>
      <c r="B331" s="191"/>
      <c r="C331" s="234">
        <f>C330/B330-1</f>
        <v>0</v>
      </c>
      <c r="D331" s="234">
        <f>D330/C330-1</f>
        <v>0</v>
      </c>
      <c r="E331" s="550">
        <f>E330/D330-1</f>
        <v>0</v>
      </c>
    </row>
    <row r="332" spans="1:5" ht="15.75" thickBot="1" x14ac:dyDescent="0.3">
      <c r="A332" s="549" t="s">
        <v>28</v>
      </c>
      <c r="B332" s="26">
        <v>15700</v>
      </c>
      <c r="C332" s="447" t="e">
        <f>+C318+C288+C257+C142+C83+C54+#REF!</f>
        <v>#REF!</v>
      </c>
      <c r="D332" s="447" t="e">
        <f>+D318+D288+D257+D142+D83+D54+#REF!</f>
        <v>#REF!</v>
      </c>
      <c r="E332" s="552">
        <f>+E318+E288+E257+E142+E83+E54+F126</f>
        <v>15700</v>
      </c>
    </row>
    <row r="333" spans="1:5" ht="15.75" thickBot="1" x14ac:dyDescent="0.3">
      <c r="A333" s="551" t="s">
        <v>86</v>
      </c>
      <c r="B333" s="191"/>
      <c r="C333" s="234" t="e">
        <f>C332/B332-1</f>
        <v>#REF!</v>
      </c>
      <c r="D333" s="234" t="e">
        <f>D332/C332-1</f>
        <v>#REF!</v>
      </c>
      <c r="E333" s="550" t="e">
        <f>E332/D332-1</f>
        <v>#REF!</v>
      </c>
    </row>
    <row r="334" spans="1:5" ht="15.75" thickBot="1" x14ac:dyDescent="0.3">
      <c r="A334" s="549" t="s">
        <v>30</v>
      </c>
      <c r="B334" s="26">
        <v>16760</v>
      </c>
      <c r="C334" s="26">
        <v>17260</v>
      </c>
      <c r="D334" s="26">
        <v>17260</v>
      </c>
      <c r="E334" s="548">
        <v>17260</v>
      </c>
    </row>
    <row r="335" spans="1:5" ht="15.75" thickBot="1" x14ac:dyDescent="0.3">
      <c r="A335" s="547" t="s">
        <v>87</v>
      </c>
      <c r="B335" s="15"/>
      <c r="C335" s="29">
        <f>C334/B334-1</f>
        <v>2.9832935560859086E-2</v>
      </c>
      <c r="D335" s="29">
        <f>D334/C334-1</f>
        <v>0</v>
      </c>
      <c r="E335" s="546">
        <f>E334/D334-1</f>
        <v>0</v>
      </c>
    </row>
    <row r="336" spans="1:5" ht="15.75" thickBot="1" x14ac:dyDescent="0.3">
      <c r="A336" s="545" t="s">
        <v>32</v>
      </c>
      <c r="B336" s="14">
        <v>0</v>
      </c>
      <c r="C336" s="14">
        <v>0</v>
      </c>
      <c r="D336" s="14">
        <v>0</v>
      </c>
      <c r="E336" s="536">
        <v>0</v>
      </c>
    </row>
    <row r="337" spans="1:5" ht="15.75" thickBot="1" x14ac:dyDescent="0.3">
      <c r="A337" s="547" t="s">
        <v>88</v>
      </c>
      <c r="B337" s="15"/>
      <c r="C337" s="29" t="e">
        <f>C336/B336-1</f>
        <v>#DIV/0!</v>
      </c>
      <c r="D337" s="29" t="e">
        <f>D336/C336-1</f>
        <v>#DIV/0!</v>
      </c>
      <c r="E337" s="546" t="e">
        <f>E336/D336-1</f>
        <v>#DIV/0!</v>
      </c>
    </row>
    <row r="338" spans="1:5" ht="15.75" thickBot="1" x14ac:dyDescent="0.3">
      <c r="A338" s="545" t="s">
        <v>34</v>
      </c>
      <c r="B338" s="14">
        <v>0</v>
      </c>
      <c r="C338" s="14">
        <v>0</v>
      </c>
      <c r="D338" s="14">
        <v>0</v>
      </c>
      <c r="E338" s="536">
        <v>0</v>
      </c>
    </row>
    <row r="339" spans="1:5" ht="15.75" thickBot="1" x14ac:dyDescent="0.3">
      <c r="A339" s="547" t="s">
        <v>89</v>
      </c>
      <c r="B339" s="15"/>
      <c r="C339" s="29" t="e">
        <f>C338/B338-1</f>
        <v>#DIV/0!</v>
      </c>
      <c r="D339" s="29" t="e">
        <f>D338/C338-1</f>
        <v>#DIV/0!</v>
      </c>
      <c r="E339" s="546" t="e">
        <f>E338/D338-1</f>
        <v>#DIV/0!</v>
      </c>
    </row>
    <row r="340" spans="1:5" ht="15.75" thickBot="1" x14ac:dyDescent="0.3">
      <c r="A340" s="545" t="s">
        <v>36</v>
      </c>
      <c r="B340" s="14">
        <v>0</v>
      </c>
      <c r="C340" s="14">
        <v>0</v>
      </c>
      <c r="D340" s="14">
        <v>0</v>
      </c>
      <c r="E340" s="536">
        <v>0</v>
      </c>
    </row>
    <row r="341" spans="1:5" ht="15.75" thickBot="1" x14ac:dyDescent="0.3">
      <c r="A341" s="547" t="s">
        <v>90</v>
      </c>
      <c r="B341" s="14">
        <v>0</v>
      </c>
      <c r="C341" s="14">
        <v>0</v>
      </c>
      <c r="D341" s="14">
        <v>0</v>
      </c>
      <c r="E341" s="536">
        <v>0</v>
      </c>
    </row>
    <row r="342" spans="1:5" ht="15.75" thickBot="1" x14ac:dyDescent="0.3">
      <c r="A342" s="545" t="s">
        <v>38</v>
      </c>
      <c r="B342" s="14">
        <v>240</v>
      </c>
      <c r="C342" s="14">
        <v>240</v>
      </c>
      <c r="D342" s="14">
        <v>240</v>
      </c>
      <c r="E342" s="536">
        <v>240</v>
      </c>
    </row>
    <row r="343" spans="1:5" ht="15.75" thickBot="1" x14ac:dyDescent="0.3">
      <c r="A343" s="547" t="s">
        <v>91</v>
      </c>
      <c r="B343" s="14">
        <v>0</v>
      </c>
      <c r="C343" s="14">
        <v>0</v>
      </c>
      <c r="D343" s="14">
        <v>0</v>
      </c>
      <c r="E343" s="536">
        <v>0</v>
      </c>
    </row>
    <row r="344" spans="1:5" ht="15.75" thickBot="1" x14ac:dyDescent="0.3">
      <c r="A344" s="545" t="s">
        <v>92</v>
      </c>
      <c r="B344" s="14">
        <v>0</v>
      </c>
      <c r="C344" s="14">
        <v>0</v>
      </c>
      <c r="D344" s="14">
        <v>0</v>
      </c>
      <c r="E344" s="536">
        <v>0</v>
      </c>
    </row>
    <row r="345" spans="1:5" ht="15.75" thickBot="1" x14ac:dyDescent="0.3">
      <c r="A345" s="547" t="s">
        <v>93</v>
      </c>
      <c r="B345" s="15"/>
      <c r="C345" s="29" t="e">
        <f>C344/B344-1</f>
        <v>#DIV/0!</v>
      </c>
      <c r="D345" s="29" t="e">
        <f>D344/C344-1</f>
        <v>#DIV/0!</v>
      </c>
      <c r="E345" s="546" t="e">
        <f>E344/D344-1</f>
        <v>#DIV/0!</v>
      </c>
    </row>
    <row r="346" spans="1:5" ht="15.75" thickBot="1" x14ac:dyDescent="0.3">
      <c r="A346" s="545" t="s">
        <v>94</v>
      </c>
      <c r="B346" s="140">
        <v>3000</v>
      </c>
      <c r="C346" s="140">
        <v>3000</v>
      </c>
      <c r="D346" s="140">
        <v>3000</v>
      </c>
      <c r="E346" s="544">
        <v>3000</v>
      </c>
    </row>
    <row r="347" spans="1:5" ht="15.75" thickBot="1" x14ac:dyDescent="0.3">
      <c r="A347" s="543" t="s">
        <v>95</v>
      </c>
      <c r="B347" s="542">
        <v>0</v>
      </c>
      <c r="C347" s="542">
        <f>C346/B346-1</f>
        <v>0</v>
      </c>
      <c r="D347" s="542">
        <f>D346/C346-1</f>
        <v>0</v>
      </c>
      <c r="E347" s="541">
        <f>E346/D346-1</f>
        <v>0</v>
      </c>
    </row>
    <row r="348" spans="1:5" ht="15.75" thickBot="1" x14ac:dyDescent="0.3">
      <c r="A348" s="540" t="s">
        <v>41</v>
      </c>
      <c r="B348" s="539">
        <f>IF(B328-B327=0,0,"Error")</f>
        <v>0</v>
      </c>
      <c r="C348" s="539">
        <f>IF(C328-C327=0,0,"Error")</f>
        <v>0</v>
      </c>
      <c r="D348" s="539">
        <f>IF(D328-D327=0,0,"Error")</f>
        <v>0</v>
      </c>
      <c r="E348" s="538">
        <f>IF(E328-E327=0,0,"Error")</f>
        <v>0</v>
      </c>
    </row>
    <row r="349" spans="1:5" ht="15.75" thickBot="1" x14ac:dyDescent="0.3">
      <c r="A349" s="537" t="s">
        <v>96</v>
      </c>
      <c r="B349" s="14">
        <v>70</v>
      </c>
      <c r="C349" s="14">
        <v>70</v>
      </c>
      <c r="D349" s="14">
        <v>70</v>
      </c>
      <c r="E349" s="536">
        <v>70</v>
      </c>
    </row>
    <row r="350" spans="1:5" ht="15.75" thickBot="1" x14ac:dyDescent="0.3">
      <c r="A350" s="535" t="s">
        <v>97</v>
      </c>
      <c r="B350" s="534">
        <v>1</v>
      </c>
      <c r="C350" s="534" t="s">
        <v>23</v>
      </c>
      <c r="D350" s="534" t="s">
        <v>23</v>
      </c>
      <c r="E350" s="533" t="s">
        <v>23</v>
      </c>
    </row>
    <row r="351" spans="1:5" x14ac:dyDescent="0.25">
      <c r="A351" s="71"/>
      <c r="B351" s="71"/>
      <c r="C351" s="71"/>
      <c r="D351" s="71"/>
      <c r="E351" s="71"/>
    </row>
    <row r="352" spans="1:5" x14ac:dyDescent="0.25">
      <c r="A352" s="71"/>
      <c r="B352" s="71"/>
      <c r="C352" s="71"/>
      <c r="D352" s="71"/>
      <c r="E352" s="71"/>
    </row>
    <row r="353" spans="1:5" x14ac:dyDescent="0.25">
      <c r="A353" s="71"/>
      <c r="B353" s="71"/>
      <c r="C353" s="71"/>
      <c r="D353" s="71"/>
      <c r="E353" s="71"/>
    </row>
    <row r="354" spans="1:5" x14ac:dyDescent="0.25">
      <c r="A354" s="71"/>
      <c r="B354" s="71"/>
      <c r="C354" s="71"/>
      <c r="D354" s="71"/>
      <c r="E354" s="71"/>
    </row>
    <row r="355" spans="1:5" x14ac:dyDescent="0.25">
      <c r="A355" s="71"/>
      <c r="B355" s="71"/>
      <c r="C355" s="71"/>
      <c r="D355" s="71"/>
      <c r="E355" s="71"/>
    </row>
    <row r="356" spans="1:5" x14ac:dyDescent="0.25">
      <c r="A356" s="71"/>
      <c r="B356" s="71"/>
      <c r="C356" s="71"/>
      <c r="D356" s="71"/>
      <c r="E356" s="71"/>
    </row>
    <row r="357" spans="1:5" x14ac:dyDescent="0.25">
      <c r="A357" s="71"/>
      <c r="B357" s="71"/>
      <c r="C357" s="71"/>
      <c r="D357" s="71"/>
      <c r="E357" s="71"/>
    </row>
    <row r="358" spans="1:5" x14ac:dyDescent="0.25">
      <c r="A358" s="71"/>
      <c r="B358" s="71"/>
      <c r="C358" s="71"/>
      <c r="D358" s="71"/>
      <c r="E358" s="71"/>
    </row>
    <row r="359" spans="1:5" x14ac:dyDescent="0.25">
      <c r="A359" s="71"/>
      <c r="B359" s="71"/>
      <c r="C359" s="71"/>
      <c r="D359" s="71"/>
      <c r="E359" s="71"/>
    </row>
    <row r="360" spans="1:5" x14ac:dyDescent="0.25">
      <c r="A360" s="71"/>
      <c r="B360" s="71"/>
      <c r="C360" s="71"/>
      <c r="D360" s="71"/>
      <c r="E360" s="71"/>
    </row>
    <row r="361" spans="1:5" x14ac:dyDescent="0.25">
      <c r="A361" s="71"/>
      <c r="B361" s="71"/>
      <c r="C361" s="71"/>
      <c r="D361" s="71"/>
      <c r="E361" s="71"/>
    </row>
    <row r="362" spans="1:5" x14ac:dyDescent="0.25">
      <c r="A362" s="71"/>
      <c r="B362" s="71"/>
      <c r="C362" s="71"/>
      <c r="D362" s="71"/>
      <c r="E362" s="71"/>
    </row>
    <row r="363" spans="1:5" x14ac:dyDescent="0.25">
      <c r="A363" s="71"/>
      <c r="B363" s="71"/>
      <c r="C363" s="71"/>
      <c r="D363" s="71"/>
      <c r="E363" s="71"/>
    </row>
    <row r="364" spans="1:5" x14ac:dyDescent="0.25">
      <c r="A364" s="71"/>
      <c r="B364" s="71"/>
      <c r="C364" s="71"/>
      <c r="D364" s="71"/>
      <c r="E364" s="71"/>
    </row>
    <row r="365" spans="1:5" x14ac:dyDescent="0.25">
      <c r="A365" s="71"/>
      <c r="B365" s="71"/>
      <c r="C365" s="71"/>
      <c r="D365" s="71"/>
      <c r="E365" s="71"/>
    </row>
    <row r="366" spans="1:5" x14ac:dyDescent="0.25">
      <c r="A366" s="71"/>
      <c r="B366" s="71"/>
      <c r="C366" s="71"/>
      <c r="D366" s="71"/>
      <c r="E366" s="71"/>
    </row>
    <row r="367" spans="1:5" x14ac:dyDescent="0.25">
      <c r="A367" s="71"/>
      <c r="B367" s="71"/>
      <c r="C367" s="71"/>
      <c r="D367" s="71"/>
      <c r="E367" s="71"/>
    </row>
    <row r="368" spans="1:5" x14ac:dyDescent="0.25">
      <c r="A368" s="71"/>
      <c r="B368" s="71"/>
      <c r="C368" s="71"/>
      <c r="D368" s="71"/>
      <c r="E368" s="71"/>
    </row>
    <row r="369" spans="1:5" x14ac:dyDescent="0.25">
      <c r="A369" s="71"/>
      <c r="B369" s="71"/>
      <c r="C369" s="71"/>
      <c r="D369" s="71"/>
      <c r="E369" s="71"/>
    </row>
    <row r="370" spans="1:5" x14ac:dyDescent="0.25">
      <c r="A370" s="71"/>
      <c r="B370" s="71"/>
      <c r="C370" s="71"/>
      <c r="D370" s="71"/>
      <c r="E370" s="71"/>
    </row>
    <row r="371" spans="1:5" x14ac:dyDescent="0.25">
      <c r="A371" s="71"/>
      <c r="B371" s="71"/>
      <c r="C371" s="71"/>
      <c r="D371" s="71"/>
      <c r="E371" s="71"/>
    </row>
    <row r="372" spans="1:5" x14ac:dyDescent="0.25">
      <c r="A372" s="71"/>
      <c r="B372" s="71"/>
      <c r="C372" s="71"/>
      <c r="D372" s="71"/>
      <c r="E372" s="71"/>
    </row>
    <row r="373" spans="1:5" x14ac:dyDescent="0.25">
      <c r="A373" s="71"/>
      <c r="B373" s="71"/>
      <c r="C373" s="71"/>
      <c r="D373" s="71"/>
      <c r="E373" s="71"/>
    </row>
    <row r="374" spans="1:5" x14ac:dyDescent="0.25">
      <c r="A374" s="71"/>
      <c r="B374" s="71"/>
      <c r="C374" s="71"/>
      <c r="D374" s="71"/>
      <c r="E374" s="71"/>
    </row>
    <row r="375" spans="1:5" x14ac:dyDescent="0.25">
      <c r="A375" s="71"/>
      <c r="B375" s="71"/>
      <c r="C375" s="71"/>
      <c r="D375" s="71"/>
      <c r="E375" s="71"/>
    </row>
    <row r="376" spans="1:5" x14ac:dyDescent="0.25">
      <c r="A376" s="71"/>
      <c r="B376" s="71"/>
      <c r="C376" s="71"/>
      <c r="D376" s="71"/>
      <c r="E376" s="71"/>
    </row>
    <row r="377" spans="1:5" x14ac:dyDescent="0.25">
      <c r="A377" s="71"/>
      <c r="B377" s="71"/>
      <c r="C377" s="71"/>
      <c r="D377" s="71"/>
      <c r="E377" s="71"/>
    </row>
    <row r="378" spans="1:5" x14ac:dyDescent="0.25">
      <c r="A378" s="71"/>
      <c r="B378" s="71"/>
      <c r="C378" s="71"/>
      <c r="D378" s="71"/>
      <c r="E378" s="71"/>
    </row>
    <row r="379" spans="1:5" x14ac:dyDescent="0.25">
      <c r="A379" s="71"/>
      <c r="B379" s="71"/>
      <c r="C379" s="71"/>
      <c r="D379" s="71"/>
      <c r="E379" s="71"/>
    </row>
    <row r="380" spans="1:5" x14ac:dyDescent="0.25">
      <c r="A380" s="71"/>
      <c r="B380" s="71"/>
      <c r="C380" s="71"/>
      <c r="D380" s="71"/>
      <c r="E380" s="71"/>
    </row>
    <row r="381" spans="1:5" x14ac:dyDescent="0.25">
      <c r="A381" s="71"/>
      <c r="B381" s="71"/>
      <c r="C381" s="71"/>
      <c r="D381" s="71"/>
      <c r="E381" s="71"/>
    </row>
    <row r="382" spans="1:5" x14ac:dyDescent="0.25">
      <c r="A382" s="71"/>
      <c r="B382" s="71"/>
      <c r="C382" s="71"/>
      <c r="D382" s="71"/>
      <c r="E382" s="71"/>
    </row>
    <row r="383" spans="1:5" x14ac:dyDescent="0.25">
      <c r="A383" s="71"/>
      <c r="B383" s="71"/>
      <c r="C383" s="71"/>
      <c r="D383" s="71"/>
      <c r="E383" s="71"/>
    </row>
    <row r="384" spans="1:5" x14ac:dyDescent="0.25">
      <c r="A384" s="71"/>
      <c r="B384" s="71"/>
      <c r="C384" s="71"/>
      <c r="D384" s="71"/>
      <c r="E384" s="71"/>
    </row>
    <row r="385" spans="1:5" x14ac:dyDescent="0.25">
      <c r="A385" s="71"/>
      <c r="B385" s="71"/>
      <c r="C385" s="71"/>
      <c r="D385" s="71"/>
      <c r="E385" s="71"/>
    </row>
    <row r="386" spans="1:5" x14ac:dyDescent="0.25">
      <c r="A386" s="71"/>
      <c r="B386" s="71"/>
      <c r="C386" s="71"/>
      <c r="D386" s="71"/>
      <c r="E386" s="71"/>
    </row>
    <row r="387" spans="1:5" x14ac:dyDescent="0.25">
      <c r="A387" s="71"/>
      <c r="B387" s="71"/>
      <c r="C387" s="71"/>
      <c r="D387" s="71"/>
      <c r="E387" s="71"/>
    </row>
    <row r="388" spans="1:5" x14ac:dyDescent="0.25">
      <c r="A388" s="71"/>
      <c r="B388" s="71"/>
      <c r="C388" s="71"/>
      <c r="D388" s="71"/>
      <c r="E388" s="71"/>
    </row>
    <row r="389" spans="1:5" x14ac:dyDescent="0.25">
      <c r="A389" s="71"/>
      <c r="B389" s="71"/>
      <c r="C389" s="71"/>
      <c r="D389" s="71"/>
      <c r="E389" s="71"/>
    </row>
    <row r="390" spans="1:5" x14ac:dyDescent="0.25">
      <c r="A390" s="71"/>
      <c r="B390" s="71"/>
      <c r="C390" s="71"/>
      <c r="D390" s="71"/>
      <c r="E390" s="71"/>
    </row>
    <row r="391" spans="1:5" x14ac:dyDescent="0.25">
      <c r="A391" s="71"/>
      <c r="B391" s="71"/>
      <c r="C391" s="71"/>
      <c r="D391" s="71"/>
      <c r="E391" s="71"/>
    </row>
    <row r="392" spans="1:5" x14ac:dyDescent="0.25">
      <c r="A392" s="71"/>
      <c r="B392" s="71"/>
      <c r="C392" s="71"/>
      <c r="D392" s="71"/>
      <c r="E392" s="71"/>
    </row>
    <row r="393" spans="1:5" x14ac:dyDescent="0.25">
      <c r="A393" s="71"/>
      <c r="B393" s="71"/>
      <c r="C393" s="71"/>
      <c r="D393" s="71"/>
      <c r="E393" s="71"/>
    </row>
    <row r="394" spans="1:5" x14ac:dyDescent="0.25">
      <c r="A394" s="71"/>
      <c r="B394" s="71"/>
      <c r="C394" s="71"/>
      <c r="D394" s="71"/>
      <c r="E394" s="71"/>
    </row>
    <row r="395" spans="1:5" x14ac:dyDescent="0.25">
      <c r="A395" s="71"/>
      <c r="B395" s="71"/>
      <c r="C395" s="71"/>
      <c r="D395" s="71"/>
      <c r="E395" s="71"/>
    </row>
    <row r="396" spans="1:5" x14ac:dyDescent="0.25">
      <c r="A396" s="71"/>
      <c r="B396" s="71"/>
      <c r="C396" s="71"/>
      <c r="D396" s="71"/>
      <c r="E396" s="71"/>
    </row>
    <row r="397" spans="1:5" x14ac:dyDescent="0.25">
      <c r="A397" s="71"/>
      <c r="B397" s="71"/>
      <c r="C397" s="71"/>
      <c r="D397" s="71"/>
      <c r="E397" s="71"/>
    </row>
    <row r="398" spans="1:5" x14ac:dyDescent="0.25">
      <c r="A398" s="71"/>
      <c r="B398" s="71"/>
      <c r="C398" s="71"/>
      <c r="D398" s="71"/>
      <c r="E398" s="71"/>
    </row>
    <row r="399" spans="1:5" x14ac:dyDescent="0.25">
      <c r="A399" s="71"/>
      <c r="B399" s="71"/>
      <c r="C399" s="71"/>
      <c r="D399" s="71"/>
      <c r="E399" s="71"/>
    </row>
    <row r="400" spans="1:5" x14ac:dyDescent="0.25">
      <c r="A400" s="71"/>
      <c r="B400" s="71"/>
      <c r="C400" s="71"/>
      <c r="D400" s="71"/>
      <c r="E400" s="71"/>
    </row>
    <row r="401" spans="1:5" x14ac:dyDescent="0.25">
      <c r="A401" s="71"/>
      <c r="B401" s="71"/>
      <c r="C401" s="71"/>
      <c r="D401" s="71"/>
      <c r="E401" s="71"/>
    </row>
    <row r="402" spans="1:5" x14ac:dyDescent="0.25">
      <c r="A402" s="71"/>
      <c r="B402" s="71"/>
      <c r="C402" s="71"/>
      <c r="D402" s="71"/>
      <c r="E402" s="71"/>
    </row>
    <row r="403" spans="1:5" x14ac:dyDescent="0.25">
      <c r="A403" s="71"/>
      <c r="B403" s="71"/>
      <c r="C403" s="71"/>
      <c r="D403" s="71"/>
      <c r="E403" s="71"/>
    </row>
    <row r="404" spans="1:5" x14ac:dyDescent="0.25">
      <c r="A404" s="71"/>
      <c r="B404" s="71"/>
      <c r="C404" s="71"/>
      <c r="D404" s="71"/>
      <c r="E404" s="71"/>
    </row>
    <row r="405" spans="1:5" x14ac:dyDescent="0.25">
      <c r="A405" s="71"/>
      <c r="B405" s="71"/>
      <c r="C405" s="71"/>
      <c r="D405" s="71"/>
      <c r="E405" s="71"/>
    </row>
    <row r="406" spans="1:5" x14ac:dyDescent="0.25">
      <c r="A406" s="71"/>
      <c r="B406" s="71"/>
      <c r="C406" s="71"/>
      <c r="D406" s="71"/>
      <c r="E406" s="71"/>
    </row>
    <row r="407" spans="1:5" x14ac:dyDescent="0.25">
      <c r="A407" s="71"/>
      <c r="B407" s="71"/>
      <c r="C407" s="71"/>
      <c r="D407" s="71"/>
      <c r="E407" s="71"/>
    </row>
    <row r="408" spans="1:5" x14ac:dyDescent="0.25">
      <c r="A408" s="71"/>
      <c r="B408" s="71"/>
      <c r="C408" s="71"/>
      <c r="D408" s="71"/>
      <c r="E408" s="71"/>
    </row>
    <row r="409" spans="1:5" x14ac:dyDescent="0.25">
      <c r="A409" s="71"/>
      <c r="B409" s="71"/>
      <c r="C409" s="71"/>
      <c r="D409" s="71"/>
      <c r="E409" s="71"/>
    </row>
    <row r="410" spans="1:5" x14ac:dyDescent="0.25">
      <c r="A410" s="71"/>
      <c r="B410" s="71"/>
      <c r="C410" s="71"/>
      <c r="D410" s="71"/>
      <c r="E410" s="71"/>
    </row>
    <row r="411" spans="1:5" x14ac:dyDescent="0.25">
      <c r="A411" s="71"/>
      <c r="B411" s="71"/>
      <c r="C411" s="71"/>
      <c r="D411" s="71"/>
      <c r="E411" s="71"/>
    </row>
    <row r="412" spans="1:5" x14ac:dyDescent="0.25">
      <c r="A412" s="71"/>
      <c r="B412" s="71"/>
      <c r="C412" s="71"/>
      <c r="D412" s="71"/>
      <c r="E412" s="71"/>
    </row>
    <row r="413" spans="1:5" x14ac:dyDescent="0.25">
      <c r="A413" s="71"/>
      <c r="B413" s="71"/>
      <c r="C413" s="71"/>
      <c r="D413" s="71"/>
      <c r="E413" s="71"/>
    </row>
    <row r="414" spans="1:5" x14ac:dyDescent="0.25">
      <c r="A414" s="71"/>
      <c r="B414" s="71"/>
      <c r="C414" s="71"/>
      <c r="D414" s="71"/>
      <c r="E414" s="71"/>
    </row>
    <row r="415" spans="1:5" x14ac:dyDescent="0.25">
      <c r="A415" s="71"/>
      <c r="B415" s="71"/>
      <c r="C415" s="71"/>
      <c r="D415" s="71"/>
      <c r="E415" s="71"/>
    </row>
    <row r="416" spans="1:5" x14ac:dyDescent="0.25">
      <c r="A416" s="71"/>
      <c r="B416" s="71"/>
      <c r="C416" s="71"/>
      <c r="D416" s="71"/>
      <c r="E416" s="71"/>
    </row>
    <row r="417" spans="1:5" x14ac:dyDescent="0.25">
      <c r="A417" s="71"/>
      <c r="B417" s="71"/>
      <c r="C417" s="71"/>
      <c r="D417" s="71"/>
      <c r="E417" s="71"/>
    </row>
    <row r="418" spans="1:5" x14ac:dyDescent="0.25">
      <c r="A418" s="71"/>
      <c r="B418" s="71"/>
      <c r="C418" s="71"/>
      <c r="D418" s="71"/>
      <c r="E418" s="71"/>
    </row>
    <row r="419" spans="1:5" x14ac:dyDescent="0.25">
      <c r="A419" s="71"/>
      <c r="B419" s="71"/>
      <c r="C419" s="71"/>
      <c r="D419" s="71"/>
      <c r="E419" s="71"/>
    </row>
    <row r="420" spans="1:5" x14ac:dyDescent="0.25">
      <c r="A420" s="71"/>
      <c r="B420" s="71"/>
      <c r="C420" s="71"/>
      <c r="D420" s="71"/>
      <c r="E420" s="71"/>
    </row>
    <row r="421" spans="1:5" x14ac:dyDescent="0.25">
      <c r="A421" s="71"/>
      <c r="B421" s="71"/>
      <c r="C421" s="71"/>
      <c r="D421" s="71"/>
      <c r="E421" s="71"/>
    </row>
    <row r="422" spans="1:5" x14ac:dyDescent="0.25">
      <c r="A422" s="71"/>
      <c r="B422" s="71"/>
      <c r="C422" s="71"/>
      <c r="D422" s="71"/>
      <c r="E422" s="71"/>
    </row>
    <row r="423" spans="1:5" x14ac:dyDescent="0.25">
      <c r="A423" s="71"/>
      <c r="B423" s="71"/>
      <c r="C423" s="71"/>
      <c r="D423" s="71"/>
      <c r="E423" s="71"/>
    </row>
    <row r="424" spans="1:5" x14ac:dyDescent="0.25">
      <c r="A424" s="71"/>
      <c r="B424" s="71"/>
      <c r="C424" s="71"/>
      <c r="D424" s="71"/>
      <c r="E424" s="71"/>
    </row>
    <row r="425" spans="1:5" x14ac:dyDescent="0.25">
      <c r="A425" s="71"/>
      <c r="B425" s="71"/>
      <c r="C425" s="71"/>
      <c r="D425" s="71"/>
      <c r="E425" s="71"/>
    </row>
    <row r="426" spans="1:5" x14ac:dyDescent="0.25">
      <c r="A426" s="71"/>
      <c r="B426" s="71"/>
      <c r="C426" s="71"/>
      <c r="D426" s="71"/>
      <c r="E426" s="71"/>
    </row>
    <row r="427" spans="1:5" x14ac:dyDescent="0.25">
      <c r="A427" s="71"/>
      <c r="B427" s="71"/>
      <c r="C427" s="71"/>
      <c r="D427" s="71"/>
      <c r="E427" s="71"/>
    </row>
    <row r="428" spans="1:5" x14ac:dyDescent="0.25">
      <c r="A428" s="71"/>
      <c r="B428" s="71"/>
      <c r="C428" s="71"/>
      <c r="D428" s="71"/>
      <c r="E428" s="71"/>
    </row>
    <row r="429" spans="1:5" x14ac:dyDescent="0.25">
      <c r="A429" s="71"/>
      <c r="B429" s="71"/>
      <c r="C429" s="71"/>
      <c r="D429" s="71"/>
      <c r="E429" s="71"/>
    </row>
    <row r="430" spans="1:5" x14ac:dyDescent="0.25">
      <c r="A430" s="71"/>
      <c r="B430" s="71"/>
      <c r="C430" s="71"/>
      <c r="D430" s="71"/>
      <c r="E430" s="71"/>
    </row>
    <row r="431" spans="1:5" x14ac:dyDescent="0.25">
      <c r="A431" s="71"/>
      <c r="B431" s="71"/>
      <c r="C431" s="71"/>
      <c r="D431" s="71"/>
      <c r="E431" s="71"/>
    </row>
    <row r="432" spans="1:5" x14ac:dyDescent="0.25">
      <c r="A432" s="71"/>
      <c r="B432" s="71"/>
      <c r="C432" s="71"/>
      <c r="D432" s="71"/>
      <c r="E432" s="71"/>
    </row>
    <row r="433" spans="1:5" x14ac:dyDescent="0.25">
      <c r="A433" s="71"/>
      <c r="B433" s="71"/>
      <c r="C433" s="71"/>
      <c r="D433" s="71"/>
      <c r="E433" s="71"/>
    </row>
    <row r="434" spans="1:5" x14ac:dyDescent="0.25">
      <c r="A434" s="71"/>
      <c r="B434" s="71"/>
      <c r="C434" s="71"/>
      <c r="D434" s="71"/>
      <c r="E434" s="71"/>
    </row>
    <row r="435" spans="1:5" x14ac:dyDescent="0.25">
      <c r="A435" s="71"/>
      <c r="B435" s="71"/>
      <c r="C435" s="71"/>
      <c r="D435" s="71"/>
      <c r="E435" s="71"/>
    </row>
    <row r="436" spans="1:5" x14ac:dyDescent="0.25">
      <c r="A436" s="71"/>
      <c r="B436" s="71"/>
      <c r="C436" s="71"/>
      <c r="D436" s="71"/>
      <c r="E436" s="71"/>
    </row>
    <row r="437" spans="1:5" x14ac:dyDescent="0.25">
      <c r="A437" s="71"/>
      <c r="B437" s="71"/>
      <c r="C437" s="71"/>
      <c r="D437" s="71"/>
      <c r="E437" s="71"/>
    </row>
    <row r="438" spans="1:5" x14ac:dyDescent="0.25">
      <c r="A438" s="71"/>
      <c r="B438" s="71"/>
      <c r="C438" s="71"/>
      <c r="D438" s="71"/>
      <c r="E438" s="71"/>
    </row>
    <row r="439" spans="1:5" x14ac:dyDescent="0.25">
      <c r="A439" s="71"/>
      <c r="B439" s="71"/>
      <c r="C439" s="71"/>
      <c r="D439" s="71"/>
      <c r="E439" s="71"/>
    </row>
    <row r="440" spans="1:5" x14ac:dyDescent="0.25">
      <c r="A440" s="71"/>
      <c r="B440" s="71"/>
      <c r="C440" s="71"/>
      <c r="D440" s="71"/>
      <c r="E440" s="71"/>
    </row>
    <row r="441" spans="1:5" x14ac:dyDescent="0.25">
      <c r="A441" s="71"/>
      <c r="B441" s="71"/>
      <c r="C441" s="71"/>
      <c r="D441" s="71"/>
      <c r="E441" s="71"/>
    </row>
    <row r="442" spans="1:5" x14ac:dyDescent="0.25">
      <c r="A442" s="71"/>
      <c r="B442" s="71"/>
      <c r="C442" s="71"/>
      <c r="D442" s="71"/>
      <c r="E442" s="71"/>
    </row>
    <row r="443" spans="1:5" x14ac:dyDescent="0.25">
      <c r="A443" s="71"/>
      <c r="B443" s="71"/>
      <c r="C443" s="71"/>
      <c r="D443" s="71"/>
      <c r="E443" s="71"/>
    </row>
    <row r="444" spans="1:5" x14ac:dyDescent="0.25">
      <c r="A444" s="71"/>
      <c r="B444" s="71"/>
      <c r="C444" s="71"/>
      <c r="D444" s="71"/>
      <c r="E444" s="71"/>
    </row>
    <row r="445" spans="1:5" x14ac:dyDescent="0.25">
      <c r="A445" s="71"/>
      <c r="B445" s="71"/>
      <c r="C445" s="71"/>
      <c r="D445" s="71"/>
      <c r="E445" s="71"/>
    </row>
    <row r="446" spans="1:5" x14ac:dyDescent="0.25">
      <c r="A446" s="71"/>
      <c r="B446" s="71"/>
      <c r="C446" s="71"/>
      <c r="D446" s="71"/>
      <c r="E446" s="71"/>
    </row>
    <row r="447" spans="1:5" x14ac:dyDescent="0.25">
      <c r="A447" s="71"/>
      <c r="B447" s="71"/>
      <c r="C447" s="71"/>
      <c r="D447" s="71"/>
      <c r="E447" s="71"/>
    </row>
    <row r="448" spans="1:5" x14ac:dyDescent="0.25">
      <c r="A448" s="71"/>
      <c r="B448" s="71"/>
      <c r="C448" s="71"/>
      <c r="D448" s="71"/>
      <c r="E448" s="71"/>
    </row>
    <row r="449" spans="1:5" x14ac:dyDescent="0.25">
      <c r="A449" s="71"/>
      <c r="B449" s="71"/>
      <c r="C449" s="71"/>
      <c r="D449" s="71"/>
      <c r="E449" s="71"/>
    </row>
    <row r="450" spans="1:5" x14ac:dyDescent="0.25">
      <c r="A450" s="71"/>
      <c r="B450" s="71"/>
      <c r="C450" s="71"/>
      <c r="D450" s="71"/>
      <c r="E450" s="71"/>
    </row>
    <row r="451" spans="1:5" x14ac:dyDescent="0.25">
      <c r="A451" s="71"/>
      <c r="B451" s="71"/>
      <c r="C451" s="71"/>
      <c r="D451" s="71"/>
      <c r="E451" s="71"/>
    </row>
    <row r="452" spans="1:5" x14ac:dyDescent="0.25">
      <c r="A452" s="71"/>
      <c r="B452" s="71"/>
      <c r="C452" s="71"/>
      <c r="D452" s="71"/>
      <c r="E452" s="71"/>
    </row>
    <row r="453" spans="1:5" x14ac:dyDescent="0.25">
      <c r="A453" s="71"/>
      <c r="B453" s="71"/>
      <c r="C453" s="71"/>
      <c r="D453" s="71"/>
      <c r="E453" s="71"/>
    </row>
    <row r="454" spans="1:5" x14ac:dyDescent="0.25">
      <c r="A454" s="71"/>
      <c r="B454" s="71"/>
      <c r="C454" s="71"/>
      <c r="D454" s="71"/>
      <c r="E454" s="71"/>
    </row>
    <row r="455" spans="1:5" x14ac:dyDescent="0.25">
      <c r="A455" s="71"/>
      <c r="B455" s="71"/>
      <c r="C455" s="71"/>
      <c r="D455" s="71"/>
      <c r="E455" s="71"/>
    </row>
    <row r="456" spans="1:5" x14ac:dyDescent="0.25">
      <c r="A456" s="71"/>
      <c r="B456" s="71"/>
      <c r="C456" s="71"/>
      <c r="D456" s="71"/>
      <c r="E456" s="71"/>
    </row>
    <row r="457" spans="1:5" x14ac:dyDescent="0.25">
      <c r="A457" s="71"/>
      <c r="B457" s="71"/>
      <c r="C457" s="71"/>
      <c r="D457" s="71"/>
      <c r="E457" s="71"/>
    </row>
    <row r="458" spans="1:5" x14ac:dyDescent="0.25">
      <c r="A458" s="71"/>
      <c r="B458" s="71"/>
      <c r="C458" s="71"/>
      <c r="D458" s="71"/>
      <c r="E458" s="71"/>
    </row>
    <row r="459" spans="1:5" x14ac:dyDescent="0.25">
      <c r="A459" s="71"/>
      <c r="B459" s="71"/>
      <c r="C459" s="71"/>
      <c r="D459" s="71"/>
      <c r="E459" s="71"/>
    </row>
    <row r="460" spans="1:5" x14ac:dyDescent="0.25">
      <c r="A460" s="71"/>
      <c r="B460" s="71"/>
      <c r="C460" s="71"/>
      <c r="D460" s="71"/>
      <c r="E460" s="71"/>
    </row>
    <row r="461" spans="1:5" x14ac:dyDescent="0.25">
      <c r="A461" s="71"/>
      <c r="B461" s="71"/>
      <c r="C461" s="71"/>
      <c r="D461" s="71"/>
      <c r="E461" s="71"/>
    </row>
    <row r="462" spans="1:5" x14ac:dyDescent="0.25">
      <c r="A462" s="71"/>
      <c r="B462" s="71"/>
      <c r="C462" s="71"/>
      <c r="D462" s="71"/>
      <c r="E462" s="71"/>
    </row>
    <row r="463" spans="1:5" x14ac:dyDescent="0.25">
      <c r="A463" s="71"/>
      <c r="B463" s="71"/>
      <c r="C463" s="71"/>
      <c r="D463" s="71"/>
      <c r="E463" s="71"/>
    </row>
    <row r="464" spans="1:5" x14ac:dyDescent="0.25">
      <c r="A464" s="71"/>
      <c r="B464" s="71"/>
      <c r="C464" s="71"/>
      <c r="D464" s="71"/>
      <c r="E464" s="71"/>
    </row>
    <row r="465" spans="1:5" x14ac:dyDescent="0.25">
      <c r="A465" s="71"/>
      <c r="B465" s="71"/>
      <c r="C465" s="71"/>
      <c r="D465" s="71"/>
      <c r="E465" s="71"/>
    </row>
    <row r="466" spans="1:5" x14ac:dyDescent="0.25">
      <c r="A466" s="71"/>
      <c r="B466" s="71"/>
      <c r="C466" s="71"/>
      <c r="D466" s="71"/>
      <c r="E466" s="71"/>
    </row>
    <row r="467" spans="1:5" x14ac:dyDescent="0.25">
      <c r="A467" s="71"/>
      <c r="B467" s="71"/>
      <c r="C467" s="71"/>
      <c r="D467" s="71"/>
      <c r="E467" s="71"/>
    </row>
    <row r="468" spans="1:5" x14ac:dyDescent="0.25">
      <c r="A468" s="71"/>
      <c r="B468" s="71"/>
      <c r="C468" s="71"/>
      <c r="D468" s="71"/>
      <c r="E468" s="71"/>
    </row>
    <row r="469" spans="1:5" x14ac:dyDescent="0.25">
      <c r="A469" s="71"/>
      <c r="B469" s="71"/>
      <c r="C469" s="71"/>
      <c r="D469" s="71"/>
      <c r="E469" s="71"/>
    </row>
    <row r="470" spans="1:5" x14ac:dyDescent="0.25">
      <c r="A470" s="71"/>
      <c r="B470" s="71"/>
      <c r="C470" s="71"/>
      <c r="D470" s="71"/>
      <c r="E470" s="71"/>
    </row>
    <row r="471" spans="1:5" x14ac:dyDescent="0.25">
      <c r="A471" s="71"/>
      <c r="B471" s="71"/>
      <c r="C471" s="71"/>
      <c r="D471" s="71"/>
      <c r="E471" s="71"/>
    </row>
    <row r="472" spans="1:5" x14ac:dyDescent="0.25">
      <c r="A472" s="71"/>
      <c r="B472" s="71"/>
      <c r="C472" s="71"/>
      <c r="D472" s="71"/>
      <c r="E472" s="71"/>
    </row>
    <row r="473" spans="1:5" x14ac:dyDescent="0.25">
      <c r="A473" s="71"/>
      <c r="B473" s="71"/>
      <c r="C473" s="71"/>
      <c r="D473" s="71"/>
      <c r="E473" s="71"/>
    </row>
    <row r="474" spans="1:5" x14ac:dyDescent="0.25">
      <c r="A474" s="71"/>
      <c r="B474" s="71"/>
      <c r="C474" s="71"/>
      <c r="D474" s="71"/>
      <c r="E474" s="71"/>
    </row>
    <row r="475" spans="1:5" x14ac:dyDescent="0.25">
      <c r="A475" s="71"/>
      <c r="B475" s="71"/>
      <c r="C475" s="71"/>
      <c r="D475" s="71"/>
      <c r="E475" s="71"/>
    </row>
    <row r="476" spans="1:5" x14ac:dyDescent="0.25">
      <c r="A476" s="71"/>
      <c r="B476" s="71"/>
      <c r="C476" s="71"/>
      <c r="D476" s="71"/>
      <c r="E476" s="71"/>
    </row>
    <row r="477" spans="1:5" x14ac:dyDescent="0.25">
      <c r="A477" s="71"/>
      <c r="B477" s="71"/>
      <c r="C477" s="71"/>
      <c r="D477" s="71"/>
      <c r="E477" s="71"/>
    </row>
    <row r="478" spans="1:5" x14ac:dyDescent="0.25">
      <c r="A478" s="71"/>
      <c r="B478" s="71"/>
      <c r="C478" s="71"/>
      <c r="D478" s="71"/>
      <c r="E478" s="71"/>
    </row>
  </sheetData>
  <mergeCells count="112">
    <mergeCell ref="A11:E11"/>
    <mergeCell ref="A12:E12"/>
    <mergeCell ref="B14:E14"/>
    <mergeCell ref="B15:E15"/>
    <mergeCell ref="B16:E16"/>
    <mergeCell ref="A17:E17"/>
    <mergeCell ref="A19:E19"/>
    <mergeCell ref="A20:E20"/>
    <mergeCell ref="B21:E21"/>
    <mergeCell ref="A22:A23"/>
    <mergeCell ref="B29:E29"/>
    <mergeCell ref="B31:E31"/>
    <mergeCell ref="A32:E32"/>
    <mergeCell ref="A36:E36"/>
    <mergeCell ref="A37:E37"/>
    <mergeCell ref="B38:E38"/>
    <mergeCell ref="B39:E39"/>
    <mergeCell ref="A40:E40"/>
    <mergeCell ref="B41:E41"/>
    <mergeCell ref="A42:A43"/>
    <mergeCell ref="A50:E50"/>
    <mergeCell ref="A51:A52"/>
    <mergeCell ref="B62:E62"/>
    <mergeCell ref="A63:E63"/>
    <mergeCell ref="A67:E67"/>
    <mergeCell ref="B68:E68"/>
    <mergeCell ref="B69:E69"/>
    <mergeCell ref="B70:E70"/>
    <mergeCell ref="A72:A73"/>
    <mergeCell ref="A79:E79"/>
    <mergeCell ref="A80:A81"/>
    <mergeCell ref="B91:E91"/>
    <mergeCell ref="A92:E92"/>
    <mergeCell ref="A97:E97"/>
    <mergeCell ref="B98:E98"/>
    <mergeCell ref="B99:E99"/>
    <mergeCell ref="B100:E100"/>
    <mergeCell ref="A102:A103"/>
    <mergeCell ref="A109:E109"/>
    <mergeCell ref="A110:A111"/>
    <mergeCell ref="B121:E121"/>
    <mergeCell ref="A122:E122"/>
    <mergeCell ref="B127:E127"/>
    <mergeCell ref="B128:E128"/>
    <mergeCell ref="B129:E129"/>
    <mergeCell ref="A131:A132"/>
    <mergeCell ref="A138:E138"/>
    <mergeCell ref="A139:A140"/>
    <mergeCell ref="B151:E151"/>
    <mergeCell ref="B156:E156"/>
    <mergeCell ref="A158:A159"/>
    <mergeCell ref="A165:E165"/>
    <mergeCell ref="A166:A167"/>
    <mergeCell ref="A177:E177"/>
    <mergeCell ref="A178:E178"/>
    <mergeCell ref="A179:E179"/>
    <mergeCell ref="B180:E180"/>
    <mergeCell ref="B181:E181"/>
    <mergeCell ref="B182:E182"/>
    <mergeCell ref="B183:E183"/>
    <mergeCell ref="A184:A185"/>
    <mergeCell ref="A192:E192"/>
    <mergeCell ref="A193:A194"/>
    <mergeCell ref="B198:E198"/>
    <mergeCell ref="B199:E199"/>
    <mergeCell ref="B200:E200"/>
    <mergeCell ref="B201:E201"/>
    <mergeCell ref="A202:A203"/>
    <mergeCell ref="A210:E210"/>
    <mergeCell ref="A211:A212"/>
    <mergeCell ref="B216:E216"/>
    <mergeCell ref="B217:E217"/>
    <mergeCell ref="B244:E244"/>
    <mergeCell ref="A246:A247"/>
    <mergeCell ref="A253:E253"/>
    <mergeCell ref="A254:A255"/>
    <mergeCell ref="B265:E265"/>
    <mergeCell ref="B266:E266"/>
    <mergeCell ref="A267:E267"/>
    <mergeCell ref="B218:E218"/>
    <mergeCell ref="B219:E219"/>
    <mergeCell ref="B220:E220"/>
    <mergeCell ref="A221:A222"/>
    <mergeCell ref="A229:E229"/>
    <mergeCell ref="A230:A231"/>
    <mergeCell ref="B235:E235"/>
    <mergeCell ref="B236:E236"/>
    <mergeCell ref="A237:E237"/>
    <mergeCell ref="A315:A316"/>
    <mergeCell ref="B296:E296"/>
    <mergeCell ref="B297:E297"/>
    <mergeCell ref="A298:E298"/>
    <mergeCell ref="A302:E302"/>
    <mergeCell ref="B304:E304"/>
    <mergeCell ref="B305:E305"/>
    <mergeCell ref="B4:E4"/>
    <mergeCell ref="B5:E5"/>
    <mergeCell ref="B6:E6"/>
    <mergeCell ref="C7:E7"/>
    <mergeCell ref="C8:E8"/>
    <mergeCell ref="C9:E9"/>
    <mergeCell ref="A272:E272"/>
    <mergeCell ref="B274:E274"/>
    <mergeCell ref="B275:E275"/>
    <mergeCell ref="A277:A278"/>
    <mergeCell ref="A284:E284"/>
    <mergeCell ref="A285:A286"/>
    <mergeCell ref="B273:E273"/>
    <mergeCell ref="A307:A308"/>
    <mergeCell ref="A314:E314"/>
    <mergeCell ref="A241:E241"/>
    <mergeCell ref="B243:E243"/>
  </mergeCells>
  <pageMargins left="0.2" right="0.2" top="0.75" bottom="0.75" header="0.3" footer="0.3"/>
  <pageSetup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2:I300"/>
  <sheetViews>
    <sheetView view="pageBreakPreview" topLeftCell="A271" zoomScale="40" zoomScaleNormal="63" zoomScaleSheetLayoutView="40" workbookViewId="0">
      <selection activeCell="G26" sqref="G26"/>
    </sheetView>
  </sheetViews>
  <sheetFormatPr defaultColWidth="8.85546875" defaultRowHeight="15.75" x14ac:dyDescent="0.25"/>
  <cols>
    <col min="1" max="1" width="47.140625" style="106" customWidth="1"/>
    <col min="2" max="2" width="40.42578125" style="106" customWidth="1"/>
    <col min="3" max="3" width="25.28515625" style="106" customWidth="1"/>
    <col min="4" max="4" width="41" style="106" customWidth="1"/>
    <col min="5" max="5" width="21.42578125" style="106" customWidth="1"/>
    <col min="6" max="6" width="11" style="106" customWidth="1"/>
    <col min="7" max="7" width="11" style="106" bestFit="1" customWidth="1"/>
    <col min="8" max="16384" width="8.85546875" style="106"/>
  </cols>
  <sheetData>
    <row r="2" spans="1:5" x14ac:dyDescent="0.25">
      <c r="A2" s="375" t="s">
        <v>898</v>
      </c>
      <c r="B2" s="790"/>
      <c r="C2" s="790"/>
      <c r="D2" s="790"/>
    </row>
    <row r="3" spans="1:5" ht="16.5" thickBot="1" x14ac:dyDescent="0.3"/>
    <row r="4" spans="1:5" ht="16.5" thickBot="1" x14ac:dyDescent="0.3">
      <c r="A4" s="168" t="s">
        <v>897</v>
      </c>
      <c r="B4" s="1430" t="s">
        <v>1341</v>
      </c>
      <c r="C4" s="1431"/>
      <c r="D4" s="1431"/>
      <c r="E4" s="1658"/>
    </row>
    <row r="5" spans="1:5" ht="16.5" thickBot="1" x14ac:dyDescent="0.3">
      <c r="A5" s="36" t="s">
        <v>895</v>
      </c>
      <c r="B5" s="1432" t="s">
        <v>1340</v>
      </c>
      <c r="C5" s="1433"/>
      <c r="D5" s="1433"/>
      <c r="E5" s="1659"/>
    </row>
    <row r="6" spans="1:5" ht="16.5" thickBot="1" x14ac:dyDescent="0.3">
      <c r="A6" s="36" t="s">
        <v>914</v>
      </c>
      <c r="B6" s="2128" t="s">
        <v>1339</v>
      </c>
      <c r="C6" s="1103"/>
      <c r="D6" s="1103"/>
      <c r="E6" s="1104"/>
    </row>
    <row r="7" spans="1:5" ht="16.5" thickBot="1" x14ac:dyDescent="0.3">
      <c r="A7" s="36" t="s">
        <v>891</v>
      </c>
      <c r="B7" s="167" t="s">
        <v>912</v>
      </c>
      <c r="C7" s="1093" t="s">
        <v>7</v>
      </c>
      <c r="D7" s="1093"/>
      <c r="E7" s="1094"/>
    </row>
    <row r="8" spans="1:5" ht="32.25" thickBot="1" x14ac:dyDescent="0.3">
      <c r="A8" s="36" t="s">
        <v>1338</v>
      </c>
      <c r="B8" s="313" t="s">
        <v>429</v>
      </c>
      <c r="C8" s="2129" t="s">
        <v>1337</v>
      </c>
      <c r="D8" s="2129"/>
      <c r="E8" s="2130"/>
    </row>
    <row r="9" spans="1:5" ht="16.5" thickBot="1" x14ac:dyDescent="0.3">
      <c r="A9" s="36"/>
      <c r="B9" s="166"/>
      <c r="C9" s="1420"/>
      <c r="D9" s="1420"/>
      <c r="E9" s="1421"/>
    </row>
    <row r="11" spans="1:5" ht="18" customHeight="1" x14ac:dyDescent="0.25">
      <c r="A11" s="1492" t="s">
        <v>0</v>
      </c>
      <c r="B11" s="1492"/>
      <c r="C11" s="1492"/>
      <c r="D11" s="1492"/>
      <c r="E11" s="1492"/>
    </row>
    <row r="12" spans="1:5" ht="18" customHeight="1" x14ac:dyDescent="0.25">
      <c r="A12" s="1493" t="s">
        <v>1</v>
      </c>
      <c r="B12" s="1493"/>
      <c r="C12" s="1493"/>
      <c r="D12" s="1493"/>
      <c r="E12" s="1493"/>
    </row>
    <row r="13" spans="1:5" ht="16.5" thickBot="1" x14ac:dyDescent="0.3">
      <c r="E13" s="106" t="s">
        <v>428</v>
      </c>
    </row>
    <row r="14" spans="1:5" ht="29.25" customHeight="1" thickBot="1" x14ac:dyDescent="0.3">
      <c r="A14" s="36" t="s">
        <v>2</v>
      </c>
      <c r="B14" s="2142" t="str">
        <f>'[3]Formati 1 Misioni'!C9</f>
        <v>MBIKËQYRJA E TREGUT DHE ADVOKACIA E KONKURRENCËS</v>
      </c>
      <c r="C14" s="2142"/>
      <c r="D14" s="2142"/>
      <c r="E14" s="2142"/>
    </row>
    <row r="15" spans="1:5" ht="20.45" customHeight="1" thickBot="1" x14ac:dyDescent="0.3">
      <c r="A15" s="36" t="s">
        <v>3</v>
      </c>
      <c r="B15" s="1432" t="s">
        <v>429</v>
      </c>
      <c r="C15" s="1433"/>
      <c r="D15" s="1433"/>
      <c r="E15" s="1659"/>
    </row>
    <row r="16" spans="1:5" ht="43.5" customHeight="1" thickBot="1" x14ac:dyDescent="0.3">
      <c r="A16" s="36" t="s">
        <v>5</v>
      </c>
      <c r="B16" s="1419" t="s">
        <v>6</v>
      </c>
      <c r="C16" s="1420"/>
      <c r="D16" s="1420"/>
      <c r="E16" s="1421"/>
    </row>
    <row r="17" spans="1:8" ht="17.45" customHeight="1" thickBot="1" x14ac:dyDescent="0.3">
      <c r="A17" s="2143" t="s">
        <v>7</v>
      </c>
      <c r="B17" s="1487"/>
      <c r="C17" s="1487"/>
      <c r="D17" s="1487"/>
      <c r="E17" s="2144"/>
    </row>
    <row r="18" spans="1:8" ht="16.5" thickBot="1" x14ac:dyDescent="0.3">
      <c r="A18" s="2145" t="s">
        <v>430</v>
      </c>
      <c r="B18" s="2146"/>
      <c r="C18" s="2146"/>
      <c r="D18" s="2146"/>
      <c r="E18" s="2147"/>
    </row>
    <row r="19" spans="1:8" ht="36.75" customHeight="1" thickBot="1" x14ac:dyDescent="0.3">
      <c r="A19" s="2145"/>
      <c r="B19" s="2146"/>
      <c r="C19" s="2146"/>
      <c r="D19" s="2146"/>
      <c r="E19" s="2147"/>
    </row>
    <row r="20" spans="1:8" ht="16.5" thickBot="1" x14ac:dyDescent="0.3">
      <c r="A20" s="2145"/>
      <c r="B20" s="2146"/>
      <c r="C20" s="2146"/>
      <c r="D20" s="2146"/>
      <c r="E20" s="2147"/>
    </row>
    <row r="21" spans="1:8" ht="71.45" customHeight="1" thickBot="1" x14ac:dyDescent="0.3">
      <c r="A21" s="37" t="s">
        <v>8</v>
      </c>
      <c r="B21" s="1110" t="e">
        <f>'[3]Formati 2 Politika Ekzistuese'!D12:G12</f>
        <v>#VALUE!</v>
      </c>
      <c r="C21" s="1111"/>
      <c r="D21" s="1111"/>
      <c r="E21" s="1112"/>
    </row>
    <row r="22" spans="1:8" ht="23.25" customHeight="1" x14ac:dyDescent="0.25">
      <c r="A22" s="1481" t="s">
        <v>102</v>
      </c>
      <c r="B22" s="38">
        <v>2018</v>
      </c>
      <c r="C22" s="38">
        <v>2019</v>
      </c>
      <c r="D22" s="38">
        <v>2020</v>
      </c>
      <c r="E22" s="38">
        <v>2021</v>
      </c>
    </row>
    <row r="23" spans="1:8" ht="16.5" thickBot="1" x14ac:dyDescent="0.3">
      <c r="A23" s="1482"/>
      <c r="B23" s="39" t="s">
        <v>10</v>
      </c>
      <c r="C23" s="39" t="s">
        <v>11</v>
      </c>
      <c r="D23" s="39" t="s">
        <v>11</v>
      </c>
      <c r="E23" s="39" t="s">
        <v>11</v>
      </c>
    </row>
    <row r="24" spans="1:8" ht="63.75" customHeight="1" thickBot="1" x14ac:dyDescent="0.3">
      <c r="A24" s="232" t="str">
        <f>'[3]Formati 2 Politika Ekzistuese'!C15</f>
        <v>Rritja e mundësisë së zgjedhjeve konsumatore(produkte dhe shërbime me cilësi të mirë dhe çmime të ulta</v>
      </c>
      <c r="B24" s="107">
        <f>'[3]Formati 2 Politika Ekzistuese'!D15</f>
        <v>0.5</v>
      </c>
      <c r="C24" s="232" t="str">
        <f>'[3]Formati 2 Politika Ekzistuese'!E15</f>
        <v>Trend rritës</v>
      </c>
      <c r="D24" s="232" t="str">
        <f>'[3]Formati 2 Politika Ekzistuese'!F15</f>
        <v>Trend rritës</v>
      </c>
      <c r="E24" s="232" t="str">
        <f>'[3]Formati 2 Politika Ekzistuese'!G15</f>
        <v>Trend rritës</v>
      </c>
    </row>
    <row r="25" spans="1:8" ht="68.25" customHeight="1" thickBot="1" x14ac:dyDescent="0.3">
      <c r="A25" s="232" t="str">
        <f>'[3]Formati 2 Politika Ekzistuese'!C16</f>
        <v>Rritja e efiçencës së tregjeve nga performanca e ndërmarrjeve duke respektuar rregullat e konkurrencës</v>
      </c>
      <c r="B25" s="107">
        <f>'[3]Formati 2 Politika Ekzistuese'!D16</f>
        <v>0.4</v>
      </c>
      <c r="C25" s="232" t="str">
        <f>'[3]Formati 2 Politika Ekzistuese'!E16</f>
        <v>Trend rritës</v>
      </c>
      <c r="D25" s="232" t="str">
        <f>'[3]Formati 2 Politika Ekzistuese'!F16</f>
        <v>Trend rritës</v>
      </c>
      <c r="E25" s="232" t="str">
        <f>'[3]Formati 2 Politika Ekzistuese'!G16</f>
        <v>Trend rritës</v>
      </c>
    </row>
    <row r="26" spans="1:8" ht="64.5" customHeight="1" thickBot="1" x14ac:dyDescent="0.3">
      <c r="A26" s="232" t="str">
        <f>'[3]Formati 2 Politika Ekzistuese'!C17</f>
        <v>Ndërgjegjësimi I ndërrmarrjeve dhe konsumatorëve për përfitimet që vinë nga konkurrenca</v>
      </c>
      <c r="B26" s="107">
        <f>'[3]Formati 2 Politika Ekzistuese'!D17</f>
        <v>0.45</v>
      </c>
      <c r="C26" s="232" t="str">
        <f>'[3]Formati 2 Politika Ekzistuese'!E17</f>
        <v>Trend rritës</v>
      </c>
      <c r="D26" s="232" t="str">
        <f>'[3]Formati 2 Politika Ekzistuese'!F17</f>
        <v>Trend rritës</v>
      </c>
      <c r="E26" s="232" t="str">
        <f>'[3]Formati 2 Politika Ekzistuese'!G17</f>
        <v>Trend rritës</v>
      </c>
    </row>
    <row r="27" spans="1:8" ht="34.15" customHeight="1" thickBot="1" x14ac:dyDescent="0.3">
      <c r="A27" s="41" t="s">
        <v>12</v>
      </c>
      <c r="B27" s="1413" t="s">
        <v>431</v>
      </c>
      <c r="C27" s="1414"/>
      <c r="D27" s="1414"/>
      <c r="E27" s="1415"/>
    </row>
    <row r="28" spans="1:8" ht="23.25" customHeight="1" thickBot="1" x14ac:dyDescent="0.3">
      <c r="A28" s="1419" t="s">
        <v>103</v>
      </c>
      <c r="B28" s="1420"/>
      <c r="C28" s="1420"/>
      <c r="D28" s="1420"/>
      <c r="E28" s="1421"/>
      <c r="F28" s="108"/>
      <c r="H28" s="108"/>
    </row>
    <row r="29" spans="1:8" ht="32.25" thickBot="1" x14ac:dyDescent="0.3">
      <c r="A29" s="232" t="s">
        <v>432</v>
      </c>
      <c r="B29" s="40">
        <v>0.5</v>
      </c>
      <c r="C29" s="40" t="s">
        <v>110</v>
      </c>
      <c r="D29" s="40" t="s">
        <v>110</v>
      </c>
      <c r="E29" s="40" t="s">
        <v>110</v>
      </c>
    </row>
    <row r="30" spans="1:8" ht="16.5" thickBot="1" x14ac:dyDescent="0.3">
      <c r="A30" s="220"/>
      <c r="B30" s="40"/>
      <c r="C30" s="40"/>
      <c r="D30" s="40"/>
      <c r="E30" s="40"/>
    </row>
    <row r="31" spans="1:8" ht="16.5" thickBot="1" x14ac:dyDescent="0.3">
      <c r="B31" s="40"/>
      <c r="C31" s="40"/>
      <c r="D31" s="40"/>
      <c r="E31" s="40"/>
    </row>
    <row r="32" spans="1:8" ht="16.5" thickBot="1" x14ac:dyDescent="0.3">
      <c r="A32" s="1494" t="s">
        <v>14</v>
      </c>
      <c r="B32" s="1471"/>
      <c r="C32" s="1471"/>
      <c r="D32" s="1471"/>
      <c r="E32" s="2135"/>
    </row>
    <row r="33" spans="1:9" ht="16.5" thickBot="1" x14ac:dyDescent="0.3">
      <c r="A33" s="1494" t="s">
        <v>104</v>
      </c>
      <c r="B33" s="1471"/>
      <c r="C33" s="1471"/>
      <c r="D33" s="1471"/>
      <c r="E33" s="2135"/>
    </row>
    <row r="34" spans="1:9" ht="16.5" thickBot="1" x14ac:dyDescent="0.3">
      <c r="A34" s="42" t="s">
        <v>105</v>
      </c>
      <c r="B34" s="1473" t="s">
        <v>433</v>
      </c>
      <c r="C34" s="1474"/>
      <c r="D34" s="1474"/>
      <c r="E34" s="2131"/>
    </row>
    <row r="35" spans="1:9" ht="31.15" customHeight="1" thickBot="1" x14ac:dyDescent="0.3">
      <c r="A35" s="220" t="s">
        <v>17</v>
      </c>
      <c r="B35" s="1413" t="s">
        <v>434</v>
      </c>
      <c r="C35" s="1414"/>
      <c r="D35" s="1414"/>
      <c r="E35" s="1415"/>
    </row>
    <row r="36" spans="1:9" ht="16.5" thickBot="1" x14ac:dyDescent="0.3">
      <c r="A36" s="220" t="s">
        <v>18</v>
      </c>
      <c r="B36" s="1473" t="s">
        <v>435</v>
      </c>
      <c r="C36" s="1474"/>
      <c r="D36" s="1474"/>
      <c r="E36" s="2131"/>
    </row>
    <row r="37" spans="1:9" ht="12.75" customHeight="1" x14ac:dyDescent="0.25">
      <c r="A37" s="1481"/>
      <c r="B37" s="43">
        <v>2018</v>
      </c>
      <c r="C37" s="43">
        <v>2019</v>
      </c>
      <c r="D37" s="43">
        <v>2020</v>
      </c>
      <c r="E37" s="43">
        <v>2021</v>
      </c>
    </row>
    <row r="38" spans="1:9" ht="12" customHeight="1" thickBot="1" x14ac:dyDescent="0.3">
      <c r="A38" s="1482"/>
      <c r="B38" s="44" t="s">
        <v>10</v>
      </c>
      <c r="C38" s="44" t="s">
        <v>11</v>
      </c>
      <c r="D38" s="44" t="s">
        <v>11</v>
      </c>
      <c r="E38" s="44" t="s">
        <v>11</v>
      </c>
    </row>
    <row r="39" spans="1:9" ht="16.5" thickBot="1" x14ac:dyDescent="0.3">
      <c r="A39" s="220" t="s">
        <v>19</v>
      </c>
      <c r="B39" s="47">
        <f>20+10</f>
        <v>30</v>
      </c>
      <c r="C39" s="47">
        <f>22+11</f>
        <v>33</v>
      </c>
      <c r="D39" s="47">
        <f>24+10</f>
        <v>34</v>
      </c>
      <c r="E39" s="47">
        <f>35</f>
        <v>35</v>
      </c>
    </row>
    <row r="40" spans="1:9" ht="16.5" thickBot="1" x14ac:dyDescent="0.3">
      <c r="A40" s="220" t="s">
        <v>20</v>
      </c>
      <c r="B40" s="47">
        <v>17950</v>
      </c>
      <c r="C40" s="47">
        <f>72000*0.25</f>
        <v>18000</v>
      </c>
      <c r="D40" s="47">
        <f>72000*0.25</f>
        <v>18000</v>
      </c>
      <c r="E40" s="47">
        <f>72500*0.25-125</f>
        <v>18000</v>
      </c>
    </row>
    <row r="41" spans="1:9" ht="16.5" thickBot="1" x14ac:dyDescent="0.3">
      <c r="A41" s="220" t="s">
        <v>21</v>
      </c>
      <c r="B41" s="47">
        <f>B40/B39</f>
        <v>598.33333333333337</v>
      </c>
      <c r="C41" s="47">
        <f>C40/C39</f>
        <v>545.4545454545455</v>
      </c>
      <c r="D41" s="47">
        <f>D40/D39</f>
        <v>529.41176470588232</v>
      </c>
      <c r="E41" s="47">
        <f>E40/E39</f>
        <v>514.28571428571433</v>
      </c>
    </row>
    <row r="42" spans="1:9" ht="16.5" thickBot="1" x14ac:dyDescent="0.3">
      <c r="A42" s="220" t="s">
        <v>22</v>
      </c>
      <c r="B42" s="228" t="s">
        <v>23</v>
      </c>
      <c r="C42" s="48">
        <f t="shared" ref="C42:E44" si="0">C39/B39-1</f>
        <v>0.10000000000000009</v>
      </c>
      <c r="D42" s="48">
        <f t="shared" si="0"/>
        <v>3.0303030303030276E-2</v>
      </c>
      <c r="E42" s="48">
        <f t="shared" si="0"/>
        <v>2.9411764705882248E-2</v>
      </c>
      <c r="F42" s="109"/>
      <c r="G42" s="109"/>
      <c r="H42" s="109"/>
      <c r="I42" s="109"/>
    </row>
    <row r="43" spans="1:9" ht="16.5" thickBot="1" x14ac:dyDescent="0.3">
      <c r="A43" s="220" t="s">
        <v>24</v>
      </c>
      <c r="B43" s="228" t="s">
        <v>23</v>
      </c>
      <c r="C43" s="48">
        <f t="shared" si="0"/>
        <v>2.7855153203342198E-3</v>
      </c>
      <c r="D43" s="48">
        <f t="shared" si="0"/>
        <v>0</v>
      </c>
      <c r="E43" s="48">
        <f t="shared" si="0"/>
        <v>0</v>
      </c>
    </row>
    <row r="44" spans="1:9" ht="16.5" thickBot="1" x14ac:dyDescent="0.3">
      <c r="A44" s="220" t="s">
        <v>25</v>
      </c>
      <c r="B44" s="228" t="s">
        <v>23</v>
      </c>
      <c r="C44" s="48">
        <f t="shared" si="0"/>
        <v>-8.8376804254241548E-2</v>
      </c>
      <c r="D44" s="48">
        <f t="shared" si="0"/>
        <v>-2.941176470588247E-2</v>
      </c>
      <c r="E44" s="48">
        <f t="shared" si="0"/>
        <v>-2.857142857142847E-2</v>
      </c>
    </row>
    <row r="45" spans="1:9" ht="16.5" thickBot="1" x14ac:dyDescent="0.3">
      <c r="A45" s="1427" t="s">
        <v>436</v>
      </c>
      <c r="B45" s="1428"/>
      <c r="C45" s="1428"/>
      <c r="D45" s="1428"/>
      <c r="E45" s="1429"/>
    </row>
    <row r="46" spans="1:9" ht="12.75" customHeight="1" x14ac:dyDescent="0.25">
      <c r="A46" s="1481"/>
      <c r="B46" s="43">
        <v>2018</v>
      </c>
      <c r="C46" s="43">
        <v>2019</v>
      </c>
      <c r="D46" s="43">
        <v>2020</v>
      </c>
      <c r="E46" s="43">
        <v>2021</v>
      </c>
    </row>
    <row r="47" spans="1:9" ht="9" customHeight="1" thickBot="1" x14ac:dyDescent="0.3">
      <c r="A47" s="1482"/>
      <c r="B47" s="44" t="s">
        <v>10</v>
      </c>
      <c r="C47" s="44" t="s">
        <v>11</v>
      </c>
      <c r="D47" s="44" t="s">
        <v>11</v>
      </c>
      <c r="E47" s="44" t="s">
        <v>11</v>
      </c>
    </row>
    <row r="48" spans="1:9" ht="16.5" thickBot="1" x14ac:dyDescent="0.3">
      <c r="A48" s="49" t="s">
        <v>26</v>
      </c>
      <c r="B48" s="50">
        <v>13225</v>
      </c>
      <c r="C48" s="50">
        <f>C40*0.74</f>
        <v>13320</v>
      </c>
      <c r="D48" s="50">
        <f>D40*0.74</f>
        <v>13320</v>
      </c>
      <c r="E48" s="50">
        <f>E40*0.74</f>
        <v>13320</v>
      </c>
    </row>
    <row r="49" spans="1:5" ht="16.5" thickBot="1" x14ac:dyDescent="0.3">
      <c r="A49" s="49" t="s">
        <v>28</v>
      </c>
      <c r="B49" s="50">
        <v>2150</v>
      </c>
      <c r="C49" s="50">
        <f>C40*0.12</f>
        <v>2160</v>
      </c>
      <c r="D49" s="50">
        <f>D40*0.12</f>
        <v>2160</v>
      </c>
      <c r="E49" s="50">
        <f>E40*0.12</f>
        <v>2160</v>
      </c>
    </row>
    <row r="50" spans="1:5" ht="16.5" thickBot="1" x14ac:dyDescent="0.3">
      <c r="A50" s="49" t="s">
        <v>30</v>
      </c>
      <c r="B50" s="52">
        <v>2515</v>
      </c>
      <c r="C50" s="52">
        <f>C40*0.14-80</f>
        <v>2440.0000000000005</v>
      </c>
      <c r="D50" s="52">
        <f>D40*0.14-80</f>
        <v>2440.0000000000005</v>
      </c>
      <c r="E50" s="52">
        <f>E40*0.14-80</f>
        <v>2440.0000000000005</v>
      </c>
    </row>
    <row r="51" spans="1:5" ht="16.5" thickBot="1" x14ac:dyDescent="0.3">
      <c r="A51" s="49" t="s">
        <v>32</v>
      </c>
      <c r="B51" s="52"/>
      <c r="C51" s="50"/>
      <c r="D51" s="50"/>
      <c r="E51" s="50"/>
    </row>
    <row r="52" spans="1:5" ht="16.5" thickBot="1" x14ac:dyDescent="0.3">
      <c r="A52" s="49" t="s">
        <v>34</v>
      </c>
      <c r="B52" s="52"/>
      <c r="C52" s="50"/>
      <c r="D52" s="50"/>
      <c r="E52" s="50"/>
    </row>
    <row r="53" spans="1:5" ht="16.5" thickBot="1" x14ac:dyDescent="0.3">
      <c r="A53" s="49" t="s">
        <v>36</v>
      </c>
      <c r="B53" s="52"/>
      <c r="C53" s="50"/>
      <c r="D53" s="50"/>
      <c r="E53" s="50"/>
    </row>
    <row r="54" spans="1:5" ht="16.5" thickBot="1" x14ac:dyDescent="0.3">
      <c r="A54" s="49" t="s">
        <v>38</v>
      </c>
      <c r="B54" s="52">
        <v>60</v>
      </c>
      <c r="C54" s="52">
        <v>80</v>
      </c>
      <c r="D54" s="52">
        <v>80</v>
      </c>
      <c r="E54" s="52">
        <v>80</v>
      </c>
    </row>
    <row r="55" spans="1:5" ht="16.5" thickBot="1" x14ac:dyDescent="0.3">
      <c r="A55" s="51" t="s">
        <v>40</v>
      </c>
      <c r="B55" s="52">
        <f>B54+B53+B52+B51+B50+B49+B48</f>
        <v>17950</v>
      </c>
      <c r="C55" s="52">
        <f>C54+C53+C52+C51+C50+C49+C48</f>
        <v>18000</v>
      </c>
      <c r="D55" s="52">
        <f>D54+D53+D52+D51+D50+D49+D48</f>
        <v>18000</v>
      </c>
      <c r="E55" s="52">
        <f>E54+E53+E52+E51+E50+E49+E48</f>
        <v>18000</v>
      </c>
    </row>
    <row r="56" spans="1:5" ht="16.5" thickBot="1" x14ac:dyDescent="0.3">
      <c r="A56" s="45" t="s">
        <v>41</v>
      </c>
      <c r="B56" s="46">
        <f>IF(B55-B40=0,0,"Error")</f>
        <v>0</v>
      </c>
      <c r="C56" s="46">
        <f>IF(C55-C40=0,0,"Error")</f>
        <v>0</v>
      </c>
      <c r="D56" s="46">
        <f>IF(D55-D40=0,0,"Error")</f>
        <v>0</v>
      </c>
      <c r="E56" s="46">
        <f>IF(E55-E40=0,0,"Error")</f>
        <v>0</v>
      </c>
    </row>
    <row r="57" spans="1:5" ht="16.5" thickBot="1" x14ac:dyDescent="0.3">
      <c r="A57" s="1494" t="s">
        <v>63</v>
      </c>
      <c r="B57" s="1471"/>
      <c r="C57" s="1471"/>
      <c r="D57" s="1471"/>
      <c r="E57" s="2135"/>
    </row>
    <row r="58" spans="1:5" ht="16.5" thickBot="1" x14ac:dyDescent="0.3">
      <c r="A58" s="1494" t="s">
        <v>56</v>
      </c>
      <c r="B58" s="1471"/>
      <c r="C58" s="1471"/>
      <c r="D58" s="1471"/>
      <c r="E58" s="2135"/>
    </row>
    <row r="59" spans="1:5" ht="16.5" thickBot="1" x14ac:dyDescent="0.3">
      <c r="A59" s="110" t="s">
        <v>79</v>
      </c>
      <c r="B59" s="2132" t="s">
        <v>437</v>
      </c>
      <c r="C59" s="2133"/>
      <c r="D59" s="2133"/>
      <c r="E59" s="2134"/>
    </row>
    <row r="60" spans="1:5" ht="16.5" thickBot="1" x14ac:dyDescent="0.3">
      <c r="A60" s="42" t="s">
        <v>16</v>
      </c>
      <c r="B60" s="2132" t="s">
        <v>438</v>
      </c>
      <c r="C60" s="2133"/>
      <c r="D60" s="2133"/>
      <c r="E60" s="2134"/>
    </row>
    <row r="61" spans="1:5" ht="17.25" customHeight="1" thickBot="1" x14ac:dyDescent="0.3">
      <c r="A61" s="220" t="s">
        <v>17</v>
      </c>
      <c r="B61" s="2132" t="s">
        <v>439</v>
      </c>
      <c r="C61" s="2133"/>
      <c r="D61" s="2133"/>
      <c r="E61" s="2134"/>
    </row>
    <row r="62" spans="1:5" ht="16.5" thickBot="1" x14ac:dyDescent="0.3">
      <c r="A62" s="220" t="s">
        <v>18</v>
      </c>
      <c r="B62" s="2132" t="s">
        <v>332</v>
      </c>
      <c r="C62" s="2133"/>
      <c r="D62" s="2133"/>
      <c r="E62" s="2134"/>
    </row>
    <row r="63" spans="1:5" ht="12.75" customHeight="1" x14ac:dyDescent="0.25">
      <c r="A63" s="1481"/>
      <c r="B63" s="43">
        <v>2018</v>
      </c>
      <c r="C63" s="43">
        <v>2019</v>
      </c>
      <c r="D63" s="43">
        <v>2020</v>
      </c>
      <c r="E63" s="43">
        <v>2021</v>
      </c>
    </row>
    <row r="64" spans="1:5" ht="9" customHeight="1" thickBot="1" x14ac:dyDescent="0.3">
      <c r="A64" s="1482"/>
      <c r="B64" s="44" t="s">
        <v>10</v>
      </c>
      <c r="C64" s="44" t="s">
        <v>11</v>
      </c>
      <c r="D64" s="44" t="s">
        <v>11</v>
      </c>
      <c r="E64" s="44" t="s">
        <v>11</v>
      </c>
    </row>
    <row r="65" spans="1:9" ht="16.5" thickBot="1" x14ac:dyDescent="0.3">
      <c r="A65" s="220" t="s">
        <v>19</v>
      </c>
      <c r="B65" s="47">
        <v>8</v>
      </c>
      <c r="C65" s="47">
        <v>10</v>
      </c>
      <c r="D65" s="47">
        <v>12</v>
      </c>
      <c r="E65" s="47">
        <v>12</v>
      </c>
    </row>
    <row r="66" spans="1:9" ht="16.5" thickBot="1" x14ac:dyDescent="0.3">
      <c r="A66" s="220" t="s">
        <v>20</v>
      </c>
      <c r="B66" s="47">
        <v>200</v>
      </c>
      <c r="C66" s="47">
        <v>200</v>
      </c>
      <c r="D66" s="47">
        <v>200</v>
      </c>
      <c r="E66" s="47">
        <v>200</v>
      </c>
    </row>
    <row r="67" spans="1:9" ht="16.5" thickBot="1" x14ac:dyDescent="0.3">
      <c r="A67" s="220" t="s">
        <v>21</v>
      </c>
      <c r="B67" s="47">
        <f>B66/B65</f>
        <v>25</v>
      </c>
      <c r="C67" s="47">
        <f>C66/C65</f>
        <v>20</v>
      </c>
      <c r="D67" s="47">
        <f>D66/D65</f>
        <v>16.666666666666668</v>
      </c>
      <c r="E67" s="47">
        <f>E66/E65</f>
        <v>16.666666666666668</v>
      </c>
    </row>
    <row r="68" spans="1:9" ht="16.5" thickBot="1" x14ac:dyDescent="0.3">
      <c r="A68" s="220" t="s">
        <v>22</v>
      </c>
      <c r="B68" s="228" t="s">
        <v>23</v>
      </c>
      <c r="C68" s="48">
        <f t="shared" ref="C68:E70" si="1">C65/B65-1</f>
        <v>0.25</v>
      </c>
      <c r="D68" s="48">
        <f t="shared" si="1"/>
        <v>0.19999999999999996</v>
      </c>
      <c r="E68" s="48">
        <f t="shared" si="1"/>
        <v>0</v>
      </c>
      <c r="F68" s="109"/>
      <c r="G68" s="109"/>
      <c r="H68" s="109"/>
      <c r="I68" s="109"/>
    </row>
    <row r="69" spans="1:9" ht="16.5" thickBot="1" x14ac:dyDescent="0.3">
      <c r="A69" s="220" t="s">
        <v>24</v>
      </c>
      <c r="B69" s="228" t="s">
        <v>23</v>
      </c>
      <c r="C69" s="48">
        <f t="shared" si="1"/>
        <v>0</v>
      </c>
      <c r="D69" s="48">
        <f t="shared" si="1"/>
        <v>0</v>
      </c>
      <c r="E69" s="48">
        <f t="shared" si="1"/>
        <v>0</v>
      </c>
    </row>
    <row r="70" spans="1:9" ht="16.5" thickBot="1" x14ac:dyDescent="0.3">
      <c r="A70" s="220" t="s">
        <v>25</v>
      </c>
      <c r="B70" s="228" t="s">
        <v>23</v>
      </c>
      <c r="C70" s="48">
        <f t="shared" si="1"/>
        <v>-0.19999999999999996</v>
      </c>
      <c r="D70" s="48">
        <f t="shared" si="1"/>
        <v>-0.16666666666666663</v>
      </c>
      <c r="E70" s="48">
        <f t="shared" si="1"/>
        <v>0</v>
      </c>
    </row>
    <row r="71" spans="1:9" ht="16.5" thickBot="1" x14ac:dyDescent="0.3">
      <c r="A71" s="1427" t="s">
        <v>436</v>
      </c>
      <c r="B71" s="1428"/>
      <c r="C71" s="1428"/>
      <c r="D71" s="1428"/>
      <c r="E71" s="1429"/>
    </row>
    <row r="72" spans="1:9" ht="12.75" customHeight="1" x14ac:dyDescent="0.25">
      <c r="A72" s="1481"/>
      <c r="B72" s="43">
        <v>2018</v>
      </c>
      <c r="C72" s="43">
        <v>2019</v>
      </c>
      <c r="D72" s="43">
        <v>2020</v>
      </c>
      <c r="E72" s="43">
        <v>2021</v>
      </c>
    </row>
    <row r="73" spans="1:9" ht="9" customHeight="1" thickBot="1" x14ac:dyDescent="0.3">
      <c r="A73" s="1482"/>
      <c r="B73" s="44" t="s">
        <v>10</v>
      </c>
      <c r="C73" s="44" t="s">
        <v>11</v>
      </c>
      <c r="D73" s="44" t="s">
        <v>11</v>
      </c>
      <c r="E73" s="44" t="s">
        <v>11</v>
      </c>
    </row>
    <row r="74" spans="1:9" ht="16.5" thickBot="1" x14ac:dyDescent="0.3">
      <c r="A74" s="49" t="s">
        <v>58</v>
      </c>
      <c r="B74" s="50"/>
      <c r="C74" s="50"/>
      <c r="D74" s="50"/>
      <c r="E74" s="50"/>
    </row>
    <row r="75" spans="1:9" ht="16.5" thickBot="1" x14ac:dyDescent="0.3">
      <c r="A75" s="49" t="s">
        <v>59</v>
      </c>
      <c r="B75" s="52">
        <f>B66</f>
        <v>200</v>
      </c>
      <c r="C75" s="52">
        <f>C66</f>
        <v>200</v>
      </c>
      <c r="D75" s="52">
        <f>D66</f>
        <v>200</v>
      </c>
      <c r="E75" s="52">
        <f>E66</f>
        <v>200</v>
      </c>
    </row>
    <row r="76" spans="1:9" ht="16.5" thickBot="1" x14ac:dyDescent="0.3">
      <c r="A76" s="51" t="s">
        <v>40</v>
      </c>
      <c r="B76" s="52">
        <f>B75+B74</f>
        <v>200</v>
      </c>
      <c r="C76" s="52">
        <f>C75+C74</f>
        <v>200</v>
      </c>
      <c r="D76" s="52">
        <f>D75+D74</f>
        <v>200</v>
      </c>
      <c r="E76" s="52">
        <f>E75+E74</f>
        <v>200</v>
      </c>
    </row>
    <row r="77" spans="1:9" x14ac:dyDescent="0.25">
      <c r="A77" s="2148" t="s">
        <v>60</v>
      </c>
      <c r="B77" s="1135"/>
      <c r="C77" s="1136"/>
      <c r="D77" s="1136"/>
      <c r="E77" s="1137"/>
    </row>
    <row r="78" spans="1:9" x14ac:dyDescent="0.25">
      <c r="A78" s="2149"/>
      <c r="B78" s="1138"/>
      <c r="C78" s="1139"/>
      <c r="D78" s="1139"/>
      <c r="E78" s="1140"/>
    </row>
    <row r="79" spans="1:9" ht="16.5" thickBot="1" x14ac:dyDescent="0.3">
      <c r="A79" s="2150"/>
      <c r="B79" s="1141"/>
      <c r="C79" s="1142"/>
      <c r="D79" s="1142"/>
      <c r="E79" s="1143"/>
    </row>
    <row r="80" spans="1:9" ht="16.5" thickBot="1" x14ac:dyDescent="0.3">
      <c r="A80" s="1494" t="s">
        <v>63</v>
      </c>
      <c r="B80" s="1471"/>
      <c r="C80" s="1471"/>
      <c r="D80" s="1471"/>
      <c r="E80" s="2135"/>
    </row>
    <row r="81" spans="1:9" ht="16.5" thickBot="1" x14ac:dyDescent="0.3">
      <c r="A81" s="1494" t="s">
        <v>64</v>
      </c>
      <c r="B81" s="1471"/>
      <c r="C81" s="1471"/>
      <c r="D81" s="1471"/>
      <c r="E81" s="2135"/>
    </row>
    <row r="82" spans="1:9" ht="16.5" thickBot="1" x14ac:dyDescent="0.3">
      <c r="A82" s="110" t="s">
        <v>61</v>
      </c>
      <c r="B82" s="2132" t="s">
        <v>440</v>
      </c>
      <c r="C82" s="2133"/>
      <c r="D82" s="2133"/>
      <c r="E82" s="2134"/>
    </row>
    <row r="83" spans="1:9" ht="16.5" thickBot="1" x14ac:dyDescent="0.3">
      <c r="A83" s="42" t="s">
        <v>16</v>
      </c>
      <c r="B83" s="2132" t="s">
        <v>441</v>
      </c>
      <c r="C83" s="2133"/>
      <c r="D83" s="2133"/>
      <c r="E83" s="2134"/>
    </row>
    <row r="84" spans="1:9" ht="17.25" customHeight="1" thickBot="1" x14ac:dyDescent="0.3">
      <c r="A84" s="220" t="s">
        <v>17</v>
      </c>
      <c r="B84" s="2132" t="s">
        <v>442</v>
      </c>
      <c r="C84" s="2133"/>
      <c r="D84" s="2133"/>
      <c r="E84" s="2134"/>
    </row>
    <row r="85" spans="1:9" ht="16.5" thickBot="1" x14ac:dyDescent="0.3">
      <c r="A85" s="220" t="s">
        <v>18</v>
      </c>
      <c r="B85" s="229" t="s">
        <v>73</v>
      </c>
      <c r="C85" s="230"/>
      <c r="D85" s="230"/>
      <c r="E85" s="231"/>
    </row>
    <row r="86" spans="1:9" ht="12.75" customHeight="1" x14ac:dyDescent="0.25">
      <c r="A86" s="1481"/>
      <c r="B86" s="43">
        <v>2018</v>
      </c>
      <c r="C86" s="43">
        <v>2019</v>
      </c>
      <c r="D86" s="43">
        <v>2020</v>
      </c>
      <c r="E86" s="43">
        <v>2021</v>
      </c>
    </row>
    <row r="87" spans="1:9" ht="9" customHeight="1" thickBot="1" x14ac:dyDescent="0.3">
      <c r="A87" s="1482"/>
      <c r="B87" s="44" t="s">
        <v>10</v>
      </c>
      <c r="C87" s="44" t="s">
        <v>11</v>
      </c>
      <c r="D87" s="44" t="s">
        <v>11</v>
      </c>
      <c r="E87" s="44" t="s">
        <v>11</v>
      </c>
    </row>
    <row r="88" spans="1:9" ht="16.5" thickBot="1" x14ac:dyDescent="0.3">
      <c r="A88" s="220" t="s">
        <v>19</v>
      </c>
      <c r="B88" s="47">
        <v>100</v>
      </c>
      <c r="C88" s="47">
        <v>0</v>
      </c>
      <c r="D88" s="47">
        <v>0</v>
      </c>
      <c r="E88" s="47">
        <v>0</v>
      </c>
    </row>
    <row r="89" spans="1:9" ht="16.5" thickBot="1" x14ac:dyDescent="0.3">
      <c r="A89" s="220" t="s">
        <v>20</v>
      </c>
      <c r="B89" s="47">
        <v>2333</v>
      </c>
      <c r="C89" s="47">
        <v>0</v>
      </c>
      <c r="D89" s="47">
        <v>0</v>
      </c>
      <c r="E89" s="47">
        <v>0</v>
      </c>
    </row>
    <row r="90" spans="1:9" ht="16.5" thickBot="1" x14ac:dyDescent="0.3">
      <c r="A90" s="220" t="s">
        <v>21</v>
      </c>
      <c r="B90" s="47">
        <f>B89/B88</f>
        <v>23.33</v>
      </c>
      <c r="C90" s="47" t="e">
        <f>C89/C88</f>
        <v>#DIV/0!</v>
      </c>
      <c r="D90" s="47" t="e">
        <f>D89/D88</f>
        <v>#DIV/0!</v>
      </c>
      <c r="E90" s="47" t="e">
        <f>E89/E88</f>
        <v>#DIV/0!</v>
      </c>
    </row>
    <row r="91" spans="1:9" ht="16.5" thickBot="1" x14ac:dyDescent="0.3">
      <c r="A91" s="220" t="s">
        <v>22</v>
      </c>
      <c r="B91" s="228" t="s">
        <v>23</v>
      </c>
      <c r="C91" s="48">
        <f t="shared" ref="C91:E93" si="2">C88/B88-1</f>
        <v>-1</v>
      </c>
      <c r="D91" s="48" t="e">
        <f t="shared" si="2"/>
        <v>#DIV/0!</v>
      </c>
      <c r="E91" s="48" t="e">
        <f t="shared" si="2"/>
        <v>#DIV/0!</v>
      </c>
      <c r="F91" s="109"/>
      <c r="G91" s="109"/>
      <c r="H91" s="109"/>
      <c r="I91" s="109"/>
    </row>
    <row r="92" spans="1:9" ht="16.5" thickBot="1" x14ac:dyDescent="0.3">
      <c r="A92" s="220" t="s">
        <v>24</v>
      </c>
      <c r="B92" s="228" t="s">
        <v>23</v>
      </c>
      <c r="C92" s="48">
        <f t="shared" si="2"/>
        <v>-1</v>
      </c>
      <c r="D92" s="48" t="e">
        <f t="shared" si="2"/>
        <v>#DIV/0!</v>
      </c>
      <c r="E92" s="48" t="e">
        <f t="shared" si="2"/>
        <v>#DIV/0!</v>
      </c>
    </row>
    <row r="93" spans="1:9" ht="16.5" thickBot="1" x14ac:dyDescent="0.3">
      <c r="A93" s="220" t="s">
        <v>25</v>
      </c>
      <c r="B93" s="228" t="s">
        <v>23</v>
      </c>
      <c r="C93" s="48" t="e">
        <f t="shared" si="2"/>
        <v>#DIV/0!</v>
      </c>
      <c r="D93" s="48" t="e">
        <f t="shared" si="2"/>
        <v>#DIV/0!</v>
      </c>
      <c r="E93" s="48" t="e">
        <f t="shared" si="2"/>
        <v>#DIV/0!</v>
      </c>
    </row>
    <row r="94" spans="1:9" ht="16.5" thickBot="1" x14ac:dyDescent="0.3">
      <c r="A94" s="1427" t="s">
        <v>436</v>
      </c>
      <c r="B94" s="1428"/>
      <c r="C94" s="1428"/>
      <c r="D94" s="1428"/>
      <c r="E94" s="1429"/>
    </row>
    <row r="95" spans="1:9" ht="12.75" customHeight="1" x14ac:dyDescent="0.25">
      <c r="A95" s="1481"/>
      <c r="B95" s="43">
        <v>2018</v>
      </c>
      <c r="C95" s="43">
        <v>2019</v>
      </c>
      <c r="D95" s="43">
        <v>2020</v>
      </c>
      <c r="E95" s="43">
        <v>2021</v>
      </c>
    </row>
    <row r="96" spans="1:9" ht="9" customHeight="1" thickBot="1" x14ac:dyDescent="0.3">
      <c r="A96" s="1482"/>
      <c r="B96" s="44" t="s">
        <v>10</v>
      </c>
      <c r="C96" s="44" t="s">
        <v>11</v>
      </c>
      <c r="D96" s="44" t="s">
        <v>11</v>
      </c>
      <c r="E96" s="44" t="s">
        <v>11</v>
      </c>
    </row>
    <row r="97" spans="1:5" ht="16.5" thickBot="1" x14ac:dyDescent="0.3">
      <c r="A97" s="49" t="s">
        <v>58</v>
      </c>
      <c r="B97" s="50"/>
      <c r="C97" s="50"/>
      <c r="D97" s="50"/>
      <c r="E97" s="50"/>
    </row>
    <row r="98" spans="1:5" ht="16.5" thickBot="1" x14ac:dyDescent="0.3">
      <c r="A98" s="49" t="s">
        <v>59</v>
      </c>
      <c r="B98" s="52">
        <f>B89</f>
        <v>2333</v>
      </c>
      <c r="C98" s="52">
        <f>C89</f>
        <v>0</v>
      </c>
      <c r="D98" s="52">
        <f>D89</f>
        <v>0</v>
      </c>
      <c r="E98" s="52">
        <f>E89</f>
        <v>0</v>
      </c>
    </row>
    <row r="99" spans="1:5" ht="16.5" thickBot="1" x14ac:dyDescent="0.3">
      <c r="A99" s="51" t="s">
        <v>40</v>
      </c>
      <c r="B99" s="52">
        <f>B98+B97</f>
        <v>2333</v>
      </c>
      <c r="C99" s="52">
        <f>C98+C97</f>
        <v>0</v>
      </c>
      <c r="D99" s="52">
        <f>D98+D97</f>
        <v>0</v>
      </c>
      <c r="E99" s="52">
        <f>E98+E97</f>
        <v>0</v>
      </c>
    </row>
    <row r="100" spans="1:5" ht="33.6" customHeight="1" thickBot="1" x14ac:dyDescent="0.3">
      <c r="A100" s="37" t="s">
        <v>67</v>
      </c>
      <c r="B100" s="1413" t="s">
        <v>443</v>
      </c>
      <c r="C100" s="1414"/>
      <c r="D100" s="1414"/>
      <c r="E100" s="1415"/>
    </row>
    <row r="101" spans="1:5" ht="15.75" customHeight="1" thickBot="1" x14ac:dyDescent="0.3">
      <c r="A101" s="1419" t="s">
        <v>68</v>
      </c>
      <c r="B101" s="1420"/>
      <c r="C101" s="1420"/>
      <c r="D101" s="1420"/>
      <c r="E101" s="1421"/>
    </row>
    <row r="102" spans="1:5" ht="32.25" thickBot="1" x14ac:dyDescent="0.3">
      <c r="A102" s="232" t="s">
        <v>444</v>
      </c>
      <c r="B102" s="111">
        <v>30</v>
      </c>
      <c r="C102" s="40" t="s">
        <v>110</v>
      </c>
      <c r="D102" s="40" t="s">
        <v>110</v>
      </c>
      <c r="E102" s="40" t="s">
        <v>110</v>
      </c>
    </row>
    <row r="103" spans="1:5" ht="15.75" customHeight="1" thickBot="1" x14ac:dyDescent="0.3">
      <c r="A103" s="220" t="s">
        <v>445</v>
      </c>
      <c r="B103" s="111">
        <v>10</v>
      </c>
      <c r="C103" s="40" t="s">
        <v>110</v>
      </c>
      <c r="D103" s="40" t="s">
        <v>110</v>
      </c>
      <c r="E103" s="40" t="s">
        <v>110</v>
      </c>
    </row>
    <row r="104" spans="1:5" ht="23.25" customHeight="1" thickBot="1" x14ac:dyDescent="0.3">
      <c r="A104" s="220"/>
      <c r="B104" s="40"/>
      <c r="C104" s="40"/>
      <c r="D104" s="40"/>
      <c r="E104" s="40"/>
    </row>
    <row r="105" spans="1:5" ht="23.25" customHeight="1" thickBot="1" x14ac:dyDescent="0.3">
      <c r="A105" s="2136" t="s">
        <v>69</v>
      </c>
      <c r="B105" s="2137"/>
      <c r="C105" s="2137"/>
      <c r="D105" s="2137"/>
      <c r="E105" s="2138"/>
    </row>
    <row r="106" spans="1:5" ht="23.25" customHeight="1" thickBot="1" x14ac:dyDescent="0.3">
      <c r="A106" s="2139" t="s">
        <v>70</v>
      </c>
      <c r="B106" s="2140"/>
      <c r="C106" s="2140"/>
      <c r="D106" s="2140"/>
      <c r="E106" s="2141"/>
    </row>
    <row r="107" spans="1:5" ht="12.75" customHeight="1" x14ac:dyDescent="0.25">
      <c r="A107" s="1481"/>
      <c r="B107" s="43">
        <v>2018</v>
      </c>
      <c r="C107" s="43">
        <v>2019</v>
      </c>
      <c r="D107" s="43">
        <v>2020</v>
      </c>
      <c r="E107" s="43">
        <v>2021</v>
      </c>
    </row>
    <row r="108" spans="1:5" ht="16.149999999999999" customHeight="1" thickBot="1" x14ac:dyDescent="0.3">
      <c r="A108" s="1482"/>
      <c r="B108" s="44" t="s">
        <v>10</v>
      </c>
      <c r="C108" s="44" t="s">
        <v>11</v>
      </c>
      <c r="D108" s="44" t="s">
        <v>11</v>
      </c>
      <c r="E108" s="44" t="s">
        <v>11</v>
      </c>
    </row>
    <row r="109" spans="1:5" ht="26.25" customHeight="1" thickBot="1" x14ac:dyDescent="0.3">
      <c r="A109" s="42" t="s">
        <v>16</v>
      </c>
      <c r="B109" s="1473" t="s">
        <v>446</v>
      </c>
      <c r="C109" s="1474"/>
      <c r="D109" s="1474"/>
      <c r="E109" s="2131"/>
    </row>
    <row r="110" spans="1:5" ht="31.15" customHeight="1" thickBot="1" x14ac:dyDescent="0.3">
      <c r="A110" s="220" t="s">
        <v>17</v>
      </c>
      <c r="B110" s="1413" t="s">
        <v>447</v>
      </c>
      <c r="C110" s="1414"/>
      <c r="D110" s="1414"/>
      <c r="E110" s="1415"/>
    </row>
    <row r="111" spans="1:5" ht="15.75" customHeight="1" thickBot="1" x14ac:dyDescent="0.3">
      <c r="A111" s="220" t="s">
        <v>18</v>
      </c>
      <c r="B111" s="1473" t="s">
        <v>448</v>
      </c>
      <c r="C111" s="1474"/>
      <c r="D111" s="1474"/>
      <c r="E111" s="2131"/>
    </row>
    <row r="112" spans="1:5" ht="12.75" customHeight="1" x14ac:dyDescent="0.25">
      <c r="A112" s="1481"/>
      <c r="B112" s="43">
        <v>2018</v>
      </c>
      <c r="C112" s="43">
        <v>2019</v>
      </c>
      <c r="D112" s="43">
        <v>2020</v>
      </c>
      <c r="E112" s="43">
        <v>2021</v>
      </c>
    </row>
    <row r="113" spans="1:5" ht="9" customHeight="1" thickBot="1" x14ac:dyDescent="0.3">
      <c r="A113" s="1482"/>
      <c r="B113" s="44" t="s">
        <v>10</v>
      </c>
      <c r="C113" s="44" t="s">
        <v>11</v>
      </c>
      <c r="D113" s="44" t="s">
        <v>11</v>
      </c>
      <c r="E113" s="44" t="s">
        <v>11</v>
      </c>
    </row>
    <row r="114" spans="1:5" ht="15.75" customHeight="1" thickBot="1" x14ac:dyDescent="0.3">
      <c r="A114" s="220" t="s">
        <v>19</v>
      </c>
      <c r="B114" s="47">
        <f>25</f>
        <v>25</v>
      </c>
      <c r="C114" s="47">
        <v>25</v>
      </c>
      <c r="D114" s="47">
        <v>26</v>
      </c>
      <c r="E114" s="47">
        <v>26</v>
      </c>
    </row>
    <row r="115" spans="1:5" ht="16.5" thickBot="1" x14ac:dyDescent="0.3">
      <c r="A115" s="220" t="s">
        <v>20</v>
      </c>
      <c r="B115" s="47">
        <v>17950</v>
      </c>
      <c r="C115" s="47">
        <f>72000*0.25</f>
        <v>18000</v>
      </c>
      <c r="D115" s="47">
        <f>72000*0.25</f>
        <v>18000</v>
      </c>
      <c r="E115" s="47">
        <f>72500*0.25-125</f>
        <v>18000</v>
      </c>
    </row>
    <row r="116" spans="1:5" ht="16.5" thickBot="1" x14ac:dyDescent="0.3">
      <c r="A116" s="220" t="s">
        <v>21</v>
      </c>
      <c r="B116" s="47">
        <f>B115/B114</f>
        <v>718</v>
      </c>
      <c r="C116" s="47">
        <f>C115/C114</f>
        <v>720</v>
      </c>
      <c r="D116" s="47">
        <f>D115/D114</f>
        <v>692.30769230769226</v>
      </c>
      <c r="E116" s="47">
        <f>E115/E114</f>
        <v>692.30769230769226</v>
      </c>
    </row>
    <row r="117" spans="1:5" ht="16.5" thickBot="1" x14ac:dyDescent="0.3">
      <c r="A117" s="220" t="s">
        <v>22</v>
      </c>
      <c r="B117" s="228"/>
      <c r="C117" s="48">
        <f t="shared" ref="C117:E119" si="3">C114/B114-1</f>
        <v>0</v>
      </c>
      <c r="D117" s="48">
        <f t="shared" si="3"/>
        <v>4.0000000000000036E-2</v>
      </c>
      <c r="E117" s="48">
        <f t="shared" si="3"/>
        <v>0</v>
      </c>
    </row>
    <row r="118" spans="1:5" ht="16.5" thickBot="1" x14ac:dyDescent="0.3">
      <c r="A118" s="220" t="s">
        <v>24</v>
      </c>
      <c r="B118" s="228"/>
      <c r="C118" s="48">
        <f t="shared" si="3"/>
        <v>2.7855153203342198E-3</v>
      </c>
      <c r="D118" s="48">
        <f t="shared" si="3"/>
        <v>0</v>
      </c>
      <c r="E118" s="48">
        <f t="shared" si="3"/>
        <v>0</v>
      </c>
    </row>
    <row r="119" spans="1:5" ht="16.5" thickBot="1" x14ac:dyDescent="0.3">
      <c r="A119" s="220" t="s">
        <v>25</v>
      </c>
      <c r="B119" s="228"/>
      <c r="C119" s="48">
        <f t="shared" si="3"/>
        <v>2.7855153203342198E-3</v>
      </c>
      <c r="D119" s="48">
        <f t="shared" si="3"/>
        <v>-3.8461538461538547E-2</v>
      </c>
      <c r="E119" s="48">
        <f t="shared" si="3"/>
        <v>0</v>
      </c>
    </row>
    <row r="120" spans="1:5" ht="12.75" customHeight="1" x14ac:dyDescent="0.25">
      <c r="A120" s="1481"/>
      <c r="B120" s="43">
        <v>2018</v>
      </c>
      <c r="C120" s="43">
        <v>2019</v>
      </c>
      <c r="D120" s="43">
        <v>2020</v>
      </c>
      <c r="E120" s="43">
        <v>2021</v>
      </c>
    </row>
    <row r="121" spans="1:5" ht="9" customHeight="1" thickBot="1" x14ac:dyDescent="0.3">
      <c r="A121" s="1482"/>
      <c r="B121" s="44" t="s">
        <v>10</v>
      </c>
      <c r="C121" s="44" t="s">
        <v>11</v>
      </c>
      <c r="D121" s="44" t="s">
        <v>11</v>
      </c>
      <c r="E121" s="44" t="s">
        <v>11</v>
      </c>
    </row>
    <row r="122" spans="1:5" ht="16.5" thickBot="1" x14ac:dyDescent="0.3">
      <c r="A122" s="1427" t="s">
        <v>449</v>
      </c>
      <c r="B122" s="1428"/>
      <c r="C122" s="1428"/>
      <c r="D122" s="1428"/>
      <c r="E122" s="1429"/>
    </row>
    <row r="123" spans="1:5" ht="12.75" customHeight="1" x14ac:dyDescent="0.25">
      <c r="A123" s="1481"/>
      <c r="B123" s="43">
        <v>2018</v>
      </c>
      <c r="C123" s="43">
        <v>2019</v>
      </c>
      <c r="D123" s="43">
        <v>2020</v>
      </c>
      <c r="E123" s="43">
        <v>2021</v>
      </c>
    </row>
    <row r="124" spans="1:5" ht="9" customHeight="1" thickBot="1" x14ac:dyDescent="0.3">
      <c r="A124" s="1482"/>
      <c r="B124" s="44" t="s">
        <v>10</v>
      </c>
      <c r="C124" s="44" t="s">
        <v>11</v>
      </c>
      <c r="D124" s="44" t="s">
        <v>11</v>
      </c>
      <c r="E124" s="44" t="s">
        <v>11</v>
      </c>
    </row>
    <row r="125" spans="1:5" ht="16.5" thickBot="1" x14ac:dyDescent="0.3">
      <c r="A125" s="49" t="s">
        <v>26</v>
      </c>
      <c r="B125" s="50">
        <v>13225</v>
      </c>
      <c r="C125" s="50">
        <f>C115*0.74</f>
        <v>13320</v>
      </c>
      <c r="D125" s="50">
        <f>D115*0.74</f>
        <v>13320</v>
      </c>
      <c r="E125" s="50">
        <f>E115*0.74</f>
        <v>13320</v>
      </c>
    </row>
    <row r="126" spans="1:5" ht="16.5" thickBot="1" x14ac:dyDescent="0.3">
      <c r="A126" s="49" t="s">
        <v>28</v>
      </c>
      <c r="B126" s="50">
        <v>2150</v>
      </c>
      <c r="C126" s="50">
        <f>C115*0.12</f>
        <v>2160</v>
      </c>
      <c r="D126" s="50">
        <f>D115*0.12</f>
        <v>2160</v>
      </c>
      <c r="E126" s="50">
        <f>E115*0.12</f>
        <v>2160</v>
      </c>
    </row>
    <row r="127" spans="1:5" ht="16.5" thickBot="1" x14ac:dyDescent="0.3">
      <c r="A127" s="49" t="s">
        <v>30</v>
      </c>
      <c r="B127" s="52">
        <v>2515</v>
      </c>
      <c r="C127" s="52">
        <f>C115*0.14-80</f>
        <v>2440.0000000000005</v>
      </c>
      <c r="D127" s="52">
        <f>D115*0.14-80</f>
        <v>2440.0000000000005</v>
      </c>
      <c r="E127" s="52">
        <f>E115*0.14-80</f>
        <v>2440.0000000000005</v>
      </c>
    </row>
    <row r="128" spans="1:5" ht="16.5" thickBot="1" x14ac:dyDescent="0.3">
      <c r="A128" s="49" t="s">
        <v>32</v>
      </c>
      <c r="B128" s="52"/>
      <c r="C128" s="52"/>
      <c r="D128" s="52"/>
      <c r="E128" s="52"/>
    </row>
    <row r="129" spans="1:5" ht="16.5" thickBot="1" x14ac:dyDescent="0.3">
      <c r="A129" s="49" t="s">
        <v>34</v>
      </c>
      <c r="B129" s="52"/>
      <c r="C129" s="52"/>
      <c r="D129" s="52"/>
      <c r="E129" s="52"/>
    </row>
    <row r="130" spans="1:5" ht="16.5" thickBot="1" x14ac:dyDescent="0.3">
      <c r="A130" s="49" t="s">
        <v>36</v>
      </c>
      <c r="B130" s="52"/>
      <c r="C130" s="52"/>
      <c r="D130" s="52"/>
      <c r="E130" s="52"/>
    </row>
    <row r="131" spans="1:5" ht="16.5" thickBot="1" x14ac:dyDescent="0.3">
      <c r="A131" s="49" t="s">
        <v>38</v>
      </c>
      <c r="B131" s="52">
        <v>60</v>
      </c>
      <c r="C131" s="52">
        <v>80</v>
      </c>
      <c r="D131" s="52">
        <v>80</v>
      </c>
      <c r="E131" s="52">
        <v>80</v>
      </c>
    </row>
    <row r="132" spans="1:5" ht="32.25" thickBot="1" x14ac:dyDescent="0.3">
      <c r="A132" s="112" t="s">
        <v>71</v>
      </c>
      <c r="B132" s="113">
        <f>B131+B130+B129+B128+B127+B126+B125</f>
        <v>17950</v>
      </c>
      <c r="C132" s="113">
        <f>C131+C130+C129+C128+C127+C126+C125</f>
        <v>18000</v>
      </c>
      <c r="D132" s="113">
        <f>D131+D130+D129+D128+D127+D126+D125</f>
        <v>18000</v>
      </c>
      <c r="E132" s="113">
        <f>E131+E130+E129+E128+E127+E126+E125</f>
        <v>18000</v>
      </c>
    </row>
    <row r="133" spans="1:5" ht="16.5" thickBot="1" x14ac:dyDescent="0.3">
      <c r="A133" s="45" t="s">
        <v>41</v>
      </c>
      <c r="B133" s="46">
        <f>IF(B132-B115=0,0,"Error")</f>
        <v>0</v>
      </c>
      <c r="C133" s="46">
        <f>IF(C132-C115=0,0,"Error")</f>
        <v>0</v>
      </c>
      <c r="D133" s="46">
        <f>IF(D132-D115=0,0,"Error")</f>
        <v>0</v>
      </c>
      <c r="E133" s="46">
        <f>IF(E132-E115=0,0,"Error")</f>
        <v>0</v>
      </c>
    </row>
    <row r="134" spans="1:5" ht="16.5" thickBot="1" x14ac:dyDescent="0.3">
      <c r="A134" s="1494" t="s">
        <v>63</v>
      </c>
      <c r="B134" s="1471"/>
      <c r="C134" s="1471"/>
      <c r="D134" s="1471"/>
      <c r="E134" s="2135"/>
    </row>
    <row r="135" spans="1:5" ht="16.5" thickBot="1" x14ac:dyDescent="0.3">
      <c r="A135" s="1494" t="s">
        <v>56</v>
      </c>
      <c r="B135" s="1471"/>
      <c r="C135" s="1471"/>
      <c r="D135" s="1471"/>
      <c r="E135" s="2135"/>
    </row>
    <row r="136" spans="1:5" ht="16.5" thickBot="1" x14ac:dyDescent="0.3">
      <c r="A136" s="110" t="s">
        <v>61</v>
      </c>
      <c r="B136" s="2132" t="s">
        <v>450</v>
      </c>
      <c r="C136" s="2133"/>
      <c r="D136" s="2133"/>
      <c r="E136" s="2134"/>
    </row>
    <row r="137" spans="1:5" ht="16.5" thickBot="1" x14ac:dyDescent="0.3">
      <c r="A137" s="42" t="s">
        <v>16</v>
      </c>
      <c r="B137" s="2132" t="s">
        <v>451</v>
      </c>
      <c r="C137" s="2133"/>
      <c r="D137" s="2133"/>
      <c r="E137" s="2134"/>
    </row>
    <row r="138" spans="1:5" ht="17.25" customHeight="1" thickBot="1" x14ac:dyDescent="0.3">
      <c r="A138" s="220" t="s">
        <v>17</v>
      </c>
      <c r="B138" s="2132" t="s">
        <v>452</v>
      </c>
      <c r="C138" s="2133"/>
      <c r="D138" s="2133"/>
      <c r="E138" s="2134"/>
    </row>
    <row r="139" spans="1:5" ht="16.5" thickBot="1" x14ac:dyDescent="0.3">
      <c r="A139" s="220" t="s">
        <v>18</v>
      </c>
      <c r="B139" s="2132" t="s">
        <v>144</v>
      </c>
      <c r="C139" s="2133"/>
      <c r="D139" s="2133"/>
      <c r="E139" s="2134"/>
    </row>
    <row r="140" spans="1:5" ht="12.75" customHeight="1" x14ac:dyDescent="0.25">
      <c r="A140" s="1481"/>
      <c r="B140" s="43">
        <v>2018</v>
      </c>
      <c r="C140" s="43">
        <v>2019</v>
      </c>
      <c r="D140" s="43">
        <v>2020</v>
      </c>
      <c r="E140" s="43">
        <v>2021</v>
      </c>
    </row>
    <row r="141" spans="1:5" ht="9" customHeight="1" thickBot="1" x14ac:dyDescent="0.3">
      <c r="A141" s="1482"/>
      <c r="B141" s="44" t="s">
        <v>10</v>
      </c>
      <c r="C141" s="44" t="s">
        <v>11</v>
      </c>
      <c r="D141" s="44" t="s">
        <v>11</v>
      </c>
      <c r="E141" s="44" t="s">
        <v>11</v>
      </c>
    </row>
    <row r="142" spans="1:5" ht="16.5" thickBot="1" x14ac:dyDescent="0.3">
      <c r="A142" s="220" t="s">
        <v>19</v>
      </c>
      <c r="B142" s="47">
        <v>10</v>
      </c>
      <c r="C142" s="47">
        <v>12</v>
      </c>
      <c r="D142" s="47">
        <v>15</v>
      </c>
      <c r="E142" s="47">
        <v>17</v>
      </c>
    </row>
    <row r="143" spans="1:5" ht="16.5" thickBot="1" x14ac:dyDescent="0.3">
      <c r="A143" s="220" t="s">
        <v>20</v>
      </c>
      <c r="B143" s="47">
        <v>600</v>
      </c>
      <c r="C143" s="47">
        <v>600</v>
      </c>
      <c r="D143" s="47">
        <v>600</v>
      </c>
      <c r="E143" s="47">
        <v>600</v>
      </c>
    </row>
    <row r="144" spans="1:5" ht="16.5" thickBot="1" x14ac:dyDescent="0.3">
      <c r="A144" s="220" t="s">
        <v>21</v>
      </c>
      <c r="B144" s="47">
        <f>B143/B142</f>
        <v>60</v>
      </c>
      <c r="C144" s="47">
        <f>C143/C142</f>
        <v>50</v>
      </c>
      <c r="D144" s="47">
        <f>D143/D142</f>
        <v>40</v>
      </c>
      <c r="E144" s="47">
        <f>E143/E142</f>
        <v>35.294117647058826</v>
      </c>
    </row>
    <row r="145" spans="1:9" ht="16.5" thickBot="1" x14ac:dyDescent="0.3">
      <c r="A145" s="220" t="s">
        <v>22</v>
      </c>
      <c r="B145" s="228" t="s">
        <v>23</v>
      </c>
      <c r="C145" s="48">
        <f t="shared" ref="C145:E147" si="4">C142/B142-1</f>
        <v>0.19999999999999996</v>
      </c>
      <c r="D145" s="48">
        <f t="shared" si="4"/>
        <v>0.25</v>
      </c>
      <c r="E145" s="48">
        <f t="shared" si="4"/>
        <v>0.1333333333333333</v>
      </c>
      <c r="F145" s="109"/>
      <c r="G145" s="109"/>
      <c r="H145" s="109"/>
      <c r="I145" s="109"/>
    </row>
    <row r="146" spans="1:9" ht="16.5" thickBot="1" x14ac:dyDescent="0.3">
      <c r="A146" s="220" t="s">
        <v>24</v>
      </c>
      <c r="B146" s="228" t="s">
        <v>23</v>
      </c>
      <c r="C146" s="48">
        <f t="shared" si="4"/>
        <v>0</v>
      </c>
      <c r="D146" s="48">
        <f t="shared" si="4"/>
        <v>0</v>
      </c>
      <c r="E146" s="48">
        <f t="shared" si="4"/>
        <v>0</v>
      </c>
    </row>
    <row r="147" spans="1:9" ht="16.5" thickBot="1" x14ac:dyDescent="0.3">
      <c r="A147" s="220" t="s">
        <v>25</v>
      </c>
      <c r="B147" s="228" t="s">
        <v>23</v>
      </c>
      <c r="C147" s="48">
        <f t="shared" si="4"/>
        <v>-0.16666666666666663</v>
      </c>
      <c r="D147" s="48">
        <f t="shared" si="4"/>
        <v>-0.19999999999999996</v>
      </c>
      <c r="E147" s="48">
        <f t="shared" si="4"/>
        <v>-0.11764705882352933</v>
      </c>
    </row>
    <row r="148" spans="1:9" ht="16.5" thickBot="1" x14ac:dyDescent="0.3">
      <c r="A148" s="1427" t="s">
        <v>436</v>
      </c>
      <c r="B148" s="1428"/>
      <c r="C148" s="1428"/>
      <c r="D148" s="1428"/>
      <c r="E148" s="1429"/>
    </row>
    <row r="149" spans="1:9" ht="12.75" customHeight="1" x14ac:dyDescent="0.25">
      <c r="A149" s="1481"/>
      <c r="B149" s="43">
        <v>2018</v>
      </c>
      <c r="C149" s="43">
        <v>2019</v>
      </c>
      <c r="D149" s="43">
        <v>2020</v>
      </c>
      <c r="E149" s="43">
        <v>2021</v>
      </c>
    </row>
    <row r="150" spans="1:9" ht="9" customHeight="1" thickBot="1" x14ac:dyDescent="0.3">
      <c r="A150" s="1482"/>
      <c r="B150" s="44" t="s">
        <v>10</v>
      </c>
      <c r="C150" s="44" t="s">
        <v>11</v>
      </c>
      <c r="D150" s="44" t="s">
        <v>11</v>
      </c>
      <c r="E150" s="44" t="s">
        <v>11</v>
      </c>
    </row>
    <row r="151" spans="1:9" ht="16.5" thickBot="1" x14ac:dyDescent="0.3">
      <c r="A151" s="49" t="s">
        <v>58</v>
      </c>
      <c r="B151" s="50"/>
      <c r="C151" s="50"/>
      <c r="D151" s="50"/>
      <c r="E151" s="50"/>
    </row>
    <row r="152" spans="1:9" ht="16.5" thickBot="1" x14ac:dyDescent="0.3">
      <c r="A152" s="49" t="s">
        <v>59</v>
      </c>
      <c r="B152" s="52">
        <f>B143</f>
        <v>600</v>
      </c>
      <c r="C152" s="52">
        <f>C143</f>
        <v>600</v>
      </c>
      <c r="D152" s="52">
        <f>D143</f>
        <v>600</v>
      </c>
      <c r="E152" s="52">
        <f>E143</f>
        <v>600</v>
      </c>
    </row>
    <row r="153" spans="1:9" ht="36.6" customHeight="1" thickBot="1" x14ac:dyDescent="0.3">
      <c r="A153" s="51" t="s">
        <v>40</v>
      </c>
      <c r="B153" s="52">
        <f>B152+B151</f>
        <v>600</v>
      </c>
      <c r="C153" s="52">
        <f>C152+C151</f>
        <v>600</v>
      </c>
      <c r="D153" s="52">
        <f>D152+D151</f>
        <v>600</v>
      </c>
      <c r="E153" s="52">
        <f>E152+E151</f>
        <v>600</v>
      </c>
    </row>
    <row r="154" spans="1:9" ht="16.5" thickBot="1" x14ac:dyDescent="0.3">
      <c r="A154" s="1494" t="s">
        <v>63</v>
      </c>
      <c r="B154" s="1471"/>
      <c r="C154" s="1471"/>
      <c r="D154" s="1471"/>
      <c r="E154" s="2135"/>
    </row>
    <row r="155" spans="1:9" ht="16.5" thickBot="1" x14ac:dyDescent="0.3">
      <c r="A155" s="1494" t="s">
        <v>64</v>
      </c>
      <c r="B155" s="1471"/>
      <c r="C155" s="1471"/>
      <c r="D155" s="1471"/>
      <c r="E155" s="2135"/>
    </row>
    <row r="156" spans="1:9" ht="16.5" thickBot="1" x14ac:dyDescent="0.3">
      <c r="A156" s="110" t="s">
        <v>61</v>
      </c>
      <c r="B156" s="2132" t="str">
        <f>B82</f>
        <v>M770032</v>
      </c>
      <c r="C156" s="2133"/>
      <c r="D156" s="2133"/>
      <c r="E156" s="2134"/>
    </row>
    <row r="157" spans="1:9" ht="16.5" thickBot="1" x14ac:dyDescent="0.3">
      <c r="A157" s="42" t="s">
        <v>16</v>
      </c>
      <c r="B157" s="2132" t="str">
        <f>B83</f>
        <v>Punime te brendshme rifinitura</v>
      </c>
      <c r="C157" s="2133"/>
      <c r="D157" s="2133"/>
      <c r="E157" s="2134"/>
    </row>
    <row r="158" spans="1:9" ht="17.25" customHeight="1" thickBot="1" x14ac:dyDescent="0.3">
      <c r="A158" s="220" t="s">
        <v>17</v>
      </c>
      <c r="B158" s="2132" t="str">
        <f>B84</f>
        <v>Riparime të pjesshme dhe punime të brendshme të zyrave të godinës</v>
      </c>
      <c r="C158" s="2133"/>
      <c r="D158" s="2133"/>
      <c r="E158" s="2134"/>
    </row>
    <row r="159" spans="1:9" ht="16.5" thickBot="1" x14ac:dyDescent="0.3">
      <c r="A159" s="220" t="s">
        <v>18</v>
      </c>
      <c r="B159" s="2132" t="str">
        <f>B85</f>
        <v>cope</v>
      </c>
      <c r="C159" s="2133"/>
      <c r="D159" s="2133"/>
      <c r="E159" s="2134"/>
    </row>
    <row r="160" spans="1:9" ht="12.75" customHeight="1" x14ac:dyDescent="0.25">
      <c r="A160" s="1481"/>
      <c r="B160" s="43">
        <v>2018</v>
      </c>
      <c r="C160" s="43">
        <v>2019</v>
      </c>
      <c r="D160" s="43">
        <v>2020</v>
      </c>
      <c r="E160" s="43">
        <v>2021</v>
      </c>
    </row>
    <row r="161" spans="1:9" ht="26.45" customHeight="1" thickBot="1" x14ac:dyDescent="0.3">
      <c r="A161" s="1482"/>
      <c r="B161" s="44" t="s">
        <v>10</v>
      </c>
      <c r="C161" s="44" t="s">
        <v>11</v>
      </c>
      <c r="D161" s="44" t="s">
        <v>11</v>
      </c>
      <c r="E161" s="44" t="s">
        <v>11</v>
      </c>
    </row>
    <row r="162" spans="1:9" ht="16.5" thickBot="1" x14ac:dyDescent="0.3">
      <c r="A162" s="220" t="s">
        <v>19</v>
      </c>
      <c r="B162" s="47">
        <v>100</v>
      </c>
      <c r="C162" s="47">
        <v>0</v>
      </c>
      <c r="D162" s="47">
        <v>0</v>
      </c>
      <c r="E162" s="47">
        <v>0</v>
      </c>
    </row>
    <row r="163" spans="1:9" ht="16.5" thickBot="1" x14ac:dyDescent="0.3">
      <c r="A163" s="220" t="s">
        <v>20</v>
      </c>
      <c r="B163" s="47">
        <v>2334</v>
      </c>
      <c r="C163" s="47">
        <v>0</v>
      </c>
      <c r="D163" s="47">
        <v>0</v>
      </c>
      <c r="E163" s="47">
        <v>0</v>
      </c>
    </row>
    <row r="164" spans="1:9" ht="16.5" thickBot="1" x14ac:dyDescent="0.3">
      <c r="A164" s="220" t="s">
        <v>21</v>
      </c>
      <c r="B164" s="47">
        <f>B163/B162</f>
        <v>23.34</v>
      </c>
      <c r="C164" s="47" t="e">
        <f>C163/C162</f>
        <v>#DIV/0!</v>
      </c>
      <c r="D164" s="47" t="e">
        <f>D163/D162</f>
        <v>#DIV/0!</v>
      </c>
      <c r="E164" s="47" t="e">
        <f>E163/E162</f>
        <v>#DIV/0!</v>
      </c>
    </row>
    <row r="165" spans="1:9" ht="16.5" thickBot="1" x14ac:dyDescent="0.3">
      <c r="A165" s="220" t="s">
        <v>22</v>
      </c>
      <c r="B165" s="228" t="s">
        <v>23</v>
      </c>
      <c r="C165" s="48">
        <f t="shared" ref="C165:E167" si="5">C162/B162-1</f>
        <v>-1</v>
      </c>
      <c r="D165" s="48" t="e">
        <f t="shared" si="5"/>
        <v>#DIV/0!</v>
      </c>
      <c r="E165" s="48" t="e">
        <f t="shared" si="5"/>
        <v>#DIV/0!</v>
      </c>
      <c r="F165" s="109"/>
      <c r="G165" s="109"/>
      <c r="H165" s="109"/>
      <c r="I165" s="109"/>
    </row>
    <row r="166" spans="1:9" ht="16.5" thickBot="1" x14ac:dyDescent="0.3">
      <c r="A166" s="220" t="s">
        <v>24</v>
      </c>
      <c r="B166" s="228" t="s">
        <v>23</v>
      </c>
      <c r="C166" s="48">
        <f t="shared" si="5"/>
        <v>-1</v>
      </c>
      <c r="D166" s="48" t="e">
        <f t="shared" si="5"/>
        <v>#DIV/0!</v>
      </c>
      <c r="E166" s="48" t="e">
        <f t="shared" si="5"/>
        <v>#DIV/0!</v>
      </c>
    </row>
    <row r="167" spans="1:9" ht="16.5" thickBot="1" x14ac:dyDescent="0.3">
      <c r="A167" s="220" t="s">
        <v>25</v>
      </c>
      <c r="B167" s="228" t="s">
        <v>23</v>
      </c>
      <c r="C167" s="48" t="e">
        <f t="shared" si="5"/>
        <v>#DIV/0!</v>
      </c>
      <c r="D167" s="48" t="e">
        <f t="shared" si="5"/>
        <v>#DIV/0!</v>
      </c>
      <c r="E167" s="48" t="e">
        <f t="shared" si="5"/>
        <v>#DIV/0!</v>
      </c>
    </row>
    <row r="168" spans="1:9" ht="16.5" thickBot="1" x14ac:dyDescent="0.3">
      <c r="A168" s="1427" t="s">
        <v>436</v>
      </c>
      <c r="B168" s="1428"/>
      <c r="C168" s="1428"/>
      <c r="D168" s="1428"/>
      <c r="E168" s="1429"/>
    </row>
    <row r="169" spans="1:9" ht="15.6" customHeight="1" x14ac:dyDescent="0.25">
      <c r="A169" s="1481"/>
      <c r="B169" s="43">
        <v>2018</v>
      </c>
      <c r="C169" s="43">
        <v>2019</v>
      </c>
      <c r="D169" s="43">
        <v>2020</v>
      </c>
      <c r="E169" s="43">
        <v>2021</v>
      </c>
    </row>
    <row r="170" spans="1:9" ht="16.149999999999999" customHeight="1" thickBot="1" x14ac:dyDescent="0.3">
      <c r="A170" s="1482"/>
      <c r="B170" s="44" t="s">
        <v>10</v>
      </c>
      <c r="C170" s="44" t="s">
        <v>11</v>
      </c>
      <c r="D170" s="44" t="s">
        <v>11</v>
      </c>
      <c r="E170" s="44" t="s">
        <v>11</v>
      </c>
    </row>
    <row r="171" spans="1:9" ht="16.5" thickBot="1" x14ac:dyDescent="0.3">
      <c r="A171" s="49" t="s">
        <v>58</v>
      </c>
      <c r="B171" s="50"/>
      <c r="C171" s="50"/>
      <c r="D171" s="50"/>
      <c r="E171" s="50"/>
    </row>
    <row r="172" spans="1:9" ht="16.5" thickBot="1" x14ac:dyDescent="0.3">
      <c r="A172" s="49" t="s">
        <v>59</v>
      </c>
      <c r="B172" s="52">
        <f>B163</f>
        <v>2334</v>
      </c>
      <c r="C172" s="52">
        <f>C163</f>
        <v>0</v>
      </c>
      <c r="D172" s="52">
        <f>D163</f>
        <v>0</v>
      </c>
      <c r="E172" s="52">
        <f>E163</f>
        <v>0</v>
      </c>
    </row>
    <row r="173" spans="1:9" ht="23.45" customHeight="1" thickBot="1" x14ac:dyDescent="0.3">
      <c r="A173" s="114" t="s">
        <v>40</v>
      </c>
      <c r="B173" s="52">
        <f>B172+B171</f>
        <v>2334</v>
      </c>
      <c r="C173" s="52">
        <f>C172+C171</f>
        <v>0</v>
      </c>
      <c r="D173" s="52">
        <f>D172+D171</f>
        <v>0</v>
      </c>
      <c r="E173" s="52">
        <f>E172+E171</f>
        <v>0</v>
      </c>
    </row>
    <row r="174" spans="1:9" ht="16.5" thickBot="1" x14ac:dyDescent="0.3">
      <c r="A174" s="51"/>
      <c r="B174" s="52"/>
      <c r="C174" s="52"/>
      <c r="D174" s="52"/>
      <c r="E174" s="52"/>
    </row>
    <row r="175" spans="1:9" ht="16.5" thickBot="1" x14ac:dyDescent="0.3">
      <c r="A175" s="51"/>
      <c r="B175" s="52"/>
      <c r="C175" s="52"/>
      <c r="D175" s="52"/>
      <c r="E175" s="52"/>
    </row>
    <row r="176" spans="1:9" ht="31.15" customHeight="1" thickBot="1" x14ac:dyDescent="0.3">
      <c r="A176" s="37" t="s">
        <v>75</v>
      </c>
      <c r="B176" s="1413" t="s">
        <v>453</v>
      </c>
      <c r="C176" s="1414"/>
      <c r="D176" s="1414"/>
      <c r="E176" s="1415"/>
    </row>
    <row r="177" spans="1:5" ht="16.5" thickBot="1" x14ac:dyDescent="0.3">
      <c r="A177" s="1419" t="s">
        <v>76</v>
      </c>
      <c r="B177" s="1420"/>
      <c r="C177" s="1420"/>
      <c r="D177" s="1420"/>
      <c r="E177" s="1421"/>
    </row>
    <row r="178" spans="1:5" ht="16.5" thickBot="1" x14ac:dyDescent="0.3">
      <c r="A178" s="232" t="s">
        <v>454</v>
      </c>
      <c r="B178" s="111">
        <v>37</v>
      </c>
      <c r="C178" s="40" t="s">
        <v>110</v>
      </c>
      <c r="D178" s="40" t="s">
        <v>110</v>
      </c>
      <c r="E178" s="40" t="s">
        <v>110</v>
      </c>
    </row>
    <row r="179" spans="1:5" ht="32.25" thickBot="1" x14ac:dyDescent="0.3">
      <c r="A179" s="220" t="s">
        <v>455</v>
      </c>
      <c r="B179" s="111">
        <v>60</v>
      </c>
      <c r="C179" s="40" t="s">
        <v>110</v>
      </c>
      <c r="D179" s="40" t="s">
        <v>110</v>
      </c>
      <c r="E179" s="40" t="s">
        <v>110</v>
      </c>
    </row>
    <row r="180" spans="1:5" ht="16.5" thickBot="1" x14ac:dyDescent="0.3">
      <c r="A180" s="220"/>
      <c r="B180" s="40"/>
      <c r="C180" s="40"/>
      <c r="D180" s="40"/>
      <c r="E180" s="40"/>
    </row>
    <row r="181" spans="1:5" ht="16.5" thickBot="1" x14ac:dyDescent="0.3">
      <c r="A181" s="2136" t="s">
        <v>77</v>
      </c>
      <c r="B181" s="2137"/>
      <c r="C181" s="2137"/>
      <c r="D181" s="2137"/>
      <c r="E181" s="2138"/>
    </row>
    <row r="182" spans="1:5" ht="16.5" thickBot="1" x14ac:dyDescent="0.3">
      <c r="A182" s="2139" t="s">
        <v>70</v>
      </c>
      <c r="B182" s="2140"/>
      <c r="C182" s="2140"/>
      <c r="D182" s="2140"/>
      <c r="E182" s="2141"/>
    </row>
    <row r="183" spans="1:5" x14ac:dyDescent="0.25">
      <c r="A183" s="1481"/>
      <c r="B183" s="43">
        <v>2018</v>
      </c>
      <c r="C183" s="43">
        <v>2019</v>
      </c>
      <c r="D183" s="43">
        <v>2020</v>
      </c>
      <c r="E183" s="43">
        <v>2021</v>
      </c>
    </row>
    <row r="184" spans="1:5" ht="16.5" thickBot="1" x14ac:dyDescent="0.3">
      <c r="A184" s="1482"/>
      <c r="B184" s="44" t="s">
        <v>10</v>
      </c>
      <c r="C184" s="44" t="s">
        <v>11</v>
      </c>
      <c r="D184" s="44" t="s">
        <v>11</v>
      </c>
      <c r="E184" s="44" t="s">
        <v>11</v>
      </c>
    </row>
    <row r="185" spans="1:5" ht="16.5" thickBot="1" x14ac:dyDescent="0.3">
      <c r="A185" s="42" t="s">
        <v>16</v>
      </c>
      <c r="B185" s="1473" t="s">
        <v>456</v>
      </c>
      <c r="C185" s="1474"/>
      <c r="D185" s="1474"/>
      <c r="E185" s="2131"/>
    </row>
    <row r="186" spans="1:5" ht="36" customHeight="1" thickBot="1" x14ac:dyDescent="0.3">
      <c r="A186" s="220" t="s">
        <v>17</v>
      </c>
      <c r="B186" s="1413" t="s">
        <v>457</v>
      </c>
      <c r="C186" s="1414"/>
      <c r="D186" s="1414"/>
      <c r="E186" s="1415"/>
    </row>
    <row r="187" spans="1:5" ht="16.5" thickBot="1" x14ac:dyDescent="0.3">
      <c r="A187" s="220" t="s">
        <v>18</v>
      </c>
      <c r="B187" s="1473" t="s">
        <v>413</v>
      </c>
      <c r="C187" s="1474"/>
      <c r="D187" s="1474"/>
      <c r="E187" s="2131"/>
    </row>
    <row r="188" spans="1:5" x14ac:dyDescent="0.25">
      <c r="A188" s="1481"/>
      <c r="B188" s="43">
        <v>2018</v>
      </c>
      <c r="C188" s="43">
        <v>2019</v>
      </c>
      <c r="D188" s="43">
        <v>2020</v>
      </c>
      <c r="E188" s="43">
        <v>2021</v>
      </c>
    </row>
    <row r="189" spans="1:5" ht="16.5" thickBot="1" x14ac:dyDescent="0.3">
      <c r="A189" s="1482"/>
      <c r="B189" s="44" t="s">
        <v>10</v>
      </c>
      <c r="C189" s="44" t="s">
        <v>11</v>
      </c>
      <c r="D189" s="44" t="s">
        <v>11</v>
      </c>
      <c r="E189" s="44" t="s">
        <v>11</v>
      </c>
    </row>
    <row r="190" spans="1:5" ht="16.5" thickBot="1" x14ac:dyDescent="0.3">
      <c r="A190" s="220" t="s">
        <v>19</v>
      </c>
      <c r="B190" s="47">
        <f>32+5</f>
        <v>37</v>
      </c>
      <c r="C190" s="47">
        <f>31+5</f>
        <v>36</v>
      </c>
      <c r="D190" s="47">
        <f>30+5</f>
        <v>35</v>
      </c>
      <c r="E190" s="47">
        <f>30+5</f>
        <v>35</v>
      </c>
    </row>
    <row r="191" spans="1:5" ht="16.5" thickBot="1" x14ac:dyDescent="0.3">
      <c r="A191" s="220" t="s">
        <v>20</v>
      </c>
      <c r="B191" s="47">
        <v>17950</v>
      </c>
      <c r="C191" s="47">
        <f>72000*0.25</f>
        <v>18000</v>
      </c>
      <c r="D191" s="47">
        <f>72000*0.25</f>
        <v>18000</v>
      </c>
      <c r="E191" s="47">
        <f>72500*0.25-125</f>
        <v>18000</v>
      </c>
    </row>
    <row r="192" spans="1:5" ht="16.5" thickBot="1" x14ac:dyDescent="0.3">
      <c r="A192" s="220" t="s">
        <v>21</v>
      </c>
      <c r="B192" s="47">
        <f>B191/B190</f>
        <v>485.13513513513516</v>
      </c>
      <c r="C192" s="47">
        <f>C191/C190</f>
        <v>500</v>
      </c>
      <c r="D192" s="47">
        <f>D191/D190</f>
        <v>514.28571428571433</v>
      </c>
      <c r="E192" s="47">
        <f>E191/E190</f>
        <v>514.28571428571433</v>
      </c>
    </row>
    <row r="193" spans="1:5" ht="16.5" thickBot="1" x14ac:dyDescent="0.3">
      <c r="A193" s="220" t="s">
        <v>22</v>
      </c>
      <c r="B193" s="228"/>
      <c r="C193" s="48">
        <f t="shared" ref="C193:E195" si="6">C190/B190-1</f>
        <v>-2.7027027027026973E-2</v>
      </c>
      <c r="D193" s="48">
        <f t="shared" si="6"/>
        <v>-2.777777777777779E-2</v>
      </c>
      <c r="E193" s="48">
        <f t="shared" si="6"/>
        <v>0</v>
      </c>
    </row>
    <row r="194" spans="1:5" ht="16.5" thickBot="1" x14ac:dyDescent="0.3">
      <c r="A194" s="220" t="s">
        <v>24</v>
      </c>
      <c r="B194" s="228"/>
      <c r="C194" s="48">
        <f t="shared" si="6"/>
        <v>2.7855153203342198E-3</v>
      </c>
      <c r="D194" s="48">
        <f t="shared" si="6"/>
        <v>0</v>
      </c>
      <c r="E194" s="48">
        <f t="shared" si="6"/>
        <v>0</v>
      </c>
    </row>
    <row r="195" spans="1:5" ht="16.5" thickBot="1" x14ac:dyDescent="0.3">
      <c r="A195" s="220" t="s">
        <v>25</v>
      </c>
      <c r="B195" s="228"/>
      <c r="C195" s="48">
        <f t="shared" si="6"/>
        <v>3.0640668523676862E-2</v>
      </c>
      <c r="D195" s="48">
        <f t="shared" si="6"/>
        <v>2.8571428571428692E-2</v>
      </c>
      <c r="E195" s="48">
        <f t="shared" si="6"/>
        <v>0</v>
      </c>
    </row>
    <row r="196" spans="1:5" x14ac:dyDescent="0.25">
      <c r="A196" s="1481"/>
      <c r="B196" s="43">
        <v>2018</v>
      </c>
      <c r="C196" s="43">
        <v>2019</v>
      </c>
      <c r="D196" s="43">
        <v>2020</v>
      </c>
      <c r="E196" s="43">
        <v>2021</v>
      </c>
    </row>
    <row r="197" spans="1:5" ht="16.5" thickBot="1" x14ac:dyDescent="0.3">
      <c r="A197" s="1482"/>
      <c r="B197" s="44" t="s">
        <v>10</v>
      </c>
      <c r="C197" s="44" t="s">
        <v>11</v>
      </c>
      <c r="D197" s="44" t="s">
        <v>11</v>
      </c>
      <c r="E197" s="44" t="s">
        <v>11</v>
      </c>
    </row>
    <row r="198" spans="1:5" ht="16.5" thickBot="1" x14ac:dyDescent="0.3">
      <c r="A198" s="1427" t="s">
        <v>449</v>
      </c>
      <c r="B198" s="1428"/>
      <c r="C198" s="1428"/>
      <c r="D198" s="1428"/>
      <c r="E198" s="1429"/>
    </row>
    <row r="199" spans="1:5" x14ac:dyDescent="0.25">
      <c r="A199" s="1481"/>
      <c r="B199" s="43">
        <v>2018</v>
      </c>
      <c r="C199" s="43">
        <v>2019</v>
      </c>
      <c r="D199" s="43">
        <v>2020</v>
      </c>
      <c r="E199" s="43">
        <v>2021</v>
      </c>
    </row>
    <row r="200" spans="1:5" ht="16.5" thickBot="1" x14ac:dyDescent="0.3">
      <c r="A200" s="1482"/>
      <c r="B200" s="44" t="s">
        <v>10</v>
      </c>
      <c r="C200" s="44" t="s">
        <v>11</v>
      </c>
      <c r="D200" s="44" t="s">
        <v>11</v>
      </c>
      <c r="E200" s="44" t="s">
        <v>11</v>
      </c>
    </row>
    <row r="201" spans="1:5" ht="16.5" thickBot="1" x14ac:dyDescent="0.3">
      <c r="A201" s="49" t="s">
        <v>26</v>
      </c>
      <c r="B201" s="50">
        <v>13225</v>
      </c>
      <c r="C201" s="50">
        <f>C191*0.74</f>
        <v>13320</v>
      </c>
      <c r="D201" s="50">
        <f>D191*0.74</f>
        <v>13320</v>
      </c>
      <c r="E201" s="50">
        <f>E191*0.74</f>
        <v>13320</v>
      </c>
    </row>
    <row r="202" spans="1:5" ht="16.5" thickBot="1" x14ac:dyDescent="0.3">
      <c r="A202" s="49" t="s">
        <v>28</v>
      </c>
      <c r="B202" s="50">
        <v>2150</v>
      </c>
      <c r="C202" s="50">
        <f>C191*0.12</f>
        <v>2160</v>
      </c>
      <c r="D202" s="50">
        <f>D191*0.12</f>
        <v>2160</v>
      </c>
      <c r="E202" s="50">
        <f>E191*0.12</f>
        <v>2160</v>
      </c>
    </row>
    <row r="203" spans="1:5" ht="16.5" thickBot="1" x14ac:dyDescent="0.3">
      <c r="A203" s="49" t="s">
        <v>30</v>
      </c>
      <c r="B203" s="52">
        <v>2515</v>
      </c>
      <c r="C203" s="52">
        <f>C191*0.14-80</f>
        <v>2440.0000000000005</v>
      </c>
      <c r="D203" s="52">
        <f>D191*0.14-80</f>
        <v>2440.0000000000005</v>
      </c>
      <c r="E203" s="52">
        <f>E191*0.14-80</f>
        <v>2440.0000000000005</v>
      </c>
    </row>
    <row r="204" spans="1:5" ht="16.5" thickBot="1" x14ac:dyDescent="0.3">
      <c r="A204" s="49" t="s">
        <v>32</v>
      </c>
      <c r="B204" s="52"/>
      <c r="C204" s="52"/>
      <c r="D204" s="52"/>
      <c r="E204" s="52"/>
    </row>
    <row r="205" spans="1:5" ht="16.5" thickBot="1" x14ac:dyDescent="0.3">
      <c r="A205" s="49" t="s">
        <v>34</v>
      </c>
      <c r="B205" s="52"/>
      <c r="C205" s="52"/>
      <c r="D205" s="52"/>
      <c r="E205" s="52"/>
    </row>
    <row r="206" spans="1:5" ht="16.5" thickBot="1" x14ac:dyDescent="0.3">
      <c r="A206" s="49" t="s">
        <v>36</v>
      </c>
      <c r="B206" s="52"/>
      <c r="C206" s="52"/>
      <c r="D206" s="52"/>
      <c r="E206" s="52"/>
    </row>
    <row r="207" spans="1:5" ht="16.5" thickBot="1" x14ac:dyDescent="0.3">
      <c r="A207" s="49" t="s">
        <v>38</v>
      </c>
      <c r="B207" s="52">
        <v>60</v>
      </c>
      <c r="C207" s="52">
        <v>80</v>
      </c>
      <c r="D207" s="52">
        <v>80</v>
      </c>
      <c r="E207" s="52">
        <v>80</v>
      </c>
    </row>
    <row r="208" spans="1:5" ht="32.25" thickBot="1" x14ac:dyDescent="0.3">
      <c r="A208" s="112" t="s">
        <v>71</v>
      </c>
      <c r="B208" s="113">
        <f>B207+B206+B205+B204+B203+B202+B201</f>
        <v>17950</v>
      </c>
      <c r="C208" s="113">
        <f>C207+C206+C205+C204+C203+C202+C201</f>
        <v>18000</v>
      </c>
      <c r="D208" s="113">
        <f>D207+D206+D205+D204+D203+D202+D201</f>
        <v>18000</v>
      </c>
      <c r="E208" s="113">
        <f>E207+E206+E205+E204+E203+E202+E201</f>
        <v>18000</v>
      </c>
    </row>
    <row r="209" spans="1:5" ht="16.5" thickBot="1" x14ac:dyDescent="0.3">
      <c r="A209" s="45" t="s">
        <v>41</v>
      </c>
      <c r="B209" s="46">
        <f>IF(B208-B191=0,0,"Error")</f>
        <v>0</v>
      </c>
      <c r="C209" s="46">
        <f>IF(C208-C191=0,0,"Error")</f>
        <v>0</v>
      </c>
      <c r="D209" s="46">
        <f>IF(D208-D191=0,0,"Error")</f>
        <v>0</v>
      </c>
      <c r="E209" s="46">
        <f>IF(E208-E191=0,0,"Error")</f>
        <v>0</v>
      </c>
    </row>
    <row r="210" spans="1:5" ht="16.5" thickBot="1" x14ac:dyDescent="0.3">
      <c r="A210" s="115"/>
      <c r="B210" s="116"/>
      <c r="C210" s="116"/>
      <c r="D210" s="116"/>
      <c r="E210" s="46"/>
    </row>
    <row r="211" spans="1:5" ht="31.15" customHeight="1" thickBot="1" x14ac:dyDescent="0.3">
      <c r="A211" s="42" t="s">
        <v>42</v>
      </c>
      <c r="B211" s="1413" t="s">
        <v>458</v>
      </c>
      <c r="C211" s="1414"/>
      <c r="D211" s="1414"/>
      <c r="E211" s="1415"/>
    </row>
    <row r="212" spans="1:5" ht="31.9" customHeight="1" thickBot="1" x14ac:dyDescent="0.3">
      <c r="A212" s="220" t="s">
        <v>17</v>
      </c>
      <c r="B212" s="1413" t="s">
        <v>459</v>
      </c>
      <c r="C212" s="1414"/>
      <c r="D212" s="1414"/>
      <c r="E212" s="1415"/>
    </row>
    <row r="213" spans="1:5" ht="16.5" thickBot="1" x14ac:dyDescent="0.3">
      <c r="A213" s="220" t="s">
        <v>18</v>
      </c>
      <c r="B213" s="1473">
        <v>0</v>
      </c>
      <c r="C213" s="1474"/>
      <c r="D213" s="1474"/>
      <c r="E213" s="2131"/>
    </row>
    <row r="214" spans="1:5" x14ac:dyDescent="0.25">
      <c r="A214" s="1481"/>
      <c r="B214" s="43">
        <v>2018</v>
      </c>
      <c r="C214" s="43">
        <v>2019</v>
      </c>
      <c r="D214" s="43">
        <v>2020</v>
      </c>
      <c r="E214" s="43">
        <v>2021</v>
      </c>
    </row>
    <row r="215" spans="1:5" ht="16.5" thickBot="1" x14ac:dyDescent="0.3">
      <c r="A215" s="1482"/>
      <c r="B215" s="44" t="s">
        <v>10</v>
      </c>
      <c r="C215" s="44" t="s">
        <v>11</v>
      </c>
      <c r="D215" s="44" t="s">
        <v>11</v>
      </c>
      <c r="E215" s="44" t="s">
        <v>11</v>
      </c>
    </row>
    <row r="216" spans="1:5" ht="16.5" thickBot="1" x14ac:dyDescent="0.3">
      <c r="A216" s="220" t="s">
        <v>19</v>
      </c>
      <c r="B216" s="47">
        <v>60</v>
      </c>
      <c r="C216" s="47">
        <v>64</v>
      </c>
      <c r="D216" s="47">
        <v>66</v>
      </c>
      <c r="E216" s="47">
        <v>68</v>
      </c>
    </row>
    <row r="217" spans="1:5" ht="16.5" thickBot="1" x14ac:dyDescent="0.3">
      <c r="A217" s="220" t="s">
        <v>20</v>
      </c>
      <c r="B217" s="47">
        <f>17950</f>
        <v>17950</v>
      </c>
      <c r="C217" s="47">
        <v>18000</v>
      </c>
      <c r="D217" s="47">
        <v>18000</v>
      </c>
      <c r="E217" s="47">
        <f>18125-125</f>
        <v>18000</v>
      </c>
    </row>
    <row r="218" spans="1:5" ht="16.5" thickBot="1" x14ac:dyDescent="0.3">
      <c r="A218" s="220" t="s">
        <v>21</v>
      </c>
      <c r="B218" s="47">
        <f>B217/B216</f>
        <v>299.16666666666669</v>
      </c>
      <c r="C218" s="47">
        <f>C217/C216</f>
        <v>281.25</v>
      </c>
      <c r="D218" s="47">
        <f>D217/D216</f>
        <v>272.72727272727275</v>
      </c>
      <c r="E218" s="47">
        <f>E217/E216</f>
        <v>264.70588235294116</v>
      </c>
    </row>
    <row r="219" spans="1:5" ht="16.5" thickBot="1" x14ac:dyDescent="0.3">
      <c r="A219" s="220" t="s">
        <v>22</v>
      </c>
      <c r="B219" s="228"/>
      <c r="C219" s="48">
        <f t="shared" ref="C219:E221" si="7">C216/B216-1</f>
        <v>6.6666666666666652E-2</v>
      </c>
      <c r="D219" s="48">
        <f t="shared" si="7"/>
        <v>3.125E-2</v>
      </c>
      <c r="E219" s="48">
        <f t="shared" si="7"/>
        <v>3.0303030303030276E-2</v>
      </c>
    </row>
    <row r="220" spans="1:5" ht="16.5" thickBot="1" x14ac:dyDescent="0.3">
      <c r="A220" s="220" t="s">
        <v>24</v>
      </c>
      <c r="B220" s="228"/>
      <c r="C220" s="48">
        <f t="shared" si="7"/>
        <v>2.7855153203342198E-3</v>
      </c>
      <c r="D220" s="48">
        <f t="shared" si="7"/>
        <v>0</v>
      </c>
      <c r="E220" s="48">
        <f t="shared" si="7"/>
        <v>0</v>
      </c>
    </row>
    <row r="221" spans="1:5" ht="16.5" thickBot="1" x14ac:dyDescent="0.3">
      <c r="A221" s="220" t="s">
        <v>25</v>
      </c>
      <c r="B221" s="228"/>
      <c r="C221" s="48">
        <f t="shared" si="7"/>
        <v>-5.9888579387186724E-2</v>
      </c>
      <c r="D221" s="48">
        <f t="shared" si="7"/>
        <v>-3.0303030303030276E-2</v>
      </c>
      <c r="E221" s="48">
        <f t="shared" si="7"/>
        <v>-2.941176470588247E-2</v>
      </c>
    </row>
    <row r="222" spans="1:5" x14ac:dyDescent="0.25">
      <c r="A222" s="1481"/>
      <c r="B222" s="43">
        <v>2018</v>
      </c>
      <c r="C222" s="43">
        <v>2019</v>
      </c>
      <c r="D222" s="43">
        <v>2020</v>
      </c>
      <c r="E222" s="43">
        <v>2021</v>
      </c>
    </row>
    <row r="223" spans="1:5" ht="16.5" thickBot="1" x14ac:dyDescent="0.3">
      <c r="A223" s="1482"/>
      <c r="B223" s="44" t="s">
        <v>10</v>
      </c>
      <c r="C223" s="44" t="s">
        <v>11</v>
      </c>
      <c r="D223" s="44" t="s">
        <v>11</v>
      </c>
      <c r="E223" s="44" t="s">
        <v>11</v>
      </c>
    </row>
    <row r="224" spans="1:5" ht="16.5" thickBot="1" x14ac:dyDescent="0.3">
      <c r="A224" s="1427" t="s">
        <v>449</v>
      </c>
      <c r="B224" s="1428"/>
      <c r="C224" s="1428"/>
      <c r="D224" s="1428"/>
      <c r="E224" s="1429"/>
    </row>
    <row r="225" spans="1:5" x14ac:dyDescent="0.25">
      <c r="A225" s="1481"/>
      <c r="B225" s="43">
        <v>2018</v>
      </c>
      <c r="C225" s="43">
        <v>2019</v>
      </c>
      <c r="D225" s="43">
        <v>2020</v>
      </c>
      <c r="E225" s="43">
        <v>2021</v>
      </c>
    </row>
    <row r="226" spans="1:5" ht="16.5" thickBot="1" x14ac:dyDescent="0.3">
      <c r="A226" s="1482"/>
      <c r="B226" s="44" t="s">
        <v>10</v>
      </c>
      <c r="C226" s="44" t="s">
        <v>11</v>
      </c>
      <c r="D226" s="44" t="s">
        <v>11</v>
      </c>
      <c r="E226" s="44" t="s">
        <v>11</v>
      </c>
    </row>
    <row r="227" spans="1:5" ht="16.5" thickBot="1" x14ac:dyDescent="0.3">
      <c r="A227" s="49" t="s">
        <v>26</v>
      </c>
      <c r="B227" s="50">
        <v>13225</v>
      </c>
      <c r="C227" s="50">
        <f>C217*0.74</f>
        <v>13320</v>
      </c>
      <c r="D227" s="50">
        <f>D217*0.74</f>
        <v>13320</v>
      </c>
      <c r="E227" s="50">
        <f>E217*0.74</f>
        <v>13320</v>
      </c>
    </row>
    <row r="228" spans="1:5" ht="16.5" thickBot="1" x14ac:dyDescent="0.3">
      <c r="A228" s="49" t="s">
        <v>28</v>
      </c>
      <c r="B228" s="50">
        <v>2150</v>
      </c>
      <c r="C228" s="50">
        <f>C217*0.12</f>
        <v>2160</v>
      </c>
      <c r="D228" s="50">
        <f>D217*0.12</f>
        <v>2160</v>
      </c>
      <c r="E228" s="50">
        <f>E217*0.12</f>
        <v>2160</v>
      </c>
    </row>
    <row r="229" spans="1:5" ht="16.5" thickBot="1" x14ac:dyDescent="0.3">
      <c r="A229" s="49" t="s">
        <v>30</v>
      </c>
      <c r="B229" s="52">
        <v>2515</v>
      </c>
      <c r="C229" s="52">
        <f>C217*0.14</f>
        <v>2520.0000000000005</v>
      </c>
      <c r="D229" s="52">
        <f>D217*0.14</f>
        <v>2520.0000000000005</v>
      </c>
      <c r="E229" s="52">
        <f>E217*0.14</f>
        <v>2520.0000000000005</v>
      </c>
    </row>
    <row r="230" spans="1:5" ht="16.5" thickBot="1" x14ac:dyDescent="0.3">
      <c r="A230" s="49" t="s">
        <v>32</v>
      </c>
      <c r="B230" s="52"/>
      <c r="C230" s="52"/>
      <c r="D230" s="52"/>
      <c r="E230" s="52"/>
    </row>
    <row r="231" spans="1:5" ht="16.5" thickBot="1" x14ac:dyDescent="0.3">
      <c r="A231" s="49" t="s">
        <v>34</v>
      </c>
      <c r="B231" s="52"/>
      <c r="C231" s="52"/>
      <c r="D231" s="52"/>
      <c r="E231" s="52"/>
    </row>
    <row r="232" spans="1:5" ht="16.5" thickBot="1" x14ac:dyDescent="0.3">
      <c r="A232" s="49" t="s">
        <v>36</v>
      </c>
      <c r="B232" s="52"/>
      <c r="C232" s="52"/>
      <c r="D232" s="52"/>
      <c r="E232" s="52"/>
    </row>
    <row r="233" spans="1:5" ht="16.5" thickBot="1" x14ac:dyDescent="0.3">
      <c r="A233" s="49" t="s">
        <v>38</v>
      </c>
      <c r="B233" s="52">
        <v>60</v>
      </c>
      <c r="C233" s="52">
        <v>0</v>
      </c>
      <c r="D233" s="52">
        <v>0</v>
      </c>
      <c r="E233" s="52">
        <v>0</v>
      </c>
    </row>
    <row r="234" spans="1:5" ht="32.25" thickBot="1" x14ac:dyDescent="0.3">
      <c r="A234" s="112" t="s">
        <v>71</v>
      </c>
      <c r="B234" s="113">
        <f>B233+B232+B231+B230+B229+B228+B227</f>
        <v>17950</v>
      </c>
      <c r="C234" s="113">
        <f>C233+C232+C231+C230+C229+C228+C227</f>
        <v>18000</v>
      </c>
      <c r="D234" s="113">
        <f>D233+D232+D231+D230+D229+D228+D227</f>
        <v>18000</v>
      </c>
      <c r="E234" s="113">
        <f>E233+E232+E231+E230+E229+E228+E227</f>
        <v>18000</v>
      </c>
    </row>
    <row r="235" spans="1:5" ht="16.5" thickBot="1" x14ac:dyDescent="0.3">
      <c r="A235" s="45" t="s">
        <v>41</v>
      </c>
      <c r="B235" s="46">
        <f>IF(B234-B217=0,0,"Error")</f>
        <v>0</v>
      </c>
      <c r="C235" s="46">
        <f>IF(C234-C217=0,0,"Error")</f>
        <v>0</v>
      </c>
      <c r="D235" s="46">
        <f>IF(D234-D217=0,0,"Error")</f>
        <v>0</v>
      </c>
      <c r="E235" s="46">
        <f>IF(E234-E217=0,0,"Error")</f>
        <v>0</v>
      </c>
    </row>
    <row r="236" spans="1:5" ht="16.5" thickBot="1" x14ac:dyDescent="0.3">
      <c r="A236" s="1494" t="s">
        <v>63</v>
      </c>
      <c r="B236" s="1471"/>
      <c r="C236" s="1471"/>
      <c r="D236" s="1471"/>
      <c r="E236" s="2135"/>
    </row>
    <row r="237" spans="1:5" ht="16.5" thickBot="1" x14ac:dyDescent="0.3">
      <c r="A237" s="1494" t="s">
        <v>56</v>
      </c>
      <c r="B237" s="1471"/>
      <c r="C237" s="1471"/>
      <c r="D237" s="1471"/>
      <c r="E237" s="2135"/>
    </row>
    <row r="238" spans="1:5" ht="16.5" thickBot="1" x14ac:dyDescent="0.3">
      <c r="A238" s="110" t="s">
        <v>61</v>
      </c>
      <c r="B238" s="2132" t="s">
        <v>437</v>
      </c>
      <c r="C238" s="2133"/>
      <c r="D238" s="2133"/>
      <c r="E238" s="2134"/>
    </row>
    <row r="239" spans="1:5" ht="16.5" thickBot="1" x14ac:dyDescent="0.3">
      <c r="A239" s="42" t="s">
        <v>16</v>
      </c>
      <c r="B239" s="2132" t="s">
        <v>438</v>
      </c>
      <c r="C239" s="2133"/>
      <c r="D239" s="2133"/>
      <c r="E239" s="2134"/>
    </row>
    <row r="240" spans="1:5" ht="16.5" thickBot="1" x14ac:dyDescent="0.3">
      <c r="A240" s="220" t="s">
        <v>17</v>
      </c>
      <c r="B240" s="2132" t="str">
        <f>B61</f>
        <v>Blerje pajisje informatike për përmirësimin e cilësisë së punës</v>
      </c>
      <c r="C240" s="2133"/>
      <c r="D240" s="2133"/>
      <c r="E240" s="2134"/>
    </row>
    <row r="241" spans="1:5" ht="16.5" thickBot="1" x14ac:dyDescent="0.3">
      <c r="A241" s="220" t="s">
        <v>18</v>
      </c>
      <c r="B241" s="2132" t="s">
        <v>144</v>
      </c>
      <c r="C241" s="2133"/>
      <c r="D241" s="2133"/>
      <c r="E241" s="2134"/>
    </row>
    <row r="242" spans="1:5" x14ac:dyDescent="0.25">
      <c r="A242" s="1481"/>
      <c r="B242" s="43">
        <v>2018</v>
      </c>
      <c r="C242" s="43">
        <v>2019</v>
      </c>
      <c r="D242" s="43">
        <v>2020</v>
      </c>
      <c r="E242" s="43">
        <v>2021</v>
      </c>
    </row>
    <row r="243" spans="1:5" ht="16.5" thickBot="1" x14ac:dyDescent="0.3">
      <c r="A243" s="1482"/>
      <c r="B243" s="44" t="s">
        <v>10</v>
      </c>
      <c r="C243" s="44" t="s">
        <v>11</v>
      </c>
      <c r="D243" s="44" t="s">
        <v>11</v>
      </c>
      <c r="E243" s="44" t="s">
        <v>11</v>
      </c>
    </row>
    <row r="244" spans="1:5" ht="16.5" thickBot="1" x14ac:dyDescent="0.3">
      <c r="A244" s="220" t="s">
        <v>19</v>
      </c>
      <c r="B244" s="47">
        <v>10</v>
      </c>
      <c r="C244" s="47">
        <v>15</v>
      </c>
      <c r="D244" s="47">
        <v>20</v>
      </c>
      <c r="E244" s="47">
        <v>25</v>
      </c>
    </row>
    <row r="245" spans="1:5" ht="16.5" thickBot="1" x14ac:dyDescent="0.3">
      <c r="A245" s="220" t="s">
        <v>20</v>
      </c>
      <c r="B245" s="47">
        <v>200</v>
      </c>
      <c r="C245" s="47">
        <v>200</v>
      </c>
      <c r="D245" s="47">
        <v>200</v>
      </c>
      <c r="E245" s="47">
        <v>200</v>
      </c>
    </row>
    <row r="246" spans="1:5" ht="16.5" thickBot="1" x14ac:dyDescent="0.3">
      <c r="A246" s="220" t="s">
        <v>21</v>
      </c>
      <c r="B246" s="47">
        <f>B245/B244</f>
        <v>20</v>
      </c>
      <c r="C246" s="47">
        <f>C245/C244</f>
        <v>13.333333333333334</v>
      </c>
      <c r="D246" s="47">
        <f>D245/D244</f>
        <v>10</v>
      </c>
      <c r="E246" s="47">
        <f>E245/E244</f>
        <v>8</v>
      </c>
    </row>
    <row r="247" spans="1:5" ht="16.5" thickBot="1" x14ac:dyDescent="0.3">
      <c r="A247" s="220" t="s">
        <v>22</v>
      </c>
      <c r="B247" s="228" t="s">
        <v>23</v>
      </c>
      <c r="C247" s="48">
        <f t="shared" ref="C247:E249" si="8">C244/B244-1</f>
        <v>0.5</v>
      </c>
      <c r="D247" s="48">
        <f t="shared" si="8"/>
        <v>0.33333333333333326</v>
      </c>
      <c r="E247" s="48">
        <f t="shared" si="8"/>
        <v>0.25</v>
      </c>
    </row>
    <row r="248" spans="1:5" ht="16.5" thickBot="1" x14ac:dyDescent="0.3">
      <c r="A248" s="220" t="s">
        <v>24</v>
      </c>
      <c r="B248" s="228" t="s">
        <v>23</v>
      </c>
      <c r="C248" s="48">
        <f t="shared" si="8"/>
        <v>0</v>
      </c>
      <c r="D248" s="48">
        <f t="shared" si="8"/>
        <v>0</v>
      </c>
      <c r="E248" s="48">
        <f t="shared" si="8"/>
        <v>0</v>
      </c>
    </row>
    <row r="249" spans="1:5" ht="16.5" thickBot="1" x14ac:dyDescent="0.3">
      <c r="A249" s="220" t="s">
        <v>25</v>
      </c>
      <c r="B249" s="228" t="s">
        <v>23</v>
      </c>
      <c r="C249" s="48">
        <f t="shared" si="8"/>
        <v>-0.33333333333333326</v>
      </c>
      <c r="D249" s="48">
        <f t="shared" si="8"/>
        <v>-0.25</v>
      </c>
      <c r="E249" s="48">
        <f t="shared" si="8"/>
        <v>-0.19999999999999996</v>
      </c>
    </row>
    <row r="250" spans="1:5" ht="16.5" thickBot="1" x14ac:dyDescent="0.3">
      <c r="A250" s="1427" t="s">
        <v>436</v>
      </c>
      <c r="B250" s="1428"/>
      <c r="C250" s="1428"/>
      <c r="D250" s="1428"/>
      <c r="E250" s="1429"/>
    </row>
    <row r="251" spans="1:5" x14ac:dyDescent="0.25">
      <c r="A251" s="1481"/>
      <c r="B251" s="43">
        <v>2018</v>
      </c>
      <c r="C251" s="43">
        <v>2019</v>
      </c>
      <c r="D251" s="43">
        <v>2020</v>
      </c>
      <c r="E251" s="43">
        <v>2021</v>
      </c>
    </row>
    <row r="252" spans="1:5" ht="16.5" thickBot="1" x14ac:dyDescent="0.3">
      <c r="A252" s="1482"/>
      <c r="B252" s="44" t="s">
        <v>10</v>
      </c>
      <c r="C252" s="44" t="s">
        <v>11</v>
      </c>
      <c r="D252" s="44" t="s">
        <v>11</v>
      </c>
      <c r="E252" s="44" t="s">
        <v>11</v>
      </c>
    </row>
    <row r="253" spans="1:5" ht="16.5" thickBot="1" x14ac:dyDescent="0.3">
      <c r="A253" s="49" t="s">
        <v>58</v>
      </c>
      <c r="B253" s="50"/>
      <c r="C253" s="50"/>
      <c r="D253" s="50"/>
      <c r="E253" s="50"/>
    </row>
    <row r="254" spans="1:5" ht="16.5" thickBot="1" x14ac:dyDescent="0.3">
      <c r="A254" s="49" t="s">
        <v>59</v>
      </c>
      <c r="B254" s="52">
        <f>B245</f>
        <v>200</v>
      </c>
      <c r="C254" s="52">
        <f>C245</f>
        <v>200</v>
      </c>
      <c r="D254" s="52">
        <f>D245</f>
        <v>200</v>
      </c>
      <c r="E254" s="52">
        <f>E245</f>
        <v>200</v>
      </c>
    </row>
    <row r="255" spans="1:5" ht="16.5" thickBot="1" x14ac:dyDescent="0.3">
      <c r="A255" s="51" t="s">
        <v>40</v>
      </c>
      <c r="B255" s="52">
        <f>B254+B253</f>
        <v>200</v>
      </c>
      <c r="C255" s="52">
        <f>C254+C253</f>
        <v>200</v>
      </c>
      <c r="D255" s="52">
        <f>D254+D253</f>
        <v>200</v>
      </c>
      <c r="E255" s="52">
        <f>E254+E253</f>
        <v>200</v>
      </c>
    </row>
    <row r="256" spans="1:5" ht="16.5" thickBot="1" x14ac:dyDescent="0.3">
      <c r="A256" s="1494" t="s">
        <v>63</v>
      </c>
      <c r="B256" s="1471"/>
      <c r="C256" s="1471"/>
      <c r="D256" s="1471"/>
      <c r="E256" s="2135"/>
    </row>
    <row r="257" spans="1:5" ht="16.5" thickBot="1" x14ac:dyDescent="0.3">
      <c r="A257" s="1494" t="s">
        <v>64</v>
      </c>
      <c r="B257" s="1471"/>
      <c r="C257" s="1471"/>
      <c r="D257" s="1471"/>
      <c r="E257" s="2135"/>
    </row>
    <row r="258" spans="1:5" ht="16.5" thickBot="1" x14ac:dyDescent="0.3">
      <c r="A258" s="110" t="s">
        <v>61</v>
      </c>
      <c r="B258" s="2132" t="str">
        <f>B82</f>
        <v>M770032</v>
      </c>
      <c r="C258" s="2133"/>
      <c r="D258" s="2133"/>
      <c r="E258" s="2134"/>
    </row>
    <row r="259" spans="1:5" ht="16.5" thickBot="1" x14ac:dyDescent="0.3">
      <c r="A259" s="42" t="s">
        <v>16</v>
      </c>
      <c r="B259" s="2132" t="str">
        <f>B83</f>
        <v>Punime te brendshme rifinitura</v>
      </c>
      <c r="C259" s="2133"/>
      <c r="D259" s="2133"/>
      <c r="E259" s="2134"/>
    </row>
    <row r="260" spans="1:5" ht="16.5" thickBot="1" x14ac:dyDescent="0.3">
      <c r="A260" s="220" t="s">
        <v>17</v>
      </c>
      <c r="B260" s="2132" t="str">
        <f>B84</f>
        <v>Riparime të pjesshme dhe punime të brendshme të zyrave të godinës</v>
      </c>
      <c r="C260" s="2133"/>
      <c r="D260" s="2133"/>
      <c r="E260" s="2134"/>
    </row>
    <row r="261" spans="1:5" ht="16.5" thickBot="1" x14ac:dyDescent="0.3">
      <c r="A261" s="220" t="s">
        <v>18</v>
      </c>
      <c r="B261" s="2132" t="str">
        <f>B85</f>
        <v>cope</v>
      </c>
      <c r="C261" s="2133"/>
      <c r="D261" s="2133"/>
      <c r="E261" s="2134"/>
    </row>
    <row r="262" spans="1:5" x14ac:dyDescent="0.25">
      <c r="A262" s="1481"/>
      <c r="B262" s="43">
        <v>2018</v>
      </c>
      <c r="C262" s="43">
        <v>2019</v>
      </c>
      <c r="D262" s="43">
        <v>2020</v>
      </c>
      <c r="E262" s="43">
        <v>2021</v>
      </c>
    </row>
    <row r="263" spans="1:5" ht="16.5" thickBot="1" x14ac:dyDescent="0.3">
      <c r="A263" s="1482"/>
      <c r="B263" s="44" t="s">
        <v>10</v>
      </c>
      <c r="C263" s="44" t="s">
        <v>11</v>
      </c>
      <c r="D263" s="44" t="s">
        <v>11</v>
      </c>
      <c r="E263" s="44" t="s">
        <v>11</v>
      </c>
    </row>
    <row r="264" spans="1:5" ht="16.5" thickBot="1" x14ac:dyDescent="0.3">
      <c r="A264" s="220" t="s">
        <v>19</v>
      </c>
      <c r="B264" s="47">
        <v>500</v>
      </c>
      <c r="C264" s="47">
        <v>0</v>
      </c>
      <c r="D264" s="47">
        <v>0</v>
      </c>
      <c r="E264" s="47">
        <v>0</v>
      </c>
    </row>
    <row r="265" spans="1:5" ht="16.5" thickBot="1" x14ac:dyDescent="0.3">
      <c r="A265" s="220" t="s">
        <v>20</v>
      </c>
      <c r="B265" s="47">
        <v>2333</v>
      </c>
      <c r="C265" s="47">
        <v>0</v>
      </c>
      <c r="D265" s="47">
        <v>0</v>
      </c>
      <c r="E265" s="47">
        <v>0</v>
      </c>
    </row>
    <row r="266" spans="1:5" ht="16.5" thickBot="1" x14ac:dyDescent="0.3">
      <c r="A266" s="220" t="s">
        <v>21</v>
      </c>
      <c r="B266" s="47">
        <f>B265/B264</f>
        <v>4.6660000000000004</v>
      </c>
      <c r="C266" s="47" t="e">
        <f>C265/C264</f>
        <v>#DIV/0!</v>
      </c>
      <c r="D266" s="47" t="e">
        <f>D265/D264</f>
        <v>#DIV/0!</v>
      </c>
      <c r="E266" s="47" t="e">
        <f>E265/E264</f>
        <v>#DIV/0!</v>
      </c>
    </row>
    <row r="267" spans="1:5" ht="16.5" thickBot="1" x14ac:dyDescent="0.3">
      <c r="A267" s="220" t="s">
        <v>22</v>
      </c>
      <c r="B267" s="228" t="s">
        <v>23</v>
      </c>
      <c r="C267" s="48">
        <f t="shared" ref="C267:E269" si="9">C264/B264-1</f>
        <v>-1</v>
      </c>
      <c r="D267" s="48" t="e">
        <f t="shared" si="9"/>
        <v>#DIV/0!</v>
      </c>
      <c r="E267" s="48" t="e">
        <f t="shared" si="9"/>
        <v>#DIV/0!</v>
      </c>
    </row>
    <row r="268" spans="1:5" ht="16.5" thickBot="1" x14ac:dyDescent="0.3">
      <c r="A268" s="220" t="s">
        <v>24</v>
      </c>
      <c r="B268" s="228" t="s">
        <v>23</v>
      </c>
      <c r="C268" s="48">
        <f t="shared" si="9"/>
        <v>-1</v>
      </c>
      <c r="D268" s="48" t="e">
        <f t="shared" si="9"/>
        <v>#DIV/0!</v>
      </c>
      <c r="E268" s="48" t="e">
        <f t="shared" si="9"/>
        <v>#DIV/0!</v>
      </c>
    </row>
    <row r="269" spans="1:5" ht="16.5" thickBot="1" x14ac:dyDescent="0.3">
      <c r="A269" s="220" t="s">
        <v>25</v>
      </c>
      <c r="B269" s="228" t="s">
        <v>23</v>
      </c>
      <c r="C269" s="48" t="e">
        <f t="shared" si="9"/>
        <v>#DIV/0!</v>
      </c>
      <c r="D269" s="48" t="e">
        <f t="shared" si="9"/>
        <v>#DIV/0!</v>
      </c>
      <c r="E269" s="48" t="e">
        <f t="shared" si="9"/>
        <v>#DIV/0!</v>
      </c>
    </row>
    <row r="270" spans="1:5" ht="16.5" thickBot="1" x14ac:dyDescent="0.3">
      <c r="A270" s="1427" t="s">
        <v>436</v>
      </c>
      <c r="B270" s="1428"/>
      <c r="C270" s="1428"/>
      <c r="D270" s="1428"/>
      <c r="E270" s="1429"/>
    </row>
    <row r="271" spans="1:5" x14ac:dyDescent="0.25">
      <c r="A271" s="1481"/>
      <c r="B271" s="43">
        <v>2018</v>
      </c>
      <c r="C271" s="43">
        <v>2019</v>
      </c>
      <c r="D271" s="43">
        <v>2020</v>
      </c>
      <c r="E271" s="43">
        <v>2021</v>
      </c>
    </row>
    <row r="272" spans="1:5" ht="16.5" thickBot="1" x14ac:dyDescent="0.3">
      <c r="A272" s="1482"/>
      <c r="B272" s="44" t="s">
        <v>10</v>
      </c>
      <c r="C272" s="44" t="s">
        <v>11</v>
      </c>
      <c r="D272" s="44" t="s">
        <v>11</v>
      </c>
      <c r="E272" s="44" t="s">
        <v>11</v>
      </c>
    </row>
    <row r="273" spans="1:6" ht="16.5" thickBot="1" x14ac:dyDescent="0.3">
      <c r="A273" s="49" t="s">
        <v>58</v>
      </c>
      <c r="B273" s="50"/>
      <c r="C273" s="50"/>
      <c r="D273" s="50"/>
      <c r="E273" s="50"/>
    </row>
    <row r="274" spans="1:6" ht="16.5" thickBot="1" x14ac:dyDescent="0.3">
      <c r="A274" s="49" t="s">
        <v>59</v>
      </c>
      <c r="B274" s="52">
        <f>B265</f>
        <v>2333</v>
      </c>
      <c r="C274" s="52">
        <f>'[3]Formati 2 Politika Ekzistuese'!E306</f>
        <v>0</v>
      </c>
      <c r="D274" s="52">
        <f>'[3]Formati 2 Politika Ekzistuese'!F306</f>
        <v>0</v>
      </c>
      <c r="E274" s="52">
        <f>'[3]Formati 2 Politika Ekzistuese'!G306</f>
        <v>0</v>
      </c>
    </row>
    <row r="275" spans="1:6" ht="16.5" thickBot="1" x14ac:dyDescent="0.3">
      <c r="A275" s="51" t="s">
        <v>40</v>
      </c>
      <c r="B275" s="52">
        <f>B274+B273</f>
        <v>2333</v>
      </c>
      <c r="C275" s="52">
        <f>C274+C273</f>
        <v>0</v>
      </c>
      <c r="D275" s="52">
        <f>D274+D273</f>
        <v>0</v>
      </c>
      <c r="E275" s="52">
        <f>E274+E273</f>
        <v>0</v>
      </c>
    </row>
    <row r="276" spans="1:6" ht="16.5" thickBot="1" x14ac:dyDescent="0.3">
      <c r="A276" s="117"/>
      <c r="B276" s="118"/>
      <c r="C276" s="118"/>
      <c r="D276" s="118"/>
      <c r="E276" s="118"/>
    </row>
    <row r="277" spans="1:6" ht="45" customHeight="1" thickBot="1" x14ac:dyDescent="0.3">
      <c r="A277" s="41" t="s">
        <v>82</v>
      </c>
      <c r="B277" s="53">
        <f>B40+B66+B89+B115+B143+B163+B191+B217+B245+B265</f>
        <v>79800</v>
      </c>
      <c r="C277" s="53">
        <f>C40+C66+C89+C115+C143+C163+C191+C217+C245+C265</f>
        <v>73000</v>
      </c>
      <c r="D277" s="53">
        <f>D40+D66+D89+D115+D143+D163+D191+D217+D245+D265</f>
        <v>73000</v>
      </c>
      <c r="E277" s="53">
        <f>E40+E66+E89+E115+E143+E163+E191+E217+E245+E265</f>
        <v>73000</v>
      </c>
    </row>
    <row r="278" spans="1:6" ht="32.25" thickBot="1" x14ac:dyDescent="0.3">
      <c r="A278" s="41" t="s">
        <v>83</v>
      </c>
      <c r="B278" s="53">
        <f>B280+B282+B284+B286+B288+B290+B292+B294+B296</f>
        <v>79800</v>
      </c>
      <c r="C278" s="53">
        <f>C280+C282+C284+C286+C288+C290+C292+C294+C296</f>
        <v>73000</v>
      </c>
      <c r="D278" s="53">
        <f>D280+D282+D284+D286+D288+D290+D292+D294+D296</f>
        <v>73000</v>
      </c>
      <c r="E278" s="53">
        <f>E280+E282+E284+E286+E288+E290+E292+E294+E296</f>
        <v>73000</v>
      </c>
    </row>
    <row r="279" spans="1:6" ht="32.25" thickBot="1" x14ac:dyDescent="0.3">
      <c r="A279" s="54" t="s">
        <v>84</v>
      </c>
      <c r="B279" s="55"/>
      <c r="C279" s="56">
        <f>C278/B278-1</f>
        <v>-8.5213032581453629E-2</v>
      </c>
      <c r="D279" s="56">
        <f>D278/C278-1</f>
        <v>0</v>
      </c>
      <c r="E279" s="56">
        <f>E278/D278-1</f>
        <v>0</v>
      </c>
    </row>
    <row r="280" spans="1:6" ht="16.5" thickBot="1" x14ac:dyDescent="0.3">
      <c r="A280" s="49" t="s">
        <v>26</v>
      </c>
      <c r="B280" s="50">
        <f>B48+B125+B201+B227</f>
        <v>52900</v>
      </c>
      <c r="C280" s="50">
        <f>C48+C125+C201+C227</f>
        <v>53280</v>
      </c>
      <c r="D280" s="50">
        <f>D48+D125+D201+D227</f>
        <v>53280</v>
      </c>
      <c r="E280" s="50">
        <f>E48+E125+E201+E227</f>
        <v>53280</v>
      </c>
      <c r="F280" s="106" t="e">
        <f>#REF!/4</f>
        <v>#REF!</v>
      </c>
    </row>
    <row r="281" spans="1:6" ht="16.5" thickBot="1" x14ac:dyDescent="0.3">
      <c r="A281" s="57" t="s">
        <v>85</v>
      </c>
      <c r="B281" s="52"/>
      <c r="C281" s="58">
        <f>C280/B280-1</f>
        <v>7.1833648393193616E-3</v>
      </c>
      <c r="D281" s="58">
        <f>D280/C280-1</f>
        <v>0</v>
      </c>
      <c r="E281" s="58">
        <f>E280/D280-1</f>
        <v>0</v>
      </c>
      <c r="F281" s="106" t="e">
        <f>#REF!/4</f>
        <v>#REF!</v>
      </c>
    </row>
    <row r="282" spans="1:6" ht="16.5" thickBot="1" x14ac:dyDescent="0.3">
      <c r="A282" s="49" t="s">
        <v>28</v>
      </c>
      <c r="B282" s="50">
        <f>B49+B126+B202+B228</f>
        <v>8600</v>
      </c>
      <c r="C282" s="50">
        <f>C49+C126+C202+C228</f>
        <v>8640</v>
      </c>
      <c r="D282" s="50">
        <f>D49+D126+D202+D228</f>
        <v>8640</v>
      </c>
      <c r="E282" s="50">
        <f>E49+E126+E202+E228</f>
        <v>8640</v>
      </c>
      <c r="F282" s="106" t="e">
        <f>#REF!/4</f>
        <v>#REF!</v>
      </c>
    </row>
    <row r="283" spans="1:6" ht="32.25" thickBot="1" x14ac:dyDescent="0.3">
      <c r="A283" s="57" t="s">
        <v>86</v>
      </c>
      <c r="B283" s="52"/>
      <c r="C283" s="58">
        <f>C282/B282-1</f>
        <v>4.6511627906977715E-3</v>
      </c>
      <c r="D283" s="58">
        <f>D282/C282-1</f>
        <v>0</v>
      </c>
      <c r="E283" s="58">
        <f>E282/D282-1</f>
        <v>0</v>
      </c>
      <c r="F283" s="106" t="e">
        <f>#REF!/4</f>
        <v>#REF!</v>
      </c>
    </row>
    <row r="284" spans="1:6" ht="16.5" thickBot="1" x14ac:dyDescent="0.3">
      <c r="A284" s="49" t="s">
        <v>30</v>
      </c>
      <c r="B284" s="50">
        <f>B50+B127+B203+B229</f>
        <v>10060</v>
      </c>
      <c r="C284" s="50">
        <f>C50+C127+C203+C229</f>
        <v>9840.0000000000018</v>
      </c>
      <c r="D284" s="50">
        <f>D50+D127+D203+D229</f>
        <v>9840.0000000000018</v>
      </c>
      <c r="E284" s="50">
        <f>E50+E127+E203+E229</f>
        <v>9840.0000000000018</v>
      </c>
    </row>
    <row r="285" spans="1:6" ht="16.5" thickBot="1" x14ac:dyDescent="0.3">
      <c r="A285" s="57" t="s">
        <v>87</v>
      </c>
      <c r="B285" s="52"/>
      <c r="C285" s="58">
        <f>C284/B284-1</f>
        <v>-2.1868787276341783E-2</v>
      </c>
      <c r="D285" s="58">
        <f>D284/C284-1</f>
        <v>0</v>
      </c>
      <c r="E285" s="58">
        <f>E284/D284-1</f>
        <v>0</v>
      </c>
    </row>
    <row r="286" spans="1:6" ht="16.5" thickBot="1" x14ac:dyDescent="0.3">
      <c r="A286" s="49" t="s">
        <v>32</v>
      </c>
      <c r="B286" s="50">
        <v>0</v>
      </c>
      <c r="C286" s="50">
        <v>0</v>
      </c>
      <c r="D286" s="50">
        <v>0</v>
      </c>
      <c r="E286" s="50">
        <v>0</v>
      </c>
    </row>
    <row r="287" spans="1:6" ht="16.5" thickBot="1" x14ac:dyDescent="0.3">
      <c r="A287" s="57" t="s">
        <v>88</v>
      </c>
      <c r="B287" s="52"/>
      <c r="C287" s="58" t="e">
        <f>C286/B286-1</f>
        <v>#DIV/0!</v>
      </c>
      <c r="D287" s="58" t="e">
        <f>D286/C286-1</f>
        <v>#DIV/0!</v>
      </c>
      <c r="E287" s="58" t="e">
        <f>E286/D286-1</f>
        <v>#DIV/0!</v>
      </c>
    </row>
    <row r="288" spans="1:6" ht="16.5" thickBot="1" x14ac:dyDescent="0.3">
      <c r="A288" s="49" t="s">
        <v>34</v>
      </c>
      <c r="B288" s="50">
        <v>0</v>
      </c>
      <c r="C288" s="50">
        <v>0</v>
      </c>
      <c r="D288" s="50">
        <v>0</v>
      </c>
      <c r="E288" s="50">
        <v>0</v>
      </c>
    </row>
    <row r="289" spans="1:5" ht="16.5" thickBot="1" x14ac:dyDescent="0.3">
      <c r="A289" s="57" t="s">
        <v>89</v>
      </c>
      <c r="B289" s="52"/>
      <c r="C289" s="58" t="e">
        <f>C288/B288-1</f>
        <v>#DIV/0!</v>
      </c>
      <c r="D289" s="58" t="e">
        <f>D288/C288-1</f>
        <v>#DIV/0!</v>
      </c>
      <c r="E289" s="58" t="e">
        <f>E288/D288-1</f>
        <v>#DIV/0!</v>
      </c>
    </row>
    <row r="290" spans="1:5" ht="16.5" thickBot="1" x14ac:dyDescent="0.3">
      <c r="A290" s="49" t="s">
        <v>36</v>
      </c>
      <c r="B290" s="50">
        <v>0</v>
      </c>
      <c r="C290" s="50">
        <v>0</v>
      </c>
      <c r="D290" s="50">
        <v>0</v>
      </c>
      <c r="E290" s="50">
        <v>0</v>
      </c>
    </row>
    <row r="291" spans="1:5" ht="16.5" thickBot="1" x14ac:dyDescent="0.3">
      <c r="A291" s="57" t="s">
        <v>90</v>
      </c>
      <c r="B291" s="52"/>
      <c r="C291" s="58" t="e">
        <f>C290/B290-1</f>
        <v>#DIV/0!</v>
      </c>
      <c r="D291" s="58" t="e">
        <f>D290/C290-1</f>
        <v>#DIV/0!</v>
      </c>
      <c r="E291" s="58" t="e">
        <f>E290/D290-1</f>
        <v>#DIV/0!</v>
      </c>
    </row>
    <row r="292" spans="1:5" ht="16.5" thickBot="1" x14ac:dyDescent="0.3">
      <c r="A292" s="49" t="s">
        <v>38</v>
      </c>
      <c r="B292" s="50">
        <f>B131+B54+B207+B233</f>
        <v>240</v>
      </c>
      <c r="C292" s="50">
        <f>C131+C54+C207</f>
        <v>240</v>
      </c>
      <c r="D292" s="50">
        <f>D131+D54+D207</f>
        <v>240</v>
      </c>
      <c r="E292" s="50">
        <f>E131+E54+E207</f>
        <v>240</v>
      </c>
    </row>
    <row r="293" spans="1:5" ht="32.25" thickBot="1" x14ac:dyDescent="0.3">
      <c r="A293" s="57" t="s">
        <v>91</v>
      </c>
      <c r="B293" s="52"/>
      <c r="C293" s="58">
        <f>C292/B292-1</f>
        <v>0</v>
      </c>
      <c r="D293" s="58">
        <f>D292/C292-1</f>
        <v>0</v>
      </c>
      <c r="E293" s="58">
        <f>E292/D292-1</f>
        <v>0</v>
      </c>
    </row>
    <row r="294" spans="1:5" ht="16.5" thickBot="1" x14ac:dyDescent="0.3">
      <c r="A294" s="49" t="s">
        <v>92</v>
      </c>
      <c r="B294" s="50">
        <f>B74+B97+B151+B171</f>
        <v>0</v>
      </c>
      <c r="C294" s="50">
        <f>C74+C97+C151+C171</f>
        <v>0</v>
      </c>
      <c r="D294" s="50">
        <f>D74+D97+D151+D171</f>
        <v>0</v>
      </c>
      <c r="E294" s="50">
        <f>E74+E97+E151+E171</f>
        <v>0</v>
      </c>
    </row>
    <row r="295" spans="1:5" ht="16.5" thickBot="1" x14ac:dyDescent="0.3">
      <c r="A295" s="57" t="s">
        <v>93</v>
      </c>
      <c r="B295" s="52"/>
      <c r="C295" s="58" t="e">
        <f>C294/B294-1</f>
        <v>#DIV/0!</v>
      </c>
      <c r="D295" s="58" t="e">
        <f>D294/C294-1</f>
        <v>#DIV/0!</v>
      </c>
      <c r="E295" s="58" t="e">
        <f>E294/D294-1</f>
        <v>#DIV/0!</v>
      </c>
    </row>
    <row r="296" spans="1:5" ht="16.5" thickBot="1" x14ac:dyDescent="0.3">
      <c r="A296" s="49" t="s">
        <v>94</v>
      </c>
      <c r="B296" s="50">
        <f>B275+B255+B173+B153+B99+B76</f>
        <v>8000</v>
      </c>
      <c r="C296" s="50">
        <f>C275+C255+C173+C153+C99+C76</f>
        <v>1000</v>
      </c>
      <c r="D296" s="50">
        <f>D275+D255+D173+D153+D99+D76</f>
        <v>1000</v>
      </c>
      <c r="E296" s="50">
        <f>E275+E255+E173+E153+E99+E76</f>
        <v>1000</v>
      </c>
    </row>
    <row r="297" spans="1:5" ht="16.5" thickBot="1" x14ac:dyDescent="0.3">
      <c r="A297" s="57" t="s">
        <v>95</v>
      </c>
      <c r="B297" s="52"/>
      <c r="C297" s="58">
        <f>C296/B296-1</f>
        <v>-0.875</v>
      </c>
      <c r="D297" s="58">
        <f>D296/C296-1</f>
        <v>0</v>
      </c>
      <c r="E297" s="58">
        <f>E296/D296-1</f>
        <v>0</v>
      </c>
    </row>
    <row r="298" spans="1:5" ht="16.5" thickBot="1" x14ac:dyDescent="0.3">
      <c r="A298" s="45" t="s">
        <v>41</v>
      </c>
      <c r="B298" s="46">
        <f>IF(B278-B277=0,0,"Error")</f>
        <v>0</v>
      </c>
      <c r="C298" s="46">
        <f>IF(C278-C277=0,0,"Error")</f>
        <v>0</v>
      </c>
      <c r="D298" s="46">
        <f>IF(D278-D277=0,0,"Error")</f>
        <v>0</v>
      </c>
      <c r="E298" s="46">
        <f>IF(E278-E277=0,0,"Error")</f>
        <v>0</v>
      </c>
    </row>
    <row r="299" spans="1:5" ht="49.5" customHeight="1" thickBot="1" x14ac:dyDescent="0.3">
      <c r="A299" s="59" t="s">
        <v>96</v>
      </c>
      <c r="B299" s="50">
        <v>43</v>
      </c>
      <c r="C299" s="50">
        <v>46</v>
      </c>
      <c r="D299" s="50">
        <v>50</v>
      </c>
      <c r="E299" s="50">
        <v>52</v>
      </c>
    </row>
    <row r="300" spans="1:5" ht="57" customHeight="1" thickBot="1" x14ac:dyDescent="0.3">
      <c r="A300" s="59" t="s">
        <v>97</v>
      </c>
      <c r="B300" s="50">
        <v>4</v>
      </c>
      <c r="C300" s="50">
        <v>4</v>
      </c>
      <c r="D300" s="50">
        <v>2</v>
      </c>
      <c r="E300" s="50">
        <v>2</v>
      </c>
    </row>
  </sheetData>
  <mergeCells count="111">
    <mergeCell ref="A11:E11"/>
    <mergeCell ref="A12:E12"/>
    <mergeCell ref="B158:E158"/>
    <mergeCell ref="B159:E159"/>
    <mergeCell ref="A160:A161"/>
    <mergeCell ref="A168:E168"/>
    <mergeCell ref="B138:E138"/>
    <mergeCell ref="B139:E139"/>
    <mergeCell ref="A106:E106"/>
    <mergeCell ref="A122:E122"/>
    <mergeCell ref="A123:A124"/>
    <mergeCell ref="A107:A108"/>
    <mergeCell ref="B109:E109"/>
    <mergeCell ref="B110:E110"/>
    <mergeCell ref="B111:E111"/>
    <mergeCell ref="A112:A113"/>
    <mergeCell ref="A105:E105"/>
    <mergeCell ref="A134:E134"/>
    <mergeCell ref="A135:E135"/>
    <mergeCell ref="B136:E136"/>
    <mergeCell ref="B137:E137"/>
    <mergeCell ref="A120:A121"/>
    <mergeCell ref="A94:E94"/>
    <mergeCell ref="A95:A96"/>
    <mergeCell ref="A169:A170"/>
    <mergeCell ref="A154:E154"/>
    <mergeCell ref="A155:E155"/>
    <mergeCell ref="B156:E156"/>
    <mergeCell ref="B157:E157"/>
    <mergeCell ref="A140:A141"/>
    <mergeCell ref="A148:E148"/>
    <mergeCell ref="A149:A150"/>
    <mergeCell ref="B84:E84"/>
    <mergeCell ref="B100:E100"/>
    <mergeCell ref="B83:E83"/>
    <mergeCell ref="A71:E71"/>
    <mergeCell ref="A72:A73"/>
    <mergeCell ref="A77:A79"/>
    <mergeCell ref="B77:E79"/>
    <mergeCell ref="A86:A87"/>
    <mergeCell ref="A101:E101"/>
    <mergeCell ref="B60:E60"/>
    <mergeCell ref="B61:E61"/>
    <mergeCell ref="B62:E62"/>
    <mergeCell ref="A63:A64"/>
    <mergeCell ref="A57:E57"/>
    <mergeCell ref="B82:E82"/>
    <mergeCell ref="B14:E14"/>
    <mergeCell ref="B15:E15"/>
    <mergeCell ref="B16:E16"/>
    <mergeCell ref="A17:E17"/>
    <mergeCell ref="A46:A47"/>
    <mergeCell ref="A33:E33"/>
    <mergeCell ref="B34:E34"/>
    <mergeCell ref="B35:E35"/>
    <mergeCell ref="B36:E36"/>
    <mergeCell ref="A37:A38"/>
    <mergeCell ref="A80:E80"/>
    <mergeCell ref="A81:E81"/>
    <mergeCell ref="A18:E20"/>
    <mergeCell ref="B21:E21"/>
    <mergeCell ref="A22:A23"/>
    <mergeCell ref="B27:E27"/>
    <mergeCell ref="A28:E28"/>
    <mergeCell ref="A32:E32"/>
    <mergeCell ref="A45:E45"/>
    <mergeCell ref="A58:E58"/>
    <mergeCell ref="B59:E59"/>
    <mergeCell ref="B176:E176"/>
    <mergeCell ref="A177:E177"/>
    <mergeCell ref="A181:E181"/>
    <mergeCell ref="A182:E182"/>
    <mergeCell ref="A183:A184"/>
    <mergeCell ref="B185:E185"/>
    <mergeCell ref="B186:E186"/>
    <mergeCell ref="B187:E187"/>
    <mergeCell ref="A188:A189"/>
    <mergeCell ref="B238:E238"/>
    <mergeCell ref="B239:E239"/>
    <mergeCell ref="A242:A243"/>
    <mergeCell ref="A250:E250"/>
    <mergeCell ref="A251:A252"/>
    <mergeCell ref="A256:E256"/>
    <mergeCell ref="A257:E257"/>
    <mergeCell ref="B258:E258"/>
    <mergeCell ref="B240:E240"/>
    <mergeCell ref="B241:E241"/>
    <mergeCell ref="B4:E4"/>
    <mergeCell ref="B5:E5"/>
    <mergeCell ref="B6:E6"/>
    <mergeCell ref="C7:E7"/>
    <mergeCell ref="C8:E8"/>
    <mergeCell ref="C9:E9"/>
    <mergeCell ref="A262:A263"/>
    <mergeCell ref="A270:E270"/>
    <mergeCell ref="A271:A272"/>
    <mergeCell ref="B211:E211"/>
    <mergeCell ref="B212:E212"/>
    <mergeCell ref="B213:E213"/>
    <mergeCell ref="A214:A215"/>
    <mergeCell ref="A222:A223"/>
    <mergeCell ref="A224:E224"/>
    <mergeCell ref="A225:A226"/>
    <mergeCell ref="B259:E259"/>
    <mergeCell ref="B260:E260"/>
    <mergeCell ref="B261:E261"/>
    <mergeCell ref="A196:A197"/>
    <mergeCell ref="A198:E198"/>
    <mergeCell ref="A199:A200"/>
    <mergeCell ref="A236:E236"/>
    <mergeCell ref="A237:E237"/>
  </mergeCells>
  <printOptions horizontalCentered="1" verticalCentered="1"/>
  <pageMargins left="0.25" right="0.25" top="0.75" bottom="0.75" header="0.3" footer="0.3"/>
  <pageSetup paperSize="9" scale="55" fitToHeight="0" orientation="portrait" r:id="rId1"/>
  <rowBreaks count="2" manualBreakCount="2">
    <brk id="56" max="16383" man="1"/>
    <brk id="93"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pageSetUpPr fitToPage="1"/>
  </sheetPr>
  <dimension ref="A2:I846"/>
  <sheetViews>
    <sheetView view="pageBreakPreview" topLeftCell="A120" zoomScale="60" zoomScaleNormal="100" workbookViewId="0">
      <selection activeCell="L14" sqref="L14"/>
    </sheetView>
  </sheetViews>
  <sheetFormatPr defaultColWidth="9.140625" defaultRowHeight="15.75" x14ac:dyDescent="0.25"/>
  <cols>
    <col min="1" max="1" width="28.85546875" style="173" customWidth="1"/>
    <col min="2" max="2" width="18.5703125" style="173" customWidth="1"/>
    <col min="3" max="3" width="16.42578125" style="173" customWidth="1"/>
    <col min="4" max="4" width="18.140625" style="173" customWidth="1"/>
    <col min="5" max="5" width="13.28515625" style="173" customWidth="1"/>
    <col min="6" max="6" width="11" style="173" customWidth="1"/>
    <col min="7" max="7" width="11" style="173" bestFit="1" customWidth="1"/>
    <col min="8" max="16384" width="9.140625" style="173"/>
  </cols>
  <sheetData>
    <row r="2" spans="1:5" ht="33.75" customHeight="1" thickBot="1" x14ac:dyDescent="0.3">
      <c r="A2" s="1227" t="s">
        <v>0</v>
      </c>
      <c r="B2" s="1227"/>
      <c r="C2" s="1227"/>
      <c r="D2" s="1227"/>
      <c r="E2" s="1227"/>
    </row>
    <row r="3" spans="1:5" ht="32.25" thickBot="1" x14ac:dyDescent="0.3">
      <c r="A3" s="168" t="s">
        <v>897</v>
      </c>
      <c r="B3" s="1232" t="s">
        <v>916</v>
      </c>
      <c r="C3" s="1085"/>
      <c r="D3" s="1085"/>
      <c r="E3" s="1233"/>
    </row>
    <row r="4" spans="1:5" ht="32.25" thickBot="1" x14ac:dyDescent="0.3">
      <c r="A4" s="36" t="s">
        <v>895</v>
      </c>
      <c r="B4" s="1234" t="s">
        <v>915</v>
      </c>
      <c r="C4" s="1088"/>
      <c r="D4" s="1088"/>
      <c r="E4" s="1235"/>
    </row>
    <row r="5" spans="1:5" ht="84.75" customHeight="1" thickBot="1" x14ac:dyDescent="0.3">
      <c r="A5" s="36" t="s">
        <v>914</v>
      </c>
      <c r="B5" s="1236" t="s">
        <v>913</v>
      </c>
      <c r="C5" s="1091"/>
      <c r="D5" s="1091"/>
      <c r="E5" s="1237"/>
    </row>
    <row r="6" spans="1:5" ht="51.75" customHeight="1" thickBot="1" x14ac:dyDescent="0.3">
      <c r="A6" s="36" t="s">
        <v>891</v>
      </c>
      <c r="B6" s="167" t="s">
        <v>912</v>
      </c>
      <c r="C6" s="1093" t="s">
        <v>7</v>
      </c>
      <c r="D6" s="1093"/>
      <c r="E6" s="1238"/>
    </row>
    <row r="7" spans="1:5" ht="117" customHeight="1" thickBot="1" x14ac:dyDescent="0.3">
      <c r="A7" s="36" t="s">
        <v>911</v>
      </c>
      <c r="B7" s="183">
        <v>1120</v>
      </c>
      <c r="C7" s="1225" t="s">
        <v>425</v>
      </c>
      <c r="D7" s="1225"/>
      <c r="E7" s="1226"/>
    </row>
    <row r="8" spans="1:5" ht="111.75" customHeight="1" thickBot="1" x14ac:dyDescent="0.3">
      <c r="A8" s="36" t="s">
        <v>342</v>
      </c>
      <c r="B8" s="183">
        <v>1110</v>
      </c>
      <c r="C8" s="1225" t="s">
        <v>343</v>
      </c>
      <c r="D8" s="1225"/>
      <c r="E8" s="1226"/>
    </row>
    <row r="9" spans="1:5" ht="29.25" thickBot="1" x14ac:dyDescent="0.3">
      <c r="A9" s="105" t="s">
        <v>2</v>
      </c>
      <c r="B9" s="1228" t="s">
        <v>342</v>
      </c>
      <c r="C9" s="1228"/>
      <c r="D9" s="1228"/>
      <c r="E9" s="1228"/>
    </row>
    <row r="10" spans="1:5" ht="16.5" thickBot="1" x14ac:dyDescent="0.3">
      <c r="A10" s="105" t="s">
        <v>3</v>
      </c>
      <c r="B10" s="1229" t="s">
        <v>259</v>
      </c>
      <c r="C10" s="1230"/>
      <c r="D10" s="1230"/>
      <c r="E10" s="1231"/>
    </row>
    <row r="11" spans="1:5" ht="29.25" thickBot="1" x14ac:dyDescent="0.3">
      <c r="A11" s="105" t="s">
        <v>5</v>
      </c>
      <c r="B11" s="1163" t="s">
        <v>6</v>
      </c>
      <c r="C11" s="1164"/>
      <c r="D11" s="1164"/>
      <c r="E11" s="1165"/>
    </row>
    <row r="12" spans="1:5" ht="16.5" thickBot="1" x14ac:dyDescent="0.3">
      <c r="A12" s="1195" t="s">
        <v>7</v>
      </c>
      <c r="B12" s="1196"/>
      <c r="C12" s="1196"/>
      <c r="D12" s="1196"/>
      <c r="E12" s="1197"/>
    </row>
    <row r="13" spans="1:5" ht="16.5" thickBot="1" x14ac:dyDescent="0.3">
      <c r="A13" s="1201" t="s">
        <v>343</v>
      </c>
      <c r="B13" s="1202"/>
      <c r="C13" s="1202"/>
      <c r="D13" s="1202"/>
      <c r="E13" s="1203"/>
    </row>
    <row r="14" spans="1:5" ht="36.75" customHeight="1" thickBot="1" x14ac:dyDescent="0.3">
      <c r="A14" s="1201"/>
      <c r="B14" s="1202"/>
      <c r="C14" s="1202"/>
      <c r="D14" s="1202"/>
      <c r="E14" s="1203"/>
    </row>
    <row r="15" spans="1:5" ht="53.25" customHeight="1" thickBot="1" x14ac:dyDescent="0.3">
      <c r="A15" s="1201"/>
      <c r="B15" s="1202"/>
      <c r="C15" s="1202"/>
      <c r="D15" s="1202"/>
      <c r="E15" s="1203"/>
    </row>
    <row r="16" spans="1:5" ht="97.5" customHeight="1" thickBot="1" x14ac:dyDescent="0.3">
      <c r="A16" s="104" t="s">
        <v>8</v>
      </c>
      <c r="B16" s="1224" t="s">
        <v>344</v>
      </c>
      <c r="C16" s="1177"/>
      <c r="D16" s="1177"/>
      <c r="E16" s="1178"/>
    </row>
    <row r="17" spans="1:8" ht="23.25" customHeight="1" x14ac:dyDescent="0.25">
      <c r="A17" s="1144" t="s">
        <v>102</v>
      </c>
      <c r="B17" s="103">
        <v>2018</v>
      </c>
      <c r="C17" s="103">
        <v>2019</v>
      </c>
      <c r="D17" s="103">
        <v>2020</v>
      </c>
      <c r="E17" s="103">
        <v>2021</v>
      </c>
    </row>
    <row r="18" spans="1:8" ht="16.5" thickBot="1" x14ac:dyDescent="0.3">
      <c r="A18" s="1145"/>
      <c r="B18" s="149" t="s">
        <v>10</v>
      </c>
      <c r="C18" s="149" t="s">
        <v>11</v>
      </c>
      <c r="D18" s="149" t="s">
        <v>11</v>
      </c>
      <c r="E18" s="149" t="s">
        <v>11</v>
      </c>
    </row>
    <row r="19" spans="1:8" ht="16.5" thickBot="1" x14ac:dyDescent="0.3">
      <c r="A19" s="148" t="s">
        <v>536</v>
      </c>
      <c r="B19" s="96"/>
      <c r="C19" s="96"/>
      <c r="D19" s="96"/>
      <c r="E19" s="96"/>
    </row>
    <row r="20" spans="1:8" ht="16.5" thickBot="1" x14ac:dyDescent="0.3">
      <c r="A20" s="93" t="s">
        <v>345</v>
      </c>
      <c r="B20" s="96"/>
      <c r="C20" s="96"/>
      <c r="D20" s="96"/>
      <c r="E20" s="96"/>
    </row>
    <row r="21" spans="1:8" ht="16.5" thickBot="1" x14ac:dyDescent="0.3">
      <c r="A21" s="93" t="s">
        <v>346</v>
      </c>
      <c r="B21" s="96"/>
      <c r="C21" s="96"/>
      <c r="D21" s="96"/>
      <c r="E21" s="96"/>
    </row>
    <row r="22" spans="1:8" ht="30.75" thickBot="1" x14ac:dyDescent="0.3">
      <c r="A22" s="93" t="s">
        <v>537</v>
      </c>
      <c r="B22" s="96"/>
      <c r="C22" s="96"/>
      <c r="D22" s="96"/>
      <c r="E22" s="96"/>
    </row>
    <row r="23" spans="1:8" ht="16.5" thickBot="1" x14ac:dyDescent="0.3">
      <c r="A23" s="93" t="s">
        <v>347</v>
      </c>
      <c r="B23" s="96"/>
      <c r="C23" s="96"/>
      <c r="D23" s="96"/>
      <c r="E23" s="96"/>
    </row>
    <row r="24" spans="1:8" ht="29.25" thickBot="1" x14ac:dyDescent="0.3">
      <c r="A24" s="97" t="s">
        <v>12</v>
      </c>
      <c r="B24" s="1210" t="s">
        <v>348</v>
      </c>
      <c r="C24" s="1211"/>
      <c r="D24" s="1211"/>
      <c r="E24" s="1212"/>
    </row>
    <row r="25" spans="1:8" ht="23.25" customHeight="1" thickBot="1" x14ac:dyDescent="0.3">
      <c r="A25" s="1160" t="s">
        <v>103</v>
      </c>
      <c r="B25" s="1161"/>
      <c r="C25" s="1161"/>
      <c r="D25" s="1161"/>
      <c r="E25" s="1162"/>
      <c r="F25" s="182"/>
      <c r="H25" s="182"/>
    </row>
    <row r="26" spans="1:8" ht="16.5" thickBot="1" x14ac:dyDescent="0.3">
      <c r="A26" s="148" t="s">
        <v>349</v>
      </c>
      <c r="B26" s="96"/>
      <c r="C26" s="96"/>
      <c r="D26" s="96"/>
      <c r="E26" s="96"/>
    </row>
    <row r="27" spans="1:8" ht="30.75" thickBot="1" x14ac:dyDescent="0.3">
      <c r="A27" s="93" t="s">
        <v>350</v>
      </c>
      <c r="B27" s="96"/>
      <c r="C27" s="96"/>
      <c r="D27" s="96"/>
      <c r="E27" s="96"/>
    </row>
    <row r="28" spans="1:8" ht="60.75" thickBot="1" x14ac:dyDescent="0.3">
      <c r="A28" s="93" t="s">
        <v>351</v>
      </c>
      <c r="B28" s="96"/>
      <c r="C28" s="96"/>
      <c r="D28" s="96"/>
      <c r="E28" s="96"/>
    </row>
    <row r="29" spans="1:8" ht="16.5" thickBot="1" x14ac:dyDescent="0.3">
      <c r="A29" s="1169" t="s">
        <v>14</v>
      </c>
      <c r="B29" s="1170"/>
      <c r="C29" s="1170"/>
      <c r="D29" s="1170"/>
      <c r="E29" s="1171"/>
    </row>
    <row r="30" spans="1:8" ht="16.5" thickBot="1" x14ac:dyDescent="0.3">
      <c r="A30" s="1169" t="s">
        <v>104</v>
      </c>
      <c r="B30" s="1170"/>
      <c r="C30" s="1170"/>
      <c r="D30" s="1170"/>
      <c r="E30" s="1171"/>
    </row>
    <row r="31" spans="1:8" ht="16.5" thickBot="1" x14ac:dyDescent="0.3">
      <c r="A31" s="95" t="s">
        <v>105</v>
      </c>
      <c r="B31" s="1169" t="s">
        <v>352</v>
      </c>
      <c r="C31" s="1170"/>
      <c r="D31" s="1170"/>
      <c r="E31" s="1171"/>
    </row>
    <row r="32" spans="1:8" ht="102" customHeight="1" thickBot="1" x14ac:dyDescent="0.3">
      <c r="A32" s="93" t="s">
        <v>17</v>
      </c>
      <c r="B32" s="1185" t="s">
        <v>910</v>
      </c>
      <c r="C32" s="1186"/>
      <c r="D32" s="1186"/>
      <c r="E32" s="1187"/>
    </row>
    <row r="33" spans="1:9" ht="20.45" customHeight="1" thickBot="1" x14ac:dyDescent="0.3">
      <c r="A33" s="93" t="s">
        <v>18</v>
      </c>
      <c r="B33" s="1188" t="s">
        <v>353</v>
      </c>
      <c r="C33" s="1189"/>
      <c r="D33" s="1189"/>
      <c r="E33" s="1190"/>
    </row>
    <row r="34" spans="1:9" ht="12.75" customHeight="1" x14ac:dyDescent="0.25">
      <c r="A34" s="1144"/>
      <c r="B34" s="91">
        <v>2018</v>
      </c>
      <c r="C34" s="91">
        <v>2019</v>
      </c>
      <c r="D34" s="91">
        <v>2020</v>
      </c>
      <c r="E34" s="91">
        <v>2021</v>
      </c>
    </row>
    <row r="35" spans="1:9" ht="27.75" customHeight="1" thickBot="1" x14ac:dyDescent="0.3">
      <c r="A35" s="1145"/>
      <c r="B35" s="90" t="s">
        <v>10</v>
      </c>
      <c r="C35" s="90" t="s">
        <v>11</v>
      </c>
      <c r="D35" s="90" t="s">
        <v>11</v>
      </c>
      <c r="E35" s="90" t="s">
        <v>11</v>
      </c>
    </row>
    <row r="36" spans="1:9" ht="16.5" thickBot="1" x14ac:dyDescent="0.3">
      <c r="A36" s="93" t="s">
        <v>19</v>
      </c>
      <c r="B36" s="94">
        <v>5</v>
      </c>
      <c r="C36" s="94">
        <v>5</v>
      </c>
      <c r="D36" s="94">
        <v>5</v>
      </c>
      <c r="E36" s="94">
        <v>5</v>
      </c>
    </row>
    <row r="37" spans="1:9" ht="16.5" thickBot="1" x14ac:dyDescent="0.3">
      <c r="A37" s="93" t="s">
        <v>20</v>
      </c>
      <c r="B37" s="94">
        <v>17395</v>
      </c>
      <c r="C37" s="94">
        <v>17410</v>
      </c>
      <c r="D37" s="94">
        <v>17410</v>
      </c>
      <c r="E37" s="94">
        <v>17410</v>
      </c>
    </row>
    <row r="38" spans="1:9" ht="16.5" thickBot="1" x14ac:dyDescent="0.3">
      <c r="A38" s="93" t="s">
        <v>21</v>
      </c>
      <c r="B38" s="94">
        <f>B37/B36</f>
        <v>3479</v>
      </c>
      <c r="C38" s="94">
        <f>C37/C36</f>
        <v>3482</v>
      </c>
      <c r="D38" s="94">
        <f>D37/D36</f>
        <v>3482</v>
      </c>
      <c r="E38" s="94">
        <f>E37/E36</f>
        <v>3482</v>
      </c>
    </row>
    <row r="39" spans="1:9" ht="16.5" thickBot="1" x14ac:dyDescent="0.3">
      <c r="A39" s="93" t="s">
        <v>22</v>
      </c>
      <c r="B39" s="147" t="s">
        <v>23</v>
      </c>
      <c r="C39" s="92">
        <f t="shared" ref="C39:E41" si="0">C36/B36-1</f>
        <v>0</v>
      </c>
      <c r="D39" s="92">
        <f t="shared" si="0"/>
        <v>0</v>
      </c>
      <c r="E39" s="92">
        <f t="shared" si="0"/>
        <v>0</v>
      </c>
      <c r="F39" s="179"/>
      <c r="G39" s="179"/>
      <c r="H39" s="179"/>
      <c r="I39" s="179"/>
    </row>
    <row r="40" spans="1:9" ht="16.5" thickBot="1" x14ac:dyDescent="0.3">
      <c r="A40" s="93" t="s">
        <v>24</v>
      </c>
      <c r="B40" s="147" t="s">
        <v>23</v>
      </c>
      <c r="C40" s="92">
        <f t="shared" si="0"/>
        <v>8.6231675768888572E-4</v>
      </c>
      <c r="D40" s="92">
        <f t="shared" si="0"/>
        <v>0</v>
      </c>
      <c r="E40" s="92">
        <f t="shared" si="0"/>
        <v>0</v>
      </c>
    </row>
    <row r="41" spans="1:9" ht="30.75" thickBot="1" x14ac:dyDescent="0.3">
      <c r="A41" s="93" t="s">
        <v>25</v>
      </c>
      <c r="B41" s="147" t="s">
        <v>23</v>
      </c>
      <c r="C41" s="92">
        <f t="shared" si="0"/>
        <v>8.6231675768888572E-4</v>
      </c>
      <c r="D41" s="92">
        <f t="shared" si="0"/>
        <v>0</v>
      </c>
      <c r="E41" s="92">
        <f t="shared" si="0"/>
        <v>0</v>
      </c>
    </row>
    <row r="42" spans="1:9" ht="16.5" thickBot="1" x14ac:dyDescent="0.3">
      <c r="A42" s="1146" t="s">
        <v>394</v>
      </c>
      <c r="B42" s="1147"/>
      <c r="C42" s="1147"/>
      <c r="D42" s="1147"/>
      <c r="E42" s="1148"/>
    </row>
    <row r="43" spans="1:9" ht="12.75" customHeight="1" x14ac:dyDescent="0.25">
      <c r="A43" s="1144"/>
      <c r="B43" s="91">
        <v>2018</v>
      </c>
      <c r="C43" s="91">
        <v>2019</v>
      </c>
      <c r="D43" s="91">
        <v>2020</v>
      </c>
      <c r="E43" s="91">
        <v>2021</v>
      </c>
    </row>
    <row r="44" spans="1:9" ht="23.25" customHeight="1" thickBot="1" x14ac:dyDescent="0.3">
      <c r="A44" s="1145"/>
      <c r="B44" s="90" t="s">
        <v>10</v>
      </c>
      <c r="C44" s="90" t="s">
        <v>11</v>
      </c>
      <c r="D44" s="90" t="s">
        <v>11</v>
      </c>
      <c r="E44" s="90" t="s">
        <v>11</v>
      </c>
    </row>
    <row r="45" spans="1:9" ht="16.5" thickBot="1" x14ac:dyDescent="0.3">
      <c r="A45" s="79" t="s">
        <v>26</v>
      </c>
      <c r="B45" s="72">
        <v>10560</v>
      </c>
      <c r="C45" s="72">
        <v>10560</v>
      </c>
      <c r="D45" s="72">
        <v>10560</v>
      </c>
      <c r="E45" s="72">
        <v>10560</v>
      </c>
    </row>
    <row r="46" spans="1:9" ht="30.75" thickBot="1" x14ac:dyDescent="0.3">
      <c r="A46" s="79" t="s">
        <v>28</v>
      </c>
      <c r="B46" s="72">
        <v>1650</v>
      </c>
      <c r="C46" s="72">
        <v>1670</v>
      </c>
      <c r="D46" s="72">
        <v>1670</v>
      </c>
      <c r="E46" s="72">
        <v>1670</v>
      </c>
    </row>
    <row r="47" spans="1:9" ht="16.5" thickBot="1" x14ac:dyDescent="0.3">
      <c r="A47" s="79" t="s">
        <v>30</v>
      </c>
      <c r="B47" s="94">
        <v>5185</v>
      </c>
      <c r="C47" s="94">
        <v>5180</v>
      </c>
      <c r="D47" s="94">
        <v>5180</v>
      </c>
      <c r="E47" s="94">
        <v>5180</v>
      </c>
    </row>
    <row r="48" spans="1:9" ht="16.5" thickBot="1" x14ac:dyDescent="0.3">
      <c r="A48" s="79" t="s">
        <v>32</v>
      </c>
      <c r="B48" s="77">
        <v>0</v>
      </c>
      <c r="C48" s="77">
        <v>0</v>
      </c>
      <c r="D48" s="77">
        <v>0</v>
      </c>
      <c r="E48" s="77">
        <v>0</v>
      </c>
    </row>
    <row r="49" spans="1:5" ht="16.5" thickBot="1" x14ac:dyDescent="0.3">
      <c r="A49" s="79" t="s">
        <v>34</v>
      </c>
      <c r="B49" s="77">
        <v>0</v>
      </c>
      <c r="C49" s="77">
        <v>0</v>
      </c>
      <c r="D49" s="77">
        <v>0</v>
      </c>
      <c r="E49" s="77">
        <v>0</v>
      </c>
    </row>
    <row r="50" spans="1:5" ht="16.5" thickBot="1" x14ac:dyDescent="0.3">
      <c r="A50" s="79" t="s">
        <v>36</v>
      </c>
      <c r="B50" s="77">
        <v>0</v>
      </c>
      <c r="C50" s="77">
        <v>0</v>
      </c>
      <c r="D50" s="77">
        <v>0</v>
      </c>
      <c r="E50" s="77">
        <v>0</v>
      </c>
    </row>
    <row r="51" spans="1:5" ht="30.75" thickBot="1" x14ac:dyDescent="0.3">
      <c r="A51" s="79" t="s">
        <v>38</v>
      </c>
      <c r="B51" s="77">
        <v>0</v>
      </c>
      <c r="C51" s="77">
        <v>0</v>
      </c>
      <c r="D51" s="77">
        <v>0</v>
      </c>
      <c r="E51" s="77">
        <v>0</v>
      </c>
    </row>
    <row r="52" spans="1:5" ht="16.5" thickBot="1" x14ac:dyDescent="0.3">
      <c r="A52" s="98" t="s">
        <v>40</v>
      </c>
      <c r="B52" s="77">
        <f>B51+B50+B49+B48+B47+B46+B45</f>
        <v>17395</v>
      </c>
      <c r="C52" s="77">
        <f>C51+C50+C49+C48+C47+C46+C45</f>
        <v>17410</v>
      </c>
      <c r="D52" s="77">
        <f>D51+D50+D49+D48+D47+D46+D45</f>
        <v>17410</v>
      </c>
      <c r="E52" s="77">
        <f>E51+E50+E49+E48+E47+E46+E45</f>
        <v>17410</v>
      </c>
    </row>
    <row r="53" spans="1:5" ht="16.5" thickBot="1" x14ac:dyDescent="0.3">
      <c r="A53" s="75" t="s">
        <v>41</v>
      </c>
      <c r="B53" s="74">
        <f>IF(B52-B37=0,0,"Error")</f>
        <v>0</v>
      </c>
      <c r="C53" s="74">
        <f>IF(C52-C37=0,0,"Error")</f>
        <v>0</v>
      </c>
      <c r="D53" s="74">
        <f>IF(D52-D37=0,0,"Error")</f>
        <v>0</v>
      </c>
      <c r="E53" s="74">
        <f>IF(E52-E37=0,0,"Error")</f>
        <v>0</v>
      </c>
    </row>
    <row r="54" spans="1:5" ht="16.5" thickBot="1" x14ac:dyDescent="0.3">
      <c r="A54" s="101" t="s">
        <v>42</v>
      </c>
      <c r="B54" s="1169" t="s">
        <v>354</v>
      </c>
      <c r="C54" s="1170"/>
      <c r="D54" s="1170"/>
      <c r="E54" s="1171"/>
    </row>
    <row r="55" spans="1:5" ht="73.900000000000006" customHeight="1" thickBot="1" x14ac:dyDescent="0.3">
      <c r="A55" s="93" t="s">
        <v>17</v>
      </c>
      <c r="B55" s="1185" t="s">
        <v>355</v>
      </c>
      <c r="C55" s="1186"/>
      <c r="D55" s="1186"/>
      <c r="E55" s="1187"/>
    </row>
    <row r="56" spans="1:5" ht="16.5" thickBot="1" x14ac:dyDescent="0.3">
      <c r="A56" s="93" t="s">
        <v>18</v>
      </c>
      <c r="B56" s="1221" t="s">
        <v>909</v>
      </c>
      <c r="C56" s="1222"/>
      <c r="D56" s="1222"/>
      <c r="E56" s="1223"/>
    </row>
    <row r="57" spans="1:5" ht="16.5" thickBot="1" x14ac:dyDescent="0.3">
      <c r="A57" s="93" t="s">
        <v>19</v>
      </c>
      <c r="B57" s="94">
        <v>4</v>
      </c>
      <c r="C57" s="94">
        <v>4</v>
      </c>
      <c r="D57" s="94">
        <v>4</v>
      </c>
      <c r="E57" s="94">
        <v>4</v>
      </c>
    </row>
    <row r="58" spans="1:5" ht="12.75" customHeight="1" x14ac:dyDescent="0.25">
      <c r="A58" s="1144"/>
      <c r="B58" s="91">
        <v>2018</v>
      </c>
      <c r="C58" s="91">
        <v>2019</v>
      </c>
      <c r="D58" s="91">
        <v>2020</v>
      </c>
      <c r="E58" s="91">
        <v>2021</v>
      </c>
    </row>
    <row r="59" spans="1:5" ht="13.15" customHeight="1" thickBot="1" x14ac:dyDescent="0.3">
      <c r="A59" s="1145"/>
      <c r="B59" s="90" t="s">
        <v>10</v>
      </c>
      <c r="C59" s="90" t="s">
        <v>11</v>
      </c>
      <c r="D59" s="90" t="s">
        <v>11</v>
      </c>
      <c r="E59" s="90" t="s">
        <v>11</v>
      </c>
    </row>
    <row r="60" spans="1:5" ht="16.5" thickBot="1" x14ac:dyDescent="0.3">
      <c r="A60" s="93" t="s">
        <v>20</v>
      </c>
      <c r="B60" s="94">
        <v>13700</v>
      </c>
      <c r="C60" s="94">
        <v>14101</v>
      </c>
      <c r="D60" s="94">
        <v>14201</v>
      </c>
      <c r="E60" s="94">
        <v>14201</v>
      </c>
    </row>
    <row r="61" spans="1:5" ht="16.5" thickBot="1" x14ac:dyDescent="0.3">
      <c r="A61" s="93" t="s">
        <v>21</v>
      </c>
      <c r="B61" s="94">
        <f>B60/B57</f>
        <v>3425</v>
      </c>
      <c r="C61" s="94">
        <f>C60/C57</f>
        <v>3525.25</v>
      </c>
      <c r="D61" s="94">
        <f>D60/D57</f>
        <v>3550.25</v>
      </c>
      <c r="E61" s="94">
        <f>E60/E57</f>
        <v>3550.25</v>
      </c>
    </row>
    <row r="62" spans="1:5" ht="16.5" thickBot="1" x14ac:dyDescent="0.3">
      <c r="A62" s="93" t="s">
        <v>22</v>
      </c>
      <c r="B62" s="147"/>
      <c r="C62" s="92">
        <f>C57/B57-1</f>
        <v>0</v>
      </c>
      <c r="D62" s="92">
        <f>D57/C57-1</f>
        <v>0</v>
      </c>
      <c r="E62" s="92">
        <f>E57/D57-1</f>
        <v>0</v>
      </c>
    </row>
    <row r="63" spans="1:5" ht="16.5" thickBot="1" x14ac:dyDescent="0.3">
      <c r="A63" s="93" t="s">
        <v>24</v>
      </c>
      <c r="B63" s="147"/>
      <c r="C63" s="92">
        <f t="shared" ref="C63:E64" si="1">C60/B60-1</f>
        <v>2.927007299270068E-2</v>
      </c>
      <c r="D63" s="92">
        <f t="shared" si="1"/>
        <v>7.0916956244237994E-3</v>
      </c>
      <c r="E63" s="92">
        <f t="shared" si="1"/>
        <v>0</v>
      </c>
    </row>
    <row r="64" spans="1:5" ht="30.75" thickBot="1" x14ac:dyDescent="0.3">
      <c r="A64" s="93" t="s">
        <v>25</v>
      </c>
      <c r="B64" s="147"/>
      <c r="C64" s="92">
        <f t="shared" si="1"/>
        <v>2.927007299270068E-2</v>
      </c>
      <c r="D64" s="92">
        <f t="shared" si="1"/>
        <v>7.0916956244237994E-3</v>
      </c>
      <c r="E64" s="92">
        <f t="shared" si="1"/>
        <v>0</v>
      </c>
    </row>
    <row r="65" spans="1:5" ht="24.75" customHeight="1" thickBot="1" x14ac:dyDescent="0.3">
      <c r="A65" s="1146" t="s">
        <v>533</v>
      </c>
      <c r="B65" s="1147"/>
      <c r="C65" s="1147"/>
      <c r="D65" s="1147"/>
      <c r="E65" s="1148"/>
    </row>
    <row r="66" spans="1:5" ht="12.75" customHeight="1" x14ac:dyDescent="0.25">
      <c r="A66" s="1144"/>
      <c r="B66" s="91">
        <v>2018</v>
      </c>
      <c r="C66" s="91">
        <v>2019</v>
      </c>
      <c r="D66" s="91">
        <v>2020</v>
      </c>
      <c r="E66" s="91">
        <v>2021</v>
      </c>
    </row>
    <row r="67" spans="1:5" ht="22.5" customHeight="1" thickBot="1" x14ac:dyDescent="0.3">
      <c r="A67" s="1145"/>
      <c r="B67" s="90" t="s">
        <v>10</v>
      </c>
      <c r="C67" s="90" t="s">
        <v>11</v>
      </c>
      <c r="D67" s="90" t="s">
        <v>11</v>
      </c>
      <c r="E67" s="90" t="s">
        <v>11</v>
      </c>
    </row>
    <row r="68" spans="1:5" ht="24.75" customHeight="1" thickBot="1" x14ac:dyDescent="0.3">
      <c r="A68" s="79" t="s">
        <v>26</v>
      </c>
      <c r="B68" s="72">
        <v>11800</v>
      </c>
      <c r="C68" s="72">
        <v>12000</v>
      </c>
      <c r="D68" s="72">
        <v>12100</v>
      </c>
      <c r="E68" s="72">
        <v>12100</v>
      </c>
    </row>
    <row r="69" spans="1:5" ht="24.75" customHeight="1" thickBot="1" x14ac:dyDescent="0.3">
      <c r="A69" s="79" t="s">
        <v>28</v>
      </c>
      <c r="B69" s="72">
        <v>1900</v>
      </c>
      <c r="C69" s="72">
        <v>2004</v>
      </c>
      <c r="D69" s="72">
        <v>2004</v>
      </c>
      <c r="E69" s="72">
        <v>2004</v>
      </c>
    </row>
    <row r="70" spans="1:5" ht="20.25" customHeight="1" thickBot="1" x14ac:dyDescent="0.3">
      <c r="A70" s="79" t="s">
        <v>30</v>
      </c>
      <c r="B70" s="77">
        <v>0</v>
      </c>
      <c r="C70" s="77">
        <v>0</v>
      </c>
      <c r="D70" s="77">
        <v>0</v>
      </c>
      <c r="E70" s="77">
        <v>0</v>
      </c>
    </row>
    <row r="71" spans="1:5" ht="16.5" hidden="1" thickBot="1" x14ac:dyDescent="0.3">
      <c r="A71" s="79" t="s">
        <v>32</v>
      </c>
      <c r="B71" s="77"/>
      <c r="C71" s="72"/>
      <c r="D71" s="72"/>
      <c r="E71" s="72"/>
    </row>
    <row r="72" spans="1:5" ht="16.5" hidden="1" thickBot="1" x14ac:dyDescent="0.3">
      <c r="A72" s="79" t="s">
        <v>34</v>
      </c>
      <c r="B72" s="77"/>
      <c r="C72" s="72"/>
      <c r="D72" s="72"/>
      <c r="E72" s="72"/>
    </row>
    <row r="73" spans="1:5" ht="16.5" thickBot="1" x14ac:dyDescent="0.3">
      <c r="A73" s="79" t="s">
        <v>36</v>
      </c>
      <c r="B73" s="77"/>
      <c r="C73" s="72">
        <v>97</v>
      </c>
      <c r="D73" s="72">
        <v>97</v>
      </c>
      <c r="E73" s="72">
        <v>97</v>
      </c>
    </row>
    <row r="74" spans="1:5" ht="30.75" hidden="1" thickBot="1" x14ac:dyDescent="0.3">
      <c r="A74" s="79" t="s">
        <v>38</v>
      </c>
      <c r="B74" s="77"/>
      <c r="C74" s="72"/>
      <c r="D74" s="72"/>
      <c r="E74" s="72"/>
    </row>
    <row r="75" spans="1:5" ht="16.5" thickBot="1" x14ac:dyDescent="0.3">
      <c r="A75" s="123" t="s">
        <v>43</v>
      </c>
      <c r="B75" s="77">
        <f>B74+B73+B72+B71+B70+B69+B68</f>
        <v>13700</v>
      </c>
      <c r="C75" s="77">
        <f>C74+C73+C72+C71+C70+C69+C68</f>
        <v>14101</v>
      </c>
      <c r="D75" s="77">
        <f>D74+D73+D72+D71+D70+D69+D68</f>
        <v>14201</v>
      </c>
      <c r="E75" s="77">
        <f>E74+E73+E72+E71+E70+E69+E68</f>
        <v>14201</v>
      </c>
    </row>
    <row r="76" spans="1:5" ht="17.25" customHeight="1" thickBot="1" x14ac:dyDescent="0.3">
      <c r="A76" s="75" t="s">
        <v>41</v>
      </c>
      <c r="B76" s="74">
        <f>IF(B75-B60=0,0,"Error")</f>
        <v>0</v>
      </c>
      <c r="C76" s="74">
        <f>IF(C75-C60=0,0,"Error")</f>
        <v>0</v>
      </c>
      <c r="D76" s="74">
        <f>IF(D75-D60=0,0,"Error")</f>
        <v>0</v>
      </c>
      <c r="E76" s="74">
        <f>IF(E75-E60=0,0,"Error")</f>
        <v>0</v>
      </c>
    </row>
    <row r="77" spans="1:5" s="181" customFormat="1" ht="34.5" customHeight="1" thickBot="1" x14ac:dyDescent="0.3">
      <c r="A77" s="95" t="s">
        <v>44</v>
      </c>
      <c r="B77" s="1146" t="s">
        <v>908</v>
      </c>
      <c r="C77" s="1147"/>
      <c r="D77" s="1147"/>
      <c r="E77" s="1148"/>
    </row>
    <row r="78" spans="1:5" s="181" customFormat="1" ht="33.6" customHeight="1" thickBot="1" x14ac:dyDescent="0.3">
      <c r="A78" s="93" t="s">
        <v>17</v>
      </c>
      <c r="B78" s="1185" t="s">
        <v>907</v>
      </c>
      <c r="C78" s="1186"/>
      <c r="D78" s="1186"/>
      <c r="E78" s="1187"/>
    </row>
    <row r="79" spans="1:5" s="181" customFormat="1" ht="17.25" customHeight="1" thickBot="1" x14ac:dyDescent="0.3">
      <c r="A79" s="93" t="s">
        <v>18</v>
      </c>
      <c r="B79" s="1188" t="s">
        <v>906</v>
      </c>
      <c r="C79" s="1219"/>
      <c r="D79" s="1219"/>
      <c r="E79" s="1220"/>
    </row>
    <row r="80" spans="1:5" s="181" customFormat="1" ht="17.25" customHeight="1" x14ac:dyDescent="0.25">
      <c r="A80" s="1144"/>
      <c r="B80" s="91">
        <v>2018</v>
      </c>
      <c r="C80" s="91">
        <v>2019</v>
      </c>
      <c r="D80" s="91">
        <v>2020</v>
      </c>
      <c r="E80" s="91">
        <v>2021</v>
      </c>
    </row>
    <row r="81" spans="1:5" s="181" customFormat="1" ht="17.25" customHeight="1" thickBot="1" x14ac:dyDescent="0.3">
      <c r="A81" s="1145"/>
      <c r="B81" s="90" t="s">
        <v>10</v>
      </c>
      <c r="C81" s="90" t="s">
        <v>11</v>
      </c>
      <c r="D81" s="90" t="s">
        <v>11</v>
      </c>
      <c r="E81" s="90" t="s">
        <v>11</v>
      </c>
    </row>
    <row r="82" spans="1:5" s="181" customFormat="1" ht="17.25" customHeight="1" thickBot="1" x14ac:dyDescent="0.3">
      <c r="A82" s="93" t="s">
        <v>19</v>
      </c>
      <c r="B82" s="94">
        <v>5</v>
      </c>
      <c r="C82" s="94">
        <v>5</v>
      </c>
      <c r="D82" s="94">
        <v>5</v>
      </c>
      <c r="E82" s="94">
        <v>5</v>
      </c>
    </row>
    <row r="83" spans="1:5" s="181" customFormat="1" ht="17.25" customHeight="1" thickBot="1" x14ac:dyDescent="0.3">
      <c r="A83" s="93" t="s">
        <v>20</v>
      </c>
      <c r="B83" s="94">
        <v>30208</v>
      </c>
      <c r="C83" s="94">
        <v>29340</v>
      </c>
      <c r="D83" s="94">
        <v>29540</v>
      </c>
      <c r="E83" s="94">
        <v>29540</v>
      </c>
    </row>
    <row r="84" spans="1:5" s="181" customFormat="1" ht="24.75" customHeight="1" thickBot="1" x14ac:dyDescent="0.3">
      <c r="A84" s="93" t="s">
        <v>21</v>
      </c>
      <c r="B84" s="94">
        <f>B83/B82</f>
        <v>6041.6</v>
      </c>
      <c r="C84" s="94">
        <f>C83/C82</f>
        <v>5868</v>
      </c>
      <c r="D84" s="94">
        <f>D83/D82</f>
        <v>5908</v>
      </c>
      <c r="E84" s="94">
        <f>E83/E82</f>
        <v>5908</v>
      </c>
    </row>
    <row r="85" spans="1:5" s="181" customFormat="1" ht="24" customHeight="1" thickBot="1" x14ac:dyDescent="0.3">
      <c r="A85" s="93" t="s">
        <v>22</v>
      </c>
      <c r="B85" s="147" t="s">
        <v>23</v>
      </c>
      <c r="C85" s="92">
        <f t="shared" ref="C85:E87" si="2">C82/B82-1</f>
        <v>0</v>
      </c>
      <c r="D85" s="92">
        <f t="shared" si="2"/>
        <v>0</v>
      </c>
      <c r="E85" s="92">
        <f t="shared" si="2"/>
        <v>0</v>
      </c>
    </row>
    <row r="86" spans="1:5" s="181" customFormat="1" ht="25.5" customHeight="1" thickBot="1" x14ac:dyDescent="0.3">
      <c r="A86" s="93" t="s">
        <v>24</v>
      </c>
      <c r="B86" s="147" t="s">
        <v>23</v>
      </c>
      <c r="C86" s="92">
        <f t="shared" si="2"/>
        <v>-2.8734110169491567E-2</v>
      </c>
      <c r="D86" s="92">
        <f t="shared" si="2"/>
        <v>6.8166325835037345E-3</v>
      </c>
      <c r="E86" s="92">
        <f t="shared" si="2"/>
        <v>0</v>
      </c>
    </row>
    <row r="87" spans="1:5" s="181" customFormat="1" ht="27.75" customHeight="1" thickBot="1" x14ac:dyDescent="0.3">
      <c r="A87" s="93" t="s">
        <v>25</v>
      </c>
      <c r="B87" s="147" t="s">
        <v>23</v>
      </c>
      <c r="C87" s="92">
        <f t="shared" si="2"/>
        <v>-2.8734110169491567E-2</v>
      </c>
      <c r="D87" s="92">
        <f t="shared" si="2"/>
        <v>6.8166325835037345E-3</v>
      </c>
      <c r="E87" s="92">
        <f t="shared" si="2"/>
        <v>0</v>
      </c>
    </row>
    <row r="88" spans="1:5" s="181" customFormat="1" ht="17.25" customHeight="1" thickBot="1" x14ac:dyDescent="0.3">
      <c r="A88" s="1146" t="s">
        <v>534</v>
      </c>
      <c r="B88" s="1147"/>
      <c r="C88" s="1147"/>
      <c r="D88" s="1147"/>
      <c r="E88" s="1148"/>
    </row>
    <row r="89" spans="1:5" s="181" customFormat="1" ht="17.25" customHeight="1" x14ac:dyDescent="0.25">
      <c r="A89" s="1144"/>
      <c r="B89" s="91">
        <v>2018</v>
      </c>
      <c r="C89" s="91">
        <v>2019</v>
      </c>
      <c r="D89" s="91">
        <v>2020</v>
      </c>
      <c r="E89" s="91">
        <v>2021</v>
      </c>
    </row>
    <row r="90" spans="1:5" s="181" customFormat="1" ht="17.25" customHeight="1" thickBot="1" x14ac:dyDescent="0.3">
      <c r="A90" s="1145"/>
      <c r="B90" s="90" t="s">
        <v>10</v>
      </c>
      <c r="C90" s="90" t="s">
        <v>11</v>
      </c>
      <c r="D90" s="90" t="s">
        <v>11</v>
      </c>
      <c r="E90" s="90" t="s">
        <v>11</v>
      </c>
    </row>
    <row r="91" spans="1:5" s="181" customFormat="1" ht="17.25" customHeight="1" thickBot="1" x14ac:dyDescent="0.3">
      <c r="A91" s="79" t="s">
        <v>26</v>
      </c>
      <c r="B91" s="72">
        <v>24600</v>
      </c>
      <c r="C91" s="72">
        <v>24600</v>
      </c>
      <c r="D91" s="72">
        <v>24800</v>
      </c>
      <c r="E91" s="72">
        <v>24800</v>
      </c>
    </row>
    <row r="92" spans="1:5" s="181" customFormat="1" ht="32.25" customHeight="1" thickBot="1" x14ac:dyDescent="0.3">
      <c r="A92" s="79" t="s">
        <v>28</v>
      </c>
      <c r="B92" s="72">
        <v>4108</v>
      </c>
      <c r="C92" s="72">
        <v>4110</v>
      </c>
      <c r="D92" s="72">
        <v>4110</v>
      </c>
      <c r="E92" s="72">
        <v>4110</v>
      </c>
    </row>
    <row r="93" spans="1:5" s="181" customFormat="1" ht="26.25" customHeight="1" thickBot="1" x14ac:dyDescent="0.3">
      <c r="A93" s="79" t="s">
        <v>30</v>
      </c>
      <c r="B93" s="77">
        <v>1500</v>
      </c>
      <c r="C93" s="72">
        <v>630</v>
      </c>
      <c r="D93" s="72">
        <v>630</v>
      </c>
      <c r="E93" s="72">
        <v>630</v>
      </c>
    </row>
    <row r="94" spans="1:5" s="181" customFormat="1" ht="17.25" hidden="1" customHeight="1" x14ac:dyDescent="0.25">
      <c r="A94" s="79" t="s">
        <v>32</v>
      </c>
      <c r="B94" s="77">
        <v>0</v>
      </c>
      <c r="C94" s="77">
        <v>0</v>
      </c>
      <c r="D94" s="77">
        <v>0</v>
      </c>
      <c r="E94" s="77">
        <v>0</v>
      </c>
    </row>
    <row r="95" spans="1:5" s="181" customFormat="1" ht="17.25" hidden="1" customHeight="1" x14ac:dyDescent="0.25">
      <c r="A95" s="79" t="s">
        <v>34</v>
      </c>
      <c r="B95" s="77">
        <v>0</v>
      </c>
      <c r="C95" s="77">
        <v>0</v>
      </c>
      <c r="D95" s="77">
        <v>0</v>
      </c>
      <c r="E95" s="77">
        <v>0</v>
      </c>
    </row>
    <row r="96" spans="1:5" s="181" customFormat="1" ht="17.25" hidden="1" customHeight="1" x14ac:dyDescent="0.25">
      <c r="A96" s="79" t="s">
        <v>36</v>
      </c>
      <c r="B96" s="77">
        <v>0</v>
      </c>
      <c r="C96" s="77">
        <v>0</v>
      </c>
      <c r="D96" s="77">
        <v>0</v>
      </c>
      <c r="E96" s="77">
        <v>0</v>
      </c>
    </row>
    <row r="97" spans="1:9" s="181" customFormat="1" ht="22.5" hidden="1" customHeight="1" thickBot="1" x14ac:dyDescent="0.3">
      <c r="A97" s="79" t="s">
        <v>38</v>
      </c>
      <c r="B97" s="77">
        <v>0</v>
      </c>
      <c r="C97" s="77">
        <v>0</v>
      </c>
      <c r="D97" s="77">
        <v>0</v>
      </c>
      <c r="E97" s="77">
        <v>0</v>
      </c>
    </row>
    <row r="98" spans="1:9" s="181" customFormat="1" ht="26.25" customHeight="1" thickBot="1" x14ac:dyDescent="0.3">
      <c r="A98" s="98" t="s">
        <v>52</v>
      </c>
      <c r="B98" s="77">
        <f>B97+B96+B95+B94+B93+B92+B91</f>
        <v>30208</v>
      </c>
      <c r="C98" s="77">
        <f>C97+C96+C95+C94+C93+C92+C91</f>
        <v>29340</v>
      </c>
      <c r="D98" s="77">
        <f>D97+D96+D95+D94+D93+D92+D91</f>
        <v>29540</v>
      </c>
      <c r="E98" s="77">
        <f>E97+E96+E95+E94+E93+E92+E91</f>
        <v>29540</v>
      </c>
    </row>
    <row r="99" spans="1:9" s="181" customFormat="1" ht="17.25" customHeight="1" thickBot="1" x14ac:dyDescent="0.3">
      <c r="A99" s="75" t="s">
        <v>41</v>
      </c>
      <c r="B99" s="74">
        <f>IF(B98-B83=0,0,"Error")</f>
        <v>0</v>
      </c>
      <c r="C99" s="74">
        <f>IF(C98-C83=0,0,"Error")</f>
        <v>0</v>
      </c>
      <c r="D99" s="74">
        <f>IF(D98-D83=0,0,"Error")</f>
        <v>0</v>
      </c>
      <c r="E99" s="74">
        <f>IF(E98-E83=0,0,"Error")</f>
        <v>0</v>
      </c>
    </row>
    <row r="100" spans="1:9" s="181" customFormat="1" ht="17.25" customHeight="1" thickBot="1" x14ac:dyDescent="0.3">
      <c r="A100" s="124"/>
      <c r="B100" s="125"/>
      <c r="C100" s="125"/>
      <c r="D100" s="125"/>
      <c r="E100" s="126"/>
    </row>
    <row r="101" spans="1:9" ht="16.5" thickBot="1" x14ac:dyDescent="0.3">
      <c r="A101" s="1169" t="s">
        <v>63</v>
      </c>
      <c r="B101" s="1170"/>
      <c r="C101" s="1170"/>
      <c r="D101" s="1170"/>
      <c r="E101" s="1171"/>
    </row>
    <row r="102" spans="1:9" ht="16.5" thickBot="1" x14ac:dyDescent="0.3">
      <c r="A102" s="1169" t="s">
        <v>56</v>
      </c>
      <c r="B102" s="1170"/>
      <c r="C102" s="1170"/>
      <c r="D102" s="1170"/>
      <c r="E102" s="1171"/>
    </row>
    <row r="103" spans="1:9" ht="30.75" thickBot="1" x14ac:dyDescent="0.3">
      <c r="A103" s="99" t="s">
        <v>79</v>
      </c>
      <c r="B103" s="1182" t="s">
        <v>357</v>
      </c>
      <c r="C103" s="1183"/>
      <c r="D103" s="1183"/>
      <c r="E103" s="1184"/>
    </row>
    <row r="104" spans="1:9" ht="16.5" thickBot="1" x14ac:dyDescent="0.3">
      <c r="A104" s="95" t="s">
        <v>16</v>
      </c>
      <c r="B104" s="1169" t="s">
        <v>352</v>
      </c>
      <c r="C104" s="1170"/>
      <c r="D104" s="1170"/>
      <c r="E104" s="1171"/>
    </row>
    <row r="105" spans="1:9" ht="156.75" customHeight="1" thickBot="1" x14ac:dyDescent="0.3">
      <c r="A105" s="93" t="s">
        <v>17</v>
      </c>
      <c r="B105" s="1185" t="s">
        <v>905</v>
      </c>
      <c r="C105" s="1186"/>
      <c r="D105" s="1186"/>
      <c r="E105" s="1187"/>
    </row>
    <row r="106" spans="1:9" ht="16.5" thickBot="1" x14ac:dyDescent="0.3">
      <c r="A106" s="93" t="s">
        <v>18</v>
      </c>
      <c r="B106" s="1172" t="s">
        <v>358</v>
      </c>
      <c r="C106" s="1173"/>
      <c r="D106" s="1173"/>
      <c r="E106" s="1174"/>
    </row>
    <row r="107" spans="1:9" ht="12.75" customHeight="1" x14ac:dyDescent="0.25">
      <c r="A107" s="1144"/>
      <c r="B107" s="91">
        <v>2018</v>
      </c>
      <c r="C107" s="91">
        <v>2019</v>
      </c>
      <c r="D107" s="91">
        <v>2020</v>
      </c>
      <c r="E107" s="91">
        <v>2021</v>
      </c>
    </row>
    <row r="108" spans="1:9" ht="18" customHeight="1" thickBot="1" x14ac:dyDescent="0.3">
      <c r="A108" s="1145"/>
      <c r="B108" s="90" t="s">
        <v>10</v>
      </c>
      <c r="C108" s="90" t="s">
        <v>11</v>
      </c>
      <c r="D108" s="90" t="s">
        <v>11</v>
      </c>
      <c r="E108" s="90" t="s">
        <v>11</v>
      </c>
    </row>
    <row r="109" spans="1:9" ht="16.5" thickBot="1" x14ac:dyDescent="0.3">
      <c r="A109" s="93" t="s">
        <v>19</v>
      </c>
      <c r="B109" s="94">
        <v>3</v>
      </c>
      <c r="C109" s="94">
        <v>0</v>
      </c>
      <c r="D109" s="94">
        <v>0</v>
      </c>
      <c r="E109" s="94">
        <v>0</v>
      </c>
    </row>
    <row r="110" spans="1:9" ht="16.5" thickBot="1" x14ac:dyDescent="0.3">
      <c r="A110" s="93" t="s">
        <v>20</v>
      </c>
      <c r="B110" s="94">
        <v>2300</v>
      </c>
      <c r="C110" s="94">
        <v>0</v>
      </c>
      <c r="D110" s="94">
        <v>0</v>
      </c>
      <c r="E110" s="94">
        <v>0</v>
      </c>
    </row>
    <row r="111" spans="1:9" ht="16.5" thickBot="1" x14ac:dyDescent="0.3">
      <c r="A111" s="93" t="s">
        <v>21</v>
      </c>
      <c r="B111" s="94">
        <f>B110/B109</f>
        <v>766.66666666666663</v>
      </c>
      <c r="C111" s="94" t="e">
        <f>C110/C109</f>
        <v>#DIV/0!</v>
      </c>
      <c r="D111" s="94" t="e">
        <f>D110/D109</f>
        <v>#DIV/0!</v>
      </c>
      <c r="E111" s="94" t="e">
        <f>E110/E109</f>
        <v>#DIV/0!</v>
      </c>
    </row>
    <row r="112" spans="1:9" ht="16.5" thickBot="1" x14ac:dyDescent="0.3">
      <c r="A112" s="93" t="s">
        <v>22</v>
      </c>
      <c r="B112" s="147" t="s">
        <v>23</v>
      </c>
      <c r="C112" s="92">
        <f t="shared" ref="C112:E114" si="3">C109/B109-1</f>
        <v>-1</v>
      </c>
      <c r="D112" s="92" t="e">
        <f t="shared" si="3"/>
        <v>#DIV/0!</v>
      </c>
      <c r="E112" s="92" t="e">
        <f t="shared" si="3"/>
        <v>#DIV/0!</v>
      </c>
      <c r="F112" s="179"/>
      <c r="G112" s="179"/>
      <c r="H112" s="179"/>
      <c r="I112" s="179"/>
    </row>
    <row r="113" spans="1:5" ht="16.5" thickBot="1" x14ac:dyDescent="0.3">
      <c r="A113" s="93" t="s">
        <v>24</v>
      </c>
      <c r="B113" s="147" t="s">
        <v>23</v>
      </c>
      <c r="C113" s="92">
        <f t="shared" si="3"/>
        <v>-1</v>
      </c>
      <c r="D113" s="92" t="e">
        <f t="shared" si="3"/>
        <v>#DIV/0!</v>
      </c>
      <c r="E113" s="92" t="e">
        <f t="shared" si="3"/>
        <v>#DIV/0!</v>
      </c>
    </row>
    <row r="114" spans="1:5" ht="30.75" thickBot="1" x14ac:dyDescent="0.3">
      <c r="A114" s="93" t="s">
        <v>25</v>
      </c>
      <c r="B114" s="147" t="s">
        <v>23</v>
      </c>
      <c r="C114" s="92" t="e">
        <f t="shared" si="3"/>
        <v>#DIV/0!</v>
      </c>
      <c r="D114" s="92" t="e">
        <f t="shared" si="3"/>
        <v>#DIV/0!</v>
      </c>
      <c r="E114" s="92" t="e">
        <f t="shared" si="3"/>
        <v>#DIV/0!</v>
      </c>
    </row>
    <row r="115" spans="1:5" ht="16.5" thickBot="1" x14ac:dyDescent="0.3">
      <c r="A115" s="1146" t="s">
        <v>394</v>
      </c>
      <c r="B115" s="1147"/>
      <c r="C115" s="1147"/>
      <c r="D115" s="1147"/>
      <c r="E115" s="1148"/>
    </row>
    <row r="116" spans="1:5" ht="12.75" customHeight="1" x14ac:dyDescent="0.25">
      <c r="A116" s="1144"/>
      <c r="B116" s="91">
        <v>2018</v>
      </c>
      <c r="C116" s="91">
        <v>2019</v>
      </c>
      <c r="D116" s="91">
        <v>2020</v>
      </c>
      <c r="E116" s="91">
        <v>2021</v>
      </c>
    </row>
    <row r="117" spans="1:5" ht="18" customHeight="1" thickBot="1" x14ac:dyDescent="0.3">
      <c r="A117" s="1145"/>
      <c r="B117" s="90" t="s">
        <v>10</v>
      </c>
      <c r="C117" s="90" t="s">
        <v>11</v>
      </c>
      <c r="D117" s="90" t="s">
        <v>11</v>
      </c>
      <c r="E117" s="90" t="s">
        <v>11</v>
      </c>
    </row>
    <row r="118" spans="1:5" ht="16.5" thickBot="1" x14ac:dyDescent="0.3">
      <c r="A118" s="79" t="s">
        <v>58</v>
      </c>
      <c r="B118" s="72">
        <v>0</v>
      </c>
      <c r="C118" s="72">
        <v>0</v>
      </c>
      <c r="D118" s="72">
        <v>0</v>
      </c>
      <c r="E118" s="72">
        <v>0</v>
      </c>
    </row>
    <row r="119" spans="1:5" ht="16.5" thickBot="1" x14ac:dyDescent="0.3">
      <c r="A119" s="79" t="s">
        <v>59</v>
      </c>
      <c r="B119" s="77">
        <v>2300</v>
      </c>
      <c r="C119" s="72">
        <v>0</v>
      </c>
      <c r="D119" s="72">
        <v>0</v>
      </c>
      <c r="E119" s="72">
        <v>0</v>
      </c>
    </row>
    <row r="120" spans="1:5" ht="16.5" thickBot="1" x14ac:dyDescent="0.3">
      <c r="A120" s="98" t="s">
        <v>40</v>
      </c>
      <c r="B120" s="77">
        <f>B119+B118</f>
        <v>2300</v>
      </c>
      <c r="C120" s="77">
        <f>C119+C118</f>
        <v>0</v>
      </c>
      <c r="D120" s="77">
        <f>D119+D118</f>
        <v>0</v>
      </c>
      <c r="E120" s="77">
        <f>E119+E118</f>
        <v>0</v>
      </c>
    </row>
    <row r="121" spans="1:5" ht="16.5" hidden="1" thickBot="1" x14ac:dyDescent="0.3">
      <c r="A121" s="1149" t="s">
        <v>60</v>
      </c>
      <c r="B121" s="1179"/>
      <c r="C121" s="1151"/>
      <c r="D121" s="1151"/>
      <c r="E121" s="1152"/>
    </row>
    <row r="122" spans="1:5" ht="16.5" hidden="1" thickBot="1" x14ac:dyDescent="0.3">
      <c r="A122" s="1150"/>
      <c r="B122" s="1180"/>
      <c r="C122" s="1153"/>
      <c r="D122" s="1153"/>
      <c r="E122" s="1154"/>
    </row>
    <row r="123" spans="1:5" ht="16.5" hidden="1" thickBot="1" x14ac:dyDescent="0.3">
      <c r="A123" s="1175"/>
      <c r="B123" s="1181"/>
      <c r="C123" s="1155"/>
      <c r="D123" s="1155"/>
      <c r="E123" s="1156"/>
    </row>
    <row r="124" spans="1:5" ht="16.5" thickBot="1" x14ac:dyDescent="0.3">
      <c r="A124" s="99" t="s">
        <v>61</v>
      </c>
      <c r="B124" s="1216" t="s">
        <v>359</v>
      </c>
      <c r="C124" s="1217"/>
      <c r="D124" s="1217"/>
      <c r="E124" s="1218"/>
    </row>
    <row r="125" spans="1:5" ht="16.5" thickBot="1" x14ac:dyDescent="0.3">
      <c r="A125" s="95" t="s">
        <v>42</v>
      </c>
      <c r="B125" s="1169" t="s">
        <v>354</v>
      </c>
      <c r="C125" s="1170"/>
      <c r="D125" s="1170"/>
      <c r="E125" s="1171"/>
    </row>
    <row r="126" spans="1:5" ht="115.5" customHeight="1" thickBot="1" x14ac:dyDescent="0.3">
      <c r="A126" s="93" t="s">
        <v>17</v>
      </c>
      <c r="B126" s="1185" t="s">
        <v>355</v>
      </c>
      <c r="C126" s="1186"/>
      <c r="D126" s="1186"/>
      <c r="E126" s="1187"/>
    </row>
    <row r="127" spans="1:5" ht="16.5" thickBot="1" x14ac:dyDescent="0.3">
      <c r="A127" s="93" t="s">
        <v>18</v>
      </c>
      <c r="B127" s="1172" t="s">
        <v>360</v>
      </c>
      <c r="C127" s="1173"/>
      <c r="D127" s="1173"/>
      <c r="E127" s="1174"/>
    </row>
    <row r="128" spans="1:5" ht="12.75" customHeight="1" x14ac:dyDescent="0.25">
      <c r="A128" s="1144"/>
      <c r="B128" s="91">
        <v>2018</v>
      </c>
      <c r="C128" s="91">
        <v>2019</v>
      </c>
      <c r="D128" s="91">
        <v>2020</v>
      </c>
      <c r="E128" s="91">
        <v>2021</v>
      </c>
    </row>
    <row r="129" spans="1:9" ht="22.5" customHeight="1" thickBot="1" x14ac:dyDescent="0.3">
      <c r="A129" s="1145"/>
      <c r="B129" s="90" t="s">
        <v>10</v>
      </c>
      <c r="C129" s="90" t="s">
        <v>11</v>
      </c>
      <c r="D129" s="90" t="s">
        <v>11</v>
      </c>
      <c r="E129" s="90" t="s">
        <v>11</v>
      </c>
    </row>
    <row r="130" spans="1:9" ht="16.5" thickBot="1" x14ac:dyDescent="0.3">
      <c r="A130" s="93" t="s">
        <v>19</v>
      </c>
      <c r="B130" s="94">
        <v>29</v>
      </c>
      <c r="C130" s="94">
        <v>17</v>
      </c>
      <c r="D130" s="94">
        <v>9</v>
      </c>
      <c r="E130" s="94">
        <v>9</v>
      </c>
    </row>
    <row r="131" spans="1:9" ht="16.5" thickBot="1" x14ac:dyDescent="0.3">
      <c r="A131" s="93" t="s">
        <v>20</v>
      </c>
      <c r="B131" s="94">
        <v>352</v>
      </c>
      <c r="C131" s="94">
        <v>200</v>
      </c>
      <c r="D131" s="94">
        <v>100</v>
      </c>
      <c r="E131" s="94">
        <v>100</v>
      </c>
    </row>
    <row r="132" spans="1:9" ht="16.5" thickBot="1" x14ac:dyDescent="0.3">
      <c r="A132" s="93" t="s">
        <v>21</v>
      </c>
      <c r="B132" s="94">
        <f>B131/B130</f>
        <v>12.137931034482758</v>
      </c>
      <c r="C132" s="94">
        <f>C131/C130</f>
        <v>11.764705882352942</v>
      </c>
      <c r="D132" s="94">
        <f>D131/D130</f>
        <v>11.111111111111111</v>
      </c>
      <c r="E132" s="94">
        <f>E131/E130</f>
        <v>11.111111111111111</v>
      </c>
    </row>
    <row r="133" spans="1:9" ht="16.5" thickBot="1" x14ac:dyDescent="0.3">
      <c r="A133" s="93" t="s">
        <v>22</v>
      </c>
      <c r="B133" s="147" t="s">
        <v>23</v>
      </c>
      <c r="C133" s="92"/>
      <c r="D133" s="92"/>
      <c r="E133" s="92"/>
      <c r="F133" s="179"/>
      <c r="G133" s="179"/>
      <c r="H133" s="179"/>
      <c r="I133" s="179"/>
    </row>
    <row r="134" spans="1:9" ht="16.5" thickBot="1" x14ac:dyDescent="0.3">
      <c r="A134" s="93" t="s">
        <v>24</v>
      </c>
      <c r="B134" s="147" t="s">
        <v>23</v>
      </c>
      <c r="C134" s="92"/>
      <c r="D134" s="92"/>
      <c r="E134" s="92"/>
    </row>
    <row r="135" spans="1:9" ht="30.75" thickBot="1" x14ac:dyDescent="0.3">
      <c r="A135" s="93" t="s">
        <v>25</v>
      </c>
      <c r="B135" s="147" t="s">
        <v>23</v>
      </c>
      <c r="C135" s="92"/>
      <c r="D135" s="92"/>
      <c r="E135" s="92"/>
    </row>
    <row r="136" spans="1:9" ht="16.5" thickBot="1" x14ac:dyDescent="0.3">
      <c r="A136" s="1146" t="s">
        <v>535</v>
      </c>
      <c r="B136" s="1147"/>
      <c r="C136" s="1147"/>
      <c r="D136" s="1147"/>
      <c r="E136" s="1148"/>
    </row>
    <row r="137" spans="1:9" ht="12.75" customHeight="1" x14ac:dyDescent="0.25">
      <c r="A137" s="1144"/>
      <c r="B137" s="91">
        <v>2018</v>
      </c>
      <c r="C137" s="91">
        <v>2019</v>
      </c>
      <c r="D137" s="91">
        <v>2020</v>
      </c>
      <c r="E137" s="91">
        <v>2021</v>
      </c>
    </row>
    <row r="138" spans="1:9" ht="27" customHeight="1" thickBot="1" x14ac:dyDescent="0.3">
      <c r="A138" s="1145"/>
      <c r="B138" s="90" t="s">
        <v>10</v>
      </c>
      <c r="C138" s="90" t="s">
        <v>11</v>
      </c>
      <c r="D138" s="90" t="s">
        <v>11</v>
      </c>
      <c r="E138" s="90" t="s">
        <v>11</v>
      </c>
    </row>
    <row r="139" spans="1:9" ht="16.5" thickBot="1" x14ac:dyDescent="0.3">
      <c r="A139" s="79" t="s">
        <v>58</v>
      </c>
      <c r="B139" s="72">
        <v>0</v>
      </c>
      <c r="C139" s="72">
        <v>0</v>
      </c>
      <c r="D139" s="72">
        <v>0</v>
      </c>
      <c r="E139" s="72">
        <v>0</v>
      </c>
    </row>
    <row r="140" spans="1:9" ht="16.5" thickBot="1" x14ac:dyDescent="0.3">
      <c r="A140" s="79" t="s">
        <v>59</v>
      </c>
      <c r="B140" s="94">
        <v>352</v>
      </c>
      <c r="C140" s="72">
        <v>200</v>
      </c>
      <c r="D140" s="72">
        <v>100</v>
      </c>
      <c r="E140" s="72">
        <v>100</v>
      </c>
    </row>
    <row r="141" spans="1:9" ht="16.5" thickBot="1" x14ac:dyDescent="0.3">
      <c r="A141" s="98" t="s">
        <v>43</v>
      </c>
      <c r="B141" s="77">
        <f>B140+B139</f>
        <v>352</v>
      </c>
      <c r="C141" s="77">
        <f>C140+C139</f>
        <v>200</v>
      </c>
      <c r="D141" s="77">
        <f>D140+D139</f>
        <v>100</v>
      </c>
      <c r="E141" s="77">
        <f>E140+E139</f>
        <v>100</v>
      </c>
    </row>
    <row r="142" spans="1:9" ht="16.5" hidden="1" thickBot="1" x14ac:dyDescent="0.3">
      <c r="A142" s="1169" t="s">
        <v>63</v>
      </c>
      <c r="B142" s="1170"/>
      <c r="C142" s="1170"/>
      <c r="D142" s="1170"/>
      <c r="E142" s="1171"/>
    </row>
    <row r="143" spans="1:9" ht="16.5" hidden="1" thickBot="1" x14ac:dyDescent="0.3">
      <c r="A143" s="1169" t="s">
        <v>64</v>
      </c>
      <c r="B143" s="1170"/>
      <c r="C143" s="1170"/>
      <c r="D143" s="1170"/>
      <c r="E143" s="1171"/>
    </row>
    <row r="144" spans="1:9" ht="16.5" hidden="1" thickBot="1" x14ac:dyDescent="0.3">
      <c r="A144" s="99" t="s">
        <v>61</v>
      </c>
      <c r="B144" s="1182" t="s">
        <v>124</v>
      </c>
      <c r="C144" s="1183"/>
      <c r="D144" s="1183"/>
      <c r="E144" s="1184"/>
    </row>
    <row r="145" spans="1:9" ht="16.5" hidden="1" thickBot="1" x14ac:dyDescent="0.3">
      <c r="A145" s="95" t="s">
        <v>16</v>
      </c>
      <c r="B145" s="1176" t="s">
        <v>106</v>
      </c>
      <c r="C145" s="1177"/>
      <c r="D145" s="1177"/>
      <c r="E145" s="1178"/>
    </row>
    <row r="146" spans="1:9" ht="17.25" hidden="1" customHeight="1" x14ac:dyDescent="0.25">
      <c r="A146" s="93" t="s">
        <v>17</v>
      </c>
      <c r="B146" s="1160" t="s">
        <v>106</v>
      </c>
      <c r="C146" s="1161"/>
      <c r="D146" s="1161"/>
      <c r="E146" s="1162"/>
    </row>
    <row r="147" spans="1:9" ht="16.5" hidden="1" thickBot="1" x14ac:dyDescent="0.3">
      <c r="A147" s="93" t="s">
        <v>18</v>
      </c>
      <c r="B147" s="1172" t="s">
        <v>106</v>
      </c>
      <c r="C147" s="1173"/>
      <c r="D147" s="1173"/>
      <c r="E147" s="1174"/>
    </row>
    <row r="148" spans="1:9" ht="12.75" hidden="1" customHeight="1" x14ac:dyDescent="0.25">
      <c r="A148" s="1144"/>
      <c r="B148" s="91">
        <v>2018</v>
      </c>
      <c r="C148" s="91">
        <v>2019</v>
      </c>
      <c r="D148" s="91">
        <v>2020</v>
      </c>
      <c r="E148" s="91">
        <v>2021</v>
      </c>
    </row>
    <row r="149" spans="1:9" ht="9" hidden="1" customHeight="1" x14ac:dyDescent="0.25">
      <c r="A149" s="1145"/>
      <c r="B149" s="90" t="s">
        <v>10</v>
      </c>
      <c r="C149" s="90" t="s">
        <v>11</v>
      </c>
      <c r="D149" s="90" t="s">
        <v>11</v>
      </c>
      <c r="E149" s="90" t="s">
        <v>11</v>
      </c>
    </row>
    <row r="150" spans="1:9" ht="16.5" hidden="1" thickBot="1" x14ac:dyDescent="0.3">
      <c r="A150" s="93" t="s">
        <v>19</v>
      </c>
      <c r="B150" s="94">
        <v>0</v>
      </c>
      <c r="C150" s="94">
        <v>0</v>
      </c>
      <c r="D150" s="94">
        <v>0</v>
      </c>
      <c r="E150" s="94">
        <v>0</v>
      </c>
    </row>
    <row r="151" spans="1:9" ht="16.5" hidden="1" thickBot="1" x14ac:dyDescent="0.3">
      <c r="A151" s="93" t="s">
        <v>20</v>
      </c>
      <c r="B151" s="94">
        <v>0</v>
      </c>
      <c r="C151" s="94">
        <v>0</v>
      </c>
      <c r="D151" s="94">
        <v>0</v>
      </c>
      <c r="E151" s="94">
        <v>0</v>
      </c>
    </row>
    <row r="152" spans="1:9" ht="16.5" hidden="1" thickBot="1" x14ac:dyDescent="0.3">
      <c r="A152" s="93" t="s">
        <v>21</v>
      </c>
      <c r="B152" s="94" t="e">
        <f>B151/B150</f>
        <v>#DIV/0!</v>
      </c>
      <c r="C152" s="94" t="e">
        <f>C151/C150</f>
        <v>#DIV/0!</v>
      </c>
      <c r="D152" s="94" t="e">
        <f>D151/D150</f>
        <v>#DIV/0!</v>
      </c>
      <c r="E152" s="94" t="e">
        <f>E151/E150</f>
        <v>#DIV/0!</v>
      </c>
    </row>
    <row r="153" spans="1:9" ht="16.5" hidden="1" thickBot="1" x14ac:dyDescent="0.3">
      <c r="A153" s="93" t="s">
        <v>22</v>
      </c>
      <c r="B153" s="147" t="s">
        <v>23</v>
      </c>
      <c r="C153" s="92" t="e">
        <f t="shared" ref="C153:E155" si="4">C150/B150-1</f>
        <v>#DIV/0!</v>
      </c>
      <c r="D153" s="92" t="e">
        <f t="shared" si="4"/>
        <v>#DIV/0!</v>
      </c>
      <c r="E153" s="92" t="e">
        <f t="shared" si="4"/>
        <v>#DIV/0!</v>
      </c>
      <c r="F153" s="179"/>
      <c r="G153" s="179"/>
      <c r="H153" s="179"/>
      <c r="I153" s="179"/>
    </row>
    <row r="154" spans="1:9" ht="16.5" hidden="1" thickBot="1" x14ac:dyDescent="0.3">
      <c r="A154" s="93" t="s">
        <v>24</v>
      </c>
      <c r="B154" s="147" t="s">
        <v>23</v>
      </c>
      <c r="C154" s="92" t="e">
        <f t="shared" si="4"/>
        <v>#DIV/0!</v>
      </c>
      <c r="D154" s="92" t="e">
        <f t="shared" si="4"/>
        <v>#DIV/0!</v>
      </c>
      <c r="E154" s="92" t="e">
        <f t="shared" si="4"/>
        <v>#DIV/0!</v>
      </c>
    </row>
    <row r="155" spans="1:9" ht="30.75" hidden="1" thickBot="1" x14ac:dyDescent="0.3">
      <c r="A155" s="93" t="s">
        <v>25</v>
      </c>
      <c r="B155" s="147" t="s">
        <v>23</v>
      </c>
      <c r="C155" s="92" t="e">
        <f t="shared" si="4"/>
        <v>#DIV/0!</v>
      </c>
      <c r="D155" s="92" t="e">
        <f t="shared" si="4"/>
        <v>#DIV/0!</v>
      </c>
      <c r="E155" s="92" t="e">
        <f t="shared" si="4"/>
        <v>#DIV/0!</v>
      </c>
    </row>
    <row r="156" spans="1:9" ht="16.5" hidden="1" thickBot="1" x14ac:dyDescent="0.3">
      <c r="A156" s="1146" t="s">
        <v>394</v>
      </c>
      <c r="B156" s="1147"/>
      <c r="C156" s="1147"/>
      <c r="D156" s="1147"/>
      <c r="E156" s="1148"/>
    </row>
    <row r="157" spans="1:9" ht="12.75" hidden="1" customHeight="1" x14ac:dyDescent="0.25">
      <c r="A157" s="1144"/>
      <c r="B157" s="91">
        <v>2018</v>
      </c>
      <c r="C157" s="91">
        <v>2019</v>
      </c>
      <c r="D157" s="91">
        <v>2020</v>
      </c>
      <c r="E157" s="91">
        <v>2021</v>
      </c>
    </row>
    <row r="158" spans="1:9" ht="9" hidden="1" customHeight="1" x14ac:dyDescent="0.25">
      <c r="A158" s="1145"/>
      <c r="B158" s="90" t="s">
        <v>10</v>
      </c>
      <c r="C158" s="90" t="s">
        <v>11</v>
      </c>
      <c r="D158" s="90" t="s">
        <v>11</v>
      </c>
      <c r="E158" s="90" t="s">
        <v>11</v>
      </c>
    </row>
    <row r="159" spans="1:9" ht="16.5" hidden="1" thickBot="1" x14ac:dyDescent="0.3">
      <c r="A159" s="79" t="s">
        <v>58</v>
      </c>
      <c r="B159" s="72"/>
      <c r="C159" s="72"/>
      <c r="D159" s="72"/>
      <c r="E159" s="72"/>
    </row>
    <row r="160" spans="1:9" ht="16.5" hidden="1" thickBot="1" x14ac:dyDescent="0.3">
      <c r="A160" s="79" t="s">
        <v>59</v>
      </c>
      <c r="B160" s="77"/>
      <c r="C160" s="72"/>
      <c r="D160" s="72"/>
      <c r="E160" s="72"/>
    </row>
    <row r="161" spans="1:9" ht="16.5" hidden="1" thickBot="1" x14ac:dyDescent="0.3">
      <c r="A161" s="98" t="s">
        <v>40</v>
      </c>
      <c r="B161" s="77">
        <f>B160+B159</f>
        <v>0</v>
      </c>
      <c r="C161" s="77">
        <f>C160+C159</f>
        <v>0</v>
      </c>
      <c r="D161" s="77">
        <f>D160+D159</f>
        <v>0</v>
      </c>
      <c r="E161" s="77">
        <f>E160+E159</f>
        <v>0</v>
      </c>
    </row>
    <row r="162" spans="1:9" ht="16.5" hidden="1" thickBot="1" x14ac:dyDescent="0.3">
      <c r="A162" s="127" t="s">
        <v>61</v>
      </c>
      <c r="B162" s="1182" t="s">
        <v>124</v>
      </c>
      <c r="C162" s="1183"/>
      <c r="D162" s="1183"/>
      <c r="E162" s="1184"/>
    </row>
    <row r="163" spans="1:9" ht="29.25" hidden="1" thickBot="1" x14ac:dyDescent="0.3">
      <c r="A163" s="95" t="s">
        <v>123</v>
      </c>
      <c r="B163" s="1176" t="s">
        <v>106</v>
      </c>
      <c r="C163" s="1177"/>
      <c r="D163" s="1177"/>
      <c r="E163" s="1178"/>
    </row>
    <row r="164" spans="1:9" ht="17.25" hidden="1" customHeight="1" x14ac:dyDescent="0.25">
      <c r="A164" s="93" t="s">
        <v>17</v>
      </c>
      <c r="B164" s="1160" t="s">
        <v>106</v>
      </c>
      <c r="C164" s="1161"/>
      <c r="D164" s="1161"/>
      <c r="E164" s="1162"/>
    </row>
    <row r="165" spans="1:9" ht="36.6" hidden="1" customHeight="1" x14ac:dyDescent="0.25">
      <c r="A165" s="93" t="s">
        <v>18</v>
      </c>
      <c r="B165" s="1172" t="s">
        <v>106</v>
      </c>
      <c r="C165" s="1173"/>
      <c r="D165" s="1173"/>
      <c r="E165" s="1174"/>
    </row>
    <row r="166" spans="1:9" ht="40.15" hidden="1" customHeight="1" x14ac:dyDescent="0.25">
      <c r="A166" s="1144"/>
      <c r="B166" s="91">
        <v>2018</v>
      </c>
      <c r="C166" s="91">
        <v>2019</v>
      </c>
      <c r="D166" s="91">
        <v>2020</v>
      </c>
      <c r="E166" s="91">
        <v>2021</v>
      </c>
    </row>
    <row r="167" spans="1:9" ht="38.450000000000003" hidden="1" customHeight="1" x14ac:dyDescent="0.25">
      <c r="A167" s="1145"/>
      <c r="B167" s="90" t="s">
        <v>10</v>
      </c>
      <c r="C167" s="90" t="s">
        <v>11</v>
      </c>
      <c r="D167" s="90" t="s">
        <v>11</v>
      </c>
      <c r="E167" s="90" t="s">
        <v>11</v>
      </c>
    </row>
    <row r="168" spans="1:9" ht="31.15" hidden="1" customHeight="1" x14ac:dyDescent="0.25">
      <c r="A168" s="93" t="s">
        <v>19</v>
      </c>
      <c r="B168" s="94"/>
      <c r="C168" s="94"/>
      <c r="D168" s="94"/>
      <c r="E168" s="94"/>
    </row>
    <row r="169" spans="1:9" ht="45.6" hidden="1" customHeight="1" x14ac:dyDescent="0.25">
      <c r="A169" s="93" t="s">
        <v>20</v>
      </c>
      <c r="B169" s="94"/>
      <c r="C169" s="94"/>
      <c r="D169" s="94"/>
      <c r="E169" s="94"/>
    </row>
    <row r="170" spans="1:9" ht="39.6" hidden="1" customHeight="1" x14ac:dyDescent="0.25">
      <c r="A170" s="93" t="s">
        <v>21</v>
      </c>
      <c r="B170" s="94" t="e">
        <f>B169/B168</f>
        <v>#DIV/0!</v>
      </c>
      <c r="C170" s="94" t="e">
        <f>C169/C168</f>
        <v>#DIV/0!</v>
      </c>
      <c r="D170" s="94" t="e">
        <f>D169/D168</f>
        <v>#DIV/0!</v>
      </c>
      <c r="E170" s="94" t="e">
        <f>E169/E168</f>
        <v>#DIV/0!</v>
      </c>
    </row>
    <row r="171" spans="1:9" ht="36" hidden="1" customHeight="1" x14ac:dyDescent="0.25">
      <c r="A171" s="93" t="s">
        <v>22</v>
      </c>
      <c r="B171" s="147" t="s">
        <v>23</v>
      </c>
      <c r="C171" s="92" t="e">
        <f t="shared" ref="C171:E173" si="5">C168/B168-1</f>
        <v>#DIV/0!</v>
      </c>
      <c r="D171" s="92" t="e">
        <f t="shared" si="5"/>
        <v>#DIV/0!</v>
      </c>
      <c r="E171" s="92" t="e">
        <f t="shared" si="5"/>
        <v>#DIV/0!</v>
      </c>
      <c r="F171" s="179"/>
      <c r="G171" s="179"/>
      <c r="H171" s="179"/>
      <c r="I171" s="179"/>
    </row>
    <row r="172" spans="1:9" ht="29.45" hidden="1" customHeight="1" x14ac:dyDescent="0.25">
      <c r="A172" s="93" t="s">
        <v>24</v>
      </c>
      <c r="B172" s="147" t="s">
        <v>23</v>
      </c>
      <c r="C172" s="92" t="e">
        <f t="shared" si="5"/>
        <v>#DIV/0!</v>
      </c>
      <c r="D172" s="92" t="e">
        <f t="shared" si="5"/>
        <v>#DIV/0!</v>
      </c>
      <c r="E172" s="92" t="e">
        <f t="shared" si="5"/>
        <v>#DIV/0!</v>
      </c>
    </row>
    <row r="173" spans="1:9" ht="40.9" hidden="1" customHeight="1" x14ac:dyDescent="0.25">
      <c r="A173" s="93" t="s">
        <v>25</v>
      </c>
      <c r="B173" s="147" t="s">
        <v>23</v>
      </c>
      <c r="C173" s="92" t="e">
        <f t="shared" si="5"/>
        <v>#DIV/0!</v>
      </c>
      <c r="D173" s="92" t="e">
        <f t="shared" si="5"/>
        <v>#DIV/0!</v>
      </c>
      <c r="E173" s="92" t="e">
        <f t="shared" si="5"/>
        <v>#DIV/0!</v>
      </c>
    </row>
    <row r="174" spans="1:9" ht="33.6" hidden="1" customHeight="1" x14ac:dyDescent="0.25">
      <c r="A174" s="1146" t="s">
        <v>393</v>
      </c>
      <c r="B174" s="1147"/>
      <c r="C174" s="1147"/>
      <c r="D174" s="1147"/>
      <c r="E174" s="1148"/>
    </row>
    <row r="175" spans="1:9" ht="31.15" hidden="1" customHeight="1" x14ac:dyDescent="0.25">
      <c r="A175" s="1144"/>
      <c r="B175" s="91">
        <v>2018</v>
      </c>
      <c r="C175" s="91">
        <v>2019</v>
      </c>
      <c r="D175" s="91">
        <v>2020</v>
      </c>
      <c r="E175" s="91">
        <v>2021</v>
      </c>
    </row>
    <row r="176" spans="1:9" ht="24.6" hidden="1" customHeight="1" x14ac:dyDescent="0.25">
      <c r="A176" s="1145"/>
      <c r="B176" s="90" t="s">
        <v>10</v>
      </c>
      <c r="C176" s="90" t="s">
        <v>11</v>
      </c>
      <c r="D176" s="90" t="s">
        <v>11</v>
      </c>
      <c r="E176" s="90" t="s">
        <v>11</v>
      </c>
    </row>
    <row r="177" spans="1:5" ht="22.9" hidden="1" customHeight="1" x14ac:dyDescent="0.25">
      <c r="A177" s="79" t="s">
        <v>58</v>
      </c>
      <c r="B177" s="72"/>
      <c r="C177" s="72"/>
      <c r="D177" s="72"/>
      <c r="E177" s="72"/>
    </row>
    <row r="178" spans="1:5" ht="21.6" hidden="1" customHeight="1" x14ac:dyDescent="0.25">
      <c r="A178" s="79" t="s">
        <v>59</v>
      </c>
      <c r="B178" s="77"/>
      <c r="C178" s="72"/>
      <c r="D178" s="72"/>
      <c r="E178" s="72"/>
    </row>
    <row r="179" spans="1:5" ht="27" hidden="1" customHeight="1" x14ac:dyDescent="0.25">
      <c r="A179" s="98" t="s">
        <v>74</v>
      </c>
      <c r="B179" s="77">
        <f>B178+B177</f>
        <v>0</v>
      </c>
      <c r="C179" s="77">
        <f>C178+C177</f>
        <v>0</v>
      </c>
      <c r="D179" s="77">
        <f>D178+D177</f>
        <v>0</v>
      </c>
      <c r="E179" s="77">
        <f>E178+E177</f>
        <v>0</v>
      </c>
    </row>
    <row r="180" spans="1:5" ht="25.9" customHeight="1" thickBot="1" x14ac:dyDescent="0.3">
      <c r="A180" s="180" t="s">
        <v>67</v>
      </c>
      <c r="B180" s="1213" t="s">
        <v>361</v>
      </c>
      <c r="C180" s="1214"/>
      <c r="D180" s="1214"/>
      <c r="E180" s="1215"/>
    </row>
    <row r="181" spans="1:5" ht="15.75" customHeight="1" thickBot="1" x14ac:dyDescent="0.3">
      <c r="A181" s="1160" t="s">
        <v>68</v>
      </c>
      <c r="B181" s="1161"/>
      <c r="C181" s="1161"/>
      <c r="D181" s="1161"/>
      <c r="E181" s="1162"/>
    </row>
    <row r="182" spans="1:5" ht="30.75" thickBot="1" x14ac:dyDescent="0.3">
      <c r="A182" s="148" t="s">
        <v>362</v>
      </c>
      <c r="B182" s="128"/>
      <c r="C182" s="128"/>
      <c r="D182" s="128"/>
      <c r="E182" s="128"/>
    </row>
    <row r="183" spans="1:5" ht="28.9" customHeight="1" thickBot="1" x14ac:dyDescent="0.3">
      <c r="A183" s="148" t="s">
        <v>363</v>
      </c>
      <c r="B183" s="128"/>
      <c r="C183" s="128"/>
      <c r="D183" s="128"/>
      <c r="E183" s="128"/>
    </row>
    <row r="184" spans="1:5" ht="19.899999999999999" customHeight="1" thickBot="1" x14ac:dyDescent="0.3">
      <c r="A184" s="1163" t="s">
        <v>69</v>
      </c>
      <c r="B184" s="1164"/>
      <c r="C184" s="1164"/>
      <c r="D184" s="1164"/>
      <c r="E184" s="1165"/>
    </row>
    <row r="185" spans="1:5" ht="23.25" customHeight="1" thickBot="1" x14ac:dyDescent="0.3">
      <c r="A185" s="1166" t="s">
        <v>70</v>
      </c>
      <c r="B185" s="1167"/>
      <c r="C185" s="1167"/>
      <c r="D185" s="1167"/>
      <c r="E185" s="1168"/>
    </row>
    <row r="186" spans="1:5" ht="12.75" customHeight="1" x14ac:dyDescent="0.25">
      <c r="A186" s="1144"/>
      <c r="B186" s="91">
        <v>2018</v>
      </c>
      <c r="C186" s="91">
        <v>2019</v>
      </c>
      <c r="D186" s="91">
        <v>2020</v>
      </c>
      <c r="E186" s="91">
        <v>2021</v>
      </c>
    </row>
    <row r="187" spans="1:5" ht="22.5" customHeight="1" thickBot="1" x14ac:dyDescent="0.3">
      <c r="A187" s="1145"/>
      <c r="B187" s="90" t="s">
        <v>10</v>
      </c>
      <c r="C187" s="90" t="s">
        <v>11</v>
      </c>
      <c r="D187" s="90" t="s">
        <v>11</v>
      </c>
      <c r="E187" s="90" t="s">
        <v>11</v>
      </c>
    </row>
    <row r="188" spans="1:5" ht="26.25" customHeight="1" thickBot="1" x14ac:dyDescent="0.3">
      <c r="A188" s="95" t="s">
        <v>16</v>
      </c>
      <c r="B188" s="1169" t="s">
        <v>364</v>
      </c>
      <c r="C188" s="1170"/>
      <c r="D188" s="1170"/>
      <c r="E188" s="1171"/>
    </row>
    <row r="189" spans="1:5" ht="16.5" customHeight="1" thickBot="1" x14ac:dyDescent="0.3">
      <c r="A189" s="93" t="s">
        <v>17</v>
      </c>
      <c r="B189" s="1160" t="s">
        <v>365</v>
      </c>
      <c r="C189" s="1161"/>
      <c r="D189" s="1161"/>
      <c r="E189" s="1162"/>
    </row>
    <row r="190" spans="1:5" ht="15.75" customHeight="1" thickBot="1" x14ac:dyDescent="0.3">
      <c r="A190" s="93" t="s">
        <v>18</v>
      </c>
      <c r="B190" s="1172" t="s">
        <v>356</v>
      </c>
      <c r="C190" s="1173"/>
      <c r="D190" s="1173"/>
      <c r="E190" s="1174"/>
    </row>
    <row r="191" spans="1:5" ht="12.75" customHeight="1" x14ac:dyDescent="0.25">
      <c r="A191" s="1144"/>
      <c r="B191" s="91">
        <v>2018</v>
      </c>
      <c r="C191" s="91">
        <v>2019</v>
      </c>
      <c r="D191" s="91">
        <v>2020</v>
      </c>
      <c r="E191" s="91">
        <v>2021</v>
      </c>
    </row>
    <row r="192" spans="1:5" ht="21" customHeight="1" thickBot="1" x14ac:dyDescent="0.3">
      <c r="A192" s="1145"/>
      <c r="B192" s="90" t="s">
        <v>10</v>
      </c>
      <c r="C192" s="90" t="s">
        <v>11</v>
      </c>
      <c r="D192" s="90" t="s">
        <v>11</v>
      </c>
      <c r="E192" s="90" t="s">
        <v>11</v>
      </c>
    </row>
    <row r="193" spans="1:5" ht="15.75" customHeight="1" thickBot="1" x14ac:dyDescent="0.3">
      <c r="A193" s="93" t="s">
        <v>19</v>
      </c>
      <c r="B193" s="94"/>
      <c r="C193" s="89"/>
      <c r="D193" s="89"/>
      <c r="E193" s="89"/>
    </row>
    <row r="194" spans="1:5" ht="16.5" thickBot="1" x14ac:dyDescent="0.3">
      <c r="A194" s="93" t="s">
        <v>20</v>
      </c>
      <c r="B194" s="94">
        <v>80683</v>
      </c>
      <c r="C194" s="94">
        <v>91842</v>
      </c>
      <c r="D194" s="94">
        <v>91842</v>
      </c>
      <c r="E194" s="94">
        <v>91842</v>
      </c>
    </row>
    <row r="195" spans="1:5" ht="16.5" thickBot="1" x14ac:dyDescent="0.3">
      <c r="A195" s="93" t="s">
        <v>21</v>
      </c>
      <c r="B195" s="94" t="e">
        <f>B194/B193</f>
        <v>#DIV/0!</v>
      </c>
      <c r="C195" s="94" t="e">
        <f>C194/C193</f>
        <v>#DIV/0!</v>
      </c>
      <c r="D195" s="94" t="e">
        <f>D194/D193</f>
        <v>#DIV/0!</v>
      </c>
      <c r="E195" s="94" t="e">
        <f>E194/E193</f>
        <v>#DIV/0!</v>
      </c>
    </row>
    <row r="196" spans="1:5" ht="16.5" thickBot="1" x14ac:dyDescent="0.3">
      <c r="A196" s="93" t="s">
        <v>22</v>
      </c>
      <c r="B196" s="147"/>
      <c r="C196" s="92" t="e">
        <f t="shared" ref="C196:E198" si="6">C193/B193-1</f>
        <v>#DIV/0!</v>
      </c>
      <c r="D196" s="92" t="e">
        <f t="shared" si="6"/>
        <v>#DIV/0!</v>
      </c>
      <c r="E196" s="92" t="e">
        <f t="shared" si="6"/>
        <v>#DIV/0!</v>
      </c>
    </row>
    <row r="197" spans="1:5" ht="16.5" thickBot="1" x14ac:dyDescent="0.3">
      <c r="A197" s="93" t="s">
        <v>24</v>
      </c>
      <c r="B197" s="147"/>
      <c r="C197" s="92">
        <f t="shared" si="6"/>
        <v>0.13830670649331345</v>
      </c>
      <c r="D197" s="92">
        <f t="shared" si="6"/>
        <v>0</v>
      </c>
      <c r="E197" s="92">
        <f t="shared" si="6"/>
        <v>0</v>
      </c>
    </row>
    <row r="198" spans="1:5" ht="30.75" thickBot="1" x14ac:dyDescent="0.3">
      <c r="A198" s="93" t="s">
        <v>25</v>
      </c>
      <c r="B198" s="147"/>
      <c r="C198" s="92" t="e">
        <f t="shared" si="6"/>
        <v>#DIV/0!</v>
      </c>
      <c r="D198" s="92" t="e">
        <f t="shared" si="6"/>
        <v>#DIV/0!</v>
      </c>
      <c r="E198" s="92" t="e">
        <f t="shared" si="6"/>
        <v>#DIV/0!</v>
      </c>
    </row>
    <row r="199" spans="1:5" ht="12.75" customHeight="1" x14ac:dyDescent="0.25">
      <c r="A199" s="1144"/>
      <c r="B199" s="91">
        <v>2018</v>
      </c>
      <c r="C199" s="91">
        <v>2019</v>
      </c>
      <c r="D199" s="91">
        <v>2020</v>
      </c>
      <c r="E199" s="91">
        <v>2021</v>
      </c>
    </row>
    <row r="200" spans="1:5" ht="14.45" customHeight="1" thickBot="1" x14ac:dyDescent="0.3">
      <c r="A200" s="1145"/>
      <c r="B200" s="90" t="s">
        <v>10</v>
      </c>
      <c r="C200" s="90" t="s">
        <v>11</v>
      </c>
      <c r="D200" s="90" t="s">
        <v>11</v>
      </c>
      <c r="E200" s="90" t="s">
        <v>11</v>
      </c>
    </row>
    <row r="201" spans="1:5" ht="16.5" thickBot="1" x14ac:dyDescent="0.3">
      <c r="A201" s="1146" t="s">
        <v>378</v>
      </c>
      <c r="B201" s="1147"/>
      <c r="C201" s="1147"/>
      <c r="D201" s="1147"/>
      <c r="E201" s="1148"/>
    </row>
    <row r="202" spans="1:5" ht="12.75" customHeight="1" x14ac:dyDescent="0.25">
      <c r="A202" s="1144"/>
      <c r="B202" s="91">
        <v>2018</v>
      </c>
      <c r="C202" s="91">
        <v>2019</v>
      </c>
      <c r="D202" s="91">
        <v>2020</v>
      </c>
      <c r="E202" s="91">
        <v>2021</v>
      </c>
    </row>
    <row r="203" spans="1:5" ht="27" customHeight="1" thickBot="1" x14ac:dyDescent="0.3">
      <c r="A203" s="1145"/>
      <c r="B203" s="90" t="s">
        <v>10</v>
      </c>
      <c r="C203" s="90" t="s">
        <v>11</v>
      </c>
      <c r="D203" s="90" t="s">
        <v>11</v>
      </c>
      <c r="E203" s="90" t="s">
        <v>11</v>
      </c>
    </row>
    <row r="204" spans="1:5" ht="16.5" thickBot="1" x14ac:dyDescent="0.3">
      <c r="A204" s="79" t="s">
        <v>26</v>
      </c>
      <c r="B204" s="72">
        <v>22400</v>
      </c>
      <c r="C204" s="72">
        <v>22400</v>
      </c>
      <c r="D204" s="72">
        <v>22400</v>
      </c>
      <c r="E204" s="72">
        <v>22400</v>
      </c>
    </row>
    <row r="205" spans="1:5" ht="30.75" thickBot="1" x14ac:dyDescent="0.3">
      <c r="A205" s="79" t="s">
        <v>28</v>
      </c>
      <c r="B205" s="72">
        <v>3700</v>
      </c>
      <c r="C205" s="72">
        <v>3700</v>
      </c>
      <c r="D205" s="72">
        <v>3700</v>
      </c>
      <c r="E205" s="72">
        <v>3700</v>
      </c>
    </row>
    <row r="206" spans="1:5" ht="16.5" thickBot="1" x14ac:dyDescent="0.3">
      <c r="A206" s="79" t="s">
        <v>30</v>
      </c>
      <c r="B206" s="94">
        <v>54583</v>
      </c>
      <c r="C206" s="94">
        <v>65742</v>
      </c>
      <c r="D206" s="94">
        <v>65742</v>
      </c>
      <c r="E206" s="94">
        <v>65742</v>
      </c>
    </row>
    <row r="207" spans="1:5" ht="16.5" hidden="1" thickBot="1" x14ac:dyDescent="0.3">
      <c r="A207" s="79" t="s">
        <v>32</v>
      </c>
      <c r="B207" s="77">
        <v>0</v>
      </c>
      <c r="C207" s="77">
        <v>0</v>
      </c>
      <c r="D207" s="77">
        <v>0</v>
      </c>
      <c r="E207" s="77">
        <v>0</v>
      </c>
    </row>
    <row r="208" spans="1:5" ht="16.5" hidden="1" thickBot="1" x14ac:dyDescent="0.3">
      <c r="A208" s="79" t="s">
        <v>34</v>
      </c>
      <c r="B208" s="77">
        <v>0</v>
      </c>
      <c r="C208" s="77">
        <v>0</v>
      </c>
      <c r="D208" s="77">
        <v>0</v>
      </c>
      <c r="E208" s="77">
        <v>0</v>
      </c>
    </row>
    <row r="209" spans="1:9" ht="16.5" hidden="1" thickBot="1" x14ac:dyDescent="0.3">
      <c r="A209" s="79" t="s">
        <v>36</v>
      </c>
      <c r="B209" s="77">
        <v>0</v>
      </c>
      <c r="C209" s="77">
        <v>0</v>
      </c>
      <c r="D209" s="77">
        <v>0</v>
      </c>
      <c r="E209" s="77">
        <v>0</v>
      </c>
    </row>
    <row r="210" spans="1:9" ht="30.75" hidden="1" thickBot="1" x14ac:dyDescent="0.3">
      <c r="A210" s="79" t="s">
        <v>38</v>
      </c>
      <c r="B210" s="77">
        <v>0</v>
      </c>
      <c r="C210" s="77">
        <v>0</v>
      </c>
      <c r="D210" s="77">
        <v>0</v>
      </c>
      <c r="E210" s="77">
        <v>0</v>
      </c>
    </row>
    <row r="211" spans="1:9" ht="29.25" thickBot="1" x14ac:dyDescent="0.3">
      <c r="A211" s="88" t="s">
        <v>71</v>
      </c>
      <c r="B211" s="87">
        <f>B210+B209+B208+B207+B206+B205+B204</f>
        <v>80683</v>
      </c>
      <c r="C211" s="87">
        <f>C210+C209+C208+C207+C206+C205+C204</f>
        <v>91842</v>
      </c>
      <c r="D211" s="87">
        <f>D210+D209+D208+D207+D206+D205+D204</f>
        <v>91842</v>
      </c>
      <c r="E211" s="87">
        <f>E210+E209+E208+E207+E206+E205+E204</f>
        <v>91842</v>
      </c>
    </row>
    <row r="212" spans="1:9" ht="16.5" thickBot="1" x14ac:dyDescent="0.3">
      <c r="A212" s="75" t="s">
        <v>41</v>
      </c>
      <c r="B212" s="74">
        <f>IF(B211-B194=0,0,"Error")</f>
        <v>0</v>
      </c>
      <c r="C212" s="74">
        <f>IF(C211-C194=0,0,"Error")</f>
        <v>0</v>
      </c>
      <c r="D212" s="74">
        <f>IF(D211-D194=0,0,"Error")</f>
        <v>0</v>
      </c>
      <c r="E212" s="74">
        <f>IF(E211-E194=0,0,"Error")</f>
        <v>0</v>
      </c>
    </row>
    <row r="213" spans="1:9" ht="16.5" thickBot="1" x14ac:dyDescent="0.3">
      <c r="A213" s="1169" t="s">
        <v>63</v>
      </c>
      <c r="B213" s="1170"/>
      <c r="C213" s="1170"/>
      <c r="D213" s="1170"/>
      <c r="E213" s="1171"/>
    </row>
    <row r="214" spans="1:9" ht="16.5" thickBot="1" x14ac:dyDescent="0.3">
      <c r="A214" s="1169" t="s">
        <v>56</v>
      </c>
      <c r="B214" s="1170"/>
      <c r="C214" s="1170"/>
      <c r="D214" s="1170"/>
      <c r="E214" s="1171"/>
    </row>
    <row r="215" spans="1:9" ht="16.5" thickBot="1" x14ac:dyDescent="0.3">
      <c r="A215" s="99" t="s">
        <v>61</v>
      </c>
      <c r="B215" s="1182"/>
      <c r="C215" s="1183"/>
      <c r="D215" s="1183"/>
      <c r="E215" s="1184"/>
    </row>
    <row r="216" spans="1:9" ht="16.5" thickBot="1" x14ac:dyDescent="0.3">
      <c r="A216" s="95" t="s">
        <v>16</v>
      </c>
      <c r="B216" s="1169" t="s">
        <v>364</v>
      </c>
      <c r="C216" s="1177"/>
      <c r="D216" s="1177"/>
      <c r="E216" s="1178"/>
    </row>
    <row r="217" spans="1:9" ht="17.25" customHeight="1" thickBot="1" x14ac:dyDescent="0.3">
      <c r="A217" s="93" t="s">
        <v>17</v>
      </c>
      <c r="B217" s="1160"/>
      <c r="C217" s="1161"/>
      <c r="D217" s="1161"/>
      <c r="E217" s="1162"/>
    </row>
    <row r="218" spans="1:9" ht="16.5" thickBot="1" x14ac:dyDescent="0.3">
      <c r="A218" s="93" t="s">
        <v>18</v>
      </c>
      <c r="B218" s="1172" t="s">
        <v>360</v>
      </c>
      <c r="C218" s="1173"/>
      <c r="D218" s="1173"/>
      <c r="E218" s="1174"/>
    </row>
    <row r="219" spans="1:9" ht="23.25" customHeight="1" x14ac:dyDescent="0.25">
      <c r="A219" s="1144"/>
      <c r="B219" s="91">
        <v>2018</v>
      </c>
      <c r="C219" s="91">
        <v>2019</v>
      </c>
      <c r="D219" s="91">
        <v>2020</v>
      </c>
      <c r="E219" s="91">
        <v>2021</v>
      </c>
    </row>
    <row r="220" spans="1:9" ht="23.25" customHeight="1" thickBot="1" x14ac:dyDescent="0.3">
      <c r="A220" s="1145"/>
      <c r="B220" s="90" t="s">
        <v>10</v>
      </c>
      <c r="C220" s="90" t="s">
        <v>11</v>
      </c>
      <c r="D220" s="90" t="s">
        <v>11</v>
      </c>
      <c r="E220" s="90" t="s">
        <v>11</v>
      </c>
    </row>
    <row r="221" spans="1:9" ht="16.5" thickBot="1" x14ac:dyDescent="0.3">
      <c r="A221" s="93" t="s">
        <v>19</v>
      </c>
      <c r="B221" s="94">
        <v>9</v>
      </c>
      <c r="C221" s="94">
        <v>3</v>
      </c>
      <c r="D221" s="94">
        <v>1</v>
      </c>
      <c r="E221" s="94">
        <v>1</v>
      </c>
    </row>
    <row r="222" spans="1:9" ht="16.5" thickBot="1" x14ac:dyDescent="0.3">
      <c r="A222" s="93" t="s">
        <v>20</v>
      </c>
      <c r="B222" s="94">
        <v>55114</v>
      </c>
      <c r="C222" s="94">
        <v>83900</v>
      </c>
      <c r="D222" s="94">
        <v>10000</v>
      </c>
      <c r="E222" s="94">
        <v>4000</v>
      </c>
    </row>
    <row r="223" spans="1:9" ht="16.5" thickBot="1" x14ac:dyDescent="0.3">
      <c r="A223" s="93" t="s">
        <v>21</v>
      </c>
      <c r="B223" s="94">
        <f>B222/B221</f>
        <v>6123.7777777777774</v>
      </c>
      <c r="C223" s="94">
        <f>C222/C221</f>
        <v>27966.666666666668</v>
      </c>
      <c r="D223" s="94">
        <f>D222/D221</f>
        <v>10000</v>
      </c>
      <c r="E223" s="94">
        <f>E222/E221</f>
        <v>4000</v>
      </c>
    </row>
    <row r="224" spans="1:9" ht="16.5" thickBot="1" x14ac:dyDescent="0.3">
      <c r="A224" s="93" t="s">
        <v>22</v>
      </c>
      <c r="B224" s="147" t="s">
        <v>23</v>
      </c>
      <c r="C224" s="129"/>
      <c r="D224" s="129"/>
      <c r="E224" s="129"/>
      <c r="F224" s="179"/>
      <c r="G224" s="179"/>
      <c r="H224" s="179"/>
      <c r="I224" s="179"/>
    </row>
    <row r="225" spans="1:5" ht="16.5" thickBot="1" x14ac:dyDescent="0.3">
      <c r="A225" s="93" t="s">
        <v>24</v>
      </c>
      <c r="B225" s="147" t="s">
        <v>23</v>
      </c>
      <c r="C225" s="129"/>
      <c r="D225" s="129"/>
      <c r="E225" s="129"/>
    </row>
    <row r="226" spans="1:5" ht="30.75" thickBot="1" x14ac:dyDescent="0.3">
      <c r="A226" s="93" t="s">
        <v>25</v>
      </c>
      <c r="B226" s="147" t="s">
        <v>23</v>
      </c>
      <c r="C226" s="129"/>
      <c r="D226" s="129"/>
      <c r="E226" s="129"/>
    </row>
    <row r="227" spans="1:5" ht="16.5" thickBot="1" x14ac:dyDescent="0.3">
      <c r="A227" s="1146" t="s">
        <v>394</v>
      </c>
      <c r="B227" s="1147"/>
      <c r="C227" s="1147"/>
      <c r="D227" s="1147"/>
      <c r="E227" s="1148"/>
    </row>
    <row r="228" spans="1:5" ht="12.75" customHeight="1" x14ac:dyDescent="0.25">
      <c r="A228" s="1144"/>
      <c r="B228" s="91">
        <v>2018</v>
      </c>
      <c r="C228" s="91">
        <v>2019</v>
      </c>
      <c r="D228" s="91">
        <v>2020</v>
      </c>
      <c r="E228" s="91">
        <v>2021</v>
      </c>
    </row>
    <row r="229" spans="1:5" ht="16.5" customHeight="1" thickBot="1" x14ac:dyDescent="0.3">
      <c r="A229" s="1145"/>
      <c r="B229" s="90" t="s">
        <v>10</v>
      </c>
      <c r="C229" s="90" t="s">
        <v>11</v>
      </c>
      <c r="D229" s="90" t="s">
        <v>11</v>
      </c>
      <c r="E229" s="90" t="s">
        <v>11</v>
      </c>
    </row>
    <row r="230" spans="1:5" ht="16.5" thickBot="1" x14ac:dyDescent="0.3">
      <c r="A230" s="79" t="s">
        <v>58</v>
      </c>
      <c r="B230" s="72">
        <v>0</v>
      </c>
      <c r="C230" s="72">
        <v>0</v>
      </c>
      <c r="D230" s="72">
        <v>0</v>
      </c>
      <c r="E230" s="72">
        <v>0</v>
      </c>
    </row>
    <row r="231" spans="1:5" ht="16.5" thickBot="1" x14ac:dyDescent="0.3">
      <c r="A231" s="79" t="s">
        <v>59</v>
      </c>
      <c r="B231" s="77">
        <v>55114</v>
      </c>
      <c r="C231" s="94">
        <v>83900</v>
      </c>
      <c r="D231" s="94">
        <v>10000</v>
      </c>
      <c r="E231" s="94">
        <v>4000</v>
      </c>
    </row>
    <row r="232" spans="1:5" ht="16.5" thickBot="1" x14ac:dyDescent="0.3">
      <c r="A232" s="98" t="s">
        <v>40</v>
      </c>
      <c r="B232" s="77">
        <f>B230+B231</f>
        <v>55114</v>
      </c>
      <c r="C232" s="77">
        <f>C231+C230</f>
        <v>83900</v>
      </c>
      <c r="D232" s="77">
        <f>D231+D230</f>
        <v>10000</v>
      </c>
      <c r="E232" s="77">
        <f>E231+E230</f>
        <v>4000</v>
      </c>
    </row>
    <row r="233" spans="1:5" ht="16.5" hidden="1" thickBot="1" x14ac:dyDescent="0.3">
      <c r="A233" s="176"/>
      <c r="B233" s="178"/>
      <c r="C233" s="178"/>
      <c r="D233" s="178"/>
      <c r="E233" s="177"/>
    </row>
    <row r="234" spans="1:5" ht="29.25" thickBot="1" x14ac:dyDescent="0.3">
      <c r="A234" s="97" t="s">
        <v>75</v>
      </c>
      <c r="B234" s="1210" t="s">
        <v>366</v>
      </c>
      <c r="C234" s="1211"/>
      <c r="D234" s="1211"/>
      <c r="E234" s="1212"/>
    </row>
    <row r="235" spans="1:5" ht="16.5" thickBot="1" x14ac:dyDescent="0.3">
      <c r="A235" s="1160" t="s">
        <v>367</v>
      </c>
      <c r="B235" s="1161"/>
      <c r="C235" s="1161"/>
      <c r="D235" s="1161"/>
      <c r="E235" s="1162"/>
    </row>
    <row r="236" spans="1:5" ht="30.75" thickBot="1" x14ac:dyDescent="0.3">
      <c r="A236" s="148" t="s">
        <v>904</v>
      </c>
      <c r="B236" s="96" t="s">
        <v>112</v>
      </c>
      <c r="C236" s="96" t="s">
        <v>113</v>
      </c>
      <c r="D236" s="96" t="s">
        <v>113</v>
      </c>
      <c r="E236" s="96" t="s">
        <v>113</v>
      </c>
    </row>
    <row r="237" spans="1:5" ht="30.75" thickBot="1" x14ac:dyDescent="0.3">
      <c r="A237" s="93" t="s">
        <v>368</v>
      </c>
      <c r="B237" s="96" t="s">
        <v>112</v>
      </c>
      <c r="C237" s="96" t="s">
        <v>113</v>
      </c>
      <c r="D237" s="96" t="s">
        <v>113</v>
      </c>
      <c r="E237" s="96" t="s">
        <v>113</v>
      </c>
    </row>
    <row r="238" spans="1:5" ht="16.5" thickBot="1" x14ac:dyDescent="0.3">
      <c r="A238" s="1169" t="s">
        <v>77</v>
      </c>
      <c r="B238" s="1170"/>
      <c r="C238" s="1170"/>
      <c r="D238" s="1170"/>
      <c r="E238" s="1171"/>
    </row>
    <row r="239" spans="1:5" ht="16.5" thickBot="1" x14ac:dyDescent="0.3">
      <c r="A239" s="1169" t="s">
        <v>104</v>
      </c>
      <c r="B239" s="1170"/>
      <c r="C239" s="1170"/>
      <c r="D239" s="1170"/>
      <c r="E239" s="1171"/>
    </row>
    <row r="240" spans="1:5" ht="16.5" thickBot="1" x14ac:dyDescent="0.3">
      <c r="A240" s="95" t="s">
        <v>105</v>
      </c>
      <c r="B240" s="1169" t="s">
        <v>369</v>
      </c>
      <c r="C240" s="1170"/>
      <c r="D240" s="1170"/>
      <c r="E240" s="1171"/>
    </row>
    <row r="241" spans="1:5" ht="45.6" customHeight="1" thickBot="1" x14ac:dyDescent="0.3">
      <c r="A241" s="93" t="s">
        <v>17</v>
      </c>
      <c r="B241" s="1185" t="s">
        <v>370</v>
      </c>
      <c r="C241" s="1186"/>
      <c r="D241" s="1186"/>
      <c r="E241" s="1187"/>
    </row>
    <row r="242" spans="1:5" ht="16.5" thickBot="1" x14ac:dyDescent="0.3">
      <c r="A242" s="93" t="s">
        <v>18</v>
      </c>
      <c r="B242" s="1188" t="s">
        <v>356</v>
      </c>
      <c r="C242" s="1189"/>
      <c r="D242" s="1189"/>
      <c r="E242" s="1190"/>
    </row>
    <row r="243" spans="1:5" x14ac:dyDescent="0.25">
      <c r="A243" s="1144"/>
      <c r="B243" s="91">
        <v>2018</v>
      </c>
      <c r="C243" s="91">
        <v>2019</v>
      </c>
      <c r="D243" s="91">
        <v>2020</v>
      </c>
      <c r="E243" s="91">
        <v>2021</v>
      </c>
    </row>
    <row r="244" spans="1:5" ht="16.5" thickBot="1" x14ac:dyDescent="0.3">
      <c r="A244" s="1145"/>
      <c r="B244" s="90" t="s">
        <v>10</v>
      </c>
      <c r="C244" s="90" t="s">
        <v>11</v>
      </c>
      <c r="D244" s="90" t="s">
        <v>11</v>
      </c>
      <c r="E244" s="90" t="s">
        <v>11</v>
      </c>
    </row>
    <row r="245" spans="1:5" ht="16.5" thickBot="1" x14ac:dyDescent="0.3">
      <c r="A245" s="93" t="s">
        <v>19</v>
      </c>
      <c r="B245" s="94"/>
      <c r="C245" s="94"/>
      <c r="D245" s="94"/>
      <c r="E245" s="94"/>
    </row>
    <row r="246" spans="1:5" ht="16.5" thickBot="1" x14ac:dyDescent="0.3">
      <c r="A246" s="93" t="s">
        <v>20</v>
      </c>
      <c r="B246" s="94">
        <v>67600</v>
      </c>
      <c r="C246" s="94">
        <v>41308</v>
      </c>
      <c r="D246" s="94">
        <v>37448</v>
      </c>
      <c r="E246" s="94">
        <v>36848</v>
      </c>
    </row>
    <row r="247" spans="1:5" ht="16.5" thickBot="1" x14ac:dyDescent="0.3">
      <c r="A247" s="93" t="s">
        <v>21</v>
      </c>
      <c r="B247" s="94" t="e">
        <f>B246/B245</f>
        <v>#DIV/0!</v>
      </c>
      <c r="C247" s="94" t="e">
        <f>C246/C245</f>
        <v>#DIV/0!</v>
      </c>
      <c r="D247" s="94" t="e">
        <f>D246/D245</f>
        <v>#DIV/0!</v>
      </c>
      <c r="E247" s="94" t="e">
        <f>E246/E245</f>
        <v>#DIV/0!</v>
      </c>
    </row>
    <row r="248" spans="1:5" ht="16.5" thickBot="1" x14ac:dyDescent="0.3">
      <c r="A248" s="93" t="s">
        <v>22</v>
      </c>
      <c r="B248" s="147" t="s">
        <v>23</v>
      </c>
      <c r="C248" s="92" t="e">
        <f t="shared" ref="C248:E250" si="7">C245/B245-1</f>
        <v>#DIV/0!</v>
      </c>
      <c r="D248" s="92" t="e">
        <f t="shared" si="7"/>
        <v>#DIV/0!</v>
      </c>
      <c r="E248" s="92" t="e">
        <f t="shared" si="7"/>
        <v>#DIV/0!</v>
      </c>
    </row>
    <row r="249" spans="1:5" ht="16.5" thickBot="1" x14ac:dyDescent="0.3">
      <c r="A249" s="93" t="s">
        <v>24</v>
      </c>
      <c r="B249" s="147" t="s">
        <v>23</v>
      </c>
      <c r="C249" s="92">
        <f t="shared" si="7"/>
        <v>-0.3889349112426036</v>
      </c>
      <c r="D249" s="92">
        <f t="shared" si="7"/>
        <v>-9.3444369129466409E-2</v>
      </c>
      <c r="E249" s="92">
        <f t="shared" si="7"/>
        <v>-1.6022217474898515E-2</v>
      </c>
    </row>
    <row r="250" spans="1:5" ht="30.75" thickBot="1" x14ac:dyDescent="0.3">
      <c r="A250" s="93" t="s">
        <v>25</v>
      </c>
      <c r="B250" s="147" t="s">
        <v>23</v>
      </c>
      <c r="C250" s="92" t="e">
        <f t="shared" si="7"/>
        <v>#DIV/0!</v>
      </c>
      <c r="D250" s="92" t="e">
        <f t="shared" si="7"/>
        <v>#DIV/0!</v>
      </c>
      <c r="E250" s="92" t="e">
        <f t="shared" si="7"/>
        <v>#DIV/0!</v>
      </c>
    </row>
    <row r="251" spans="1:5" ht="16.5" thickBot="1" x14ac:dyDescent="0.3">
      <c r="A251" s="1146" t="s">
        <v>394</v>
      </c>
      <c r="B251" s="1147"/>
      <c r="C251" s="1147"/>
      <c r="D251" s="1147"/>
      <c r="E251" s="1148"/>
    </row>
    <row r="252" spans="1:5" x14ac:dyDescent="0.25">
      <c r="A252" s="1144"/>
      <c r="B252" s="91">
        <v>2018</v>
      </c>
      <c r="C252" s="91">
        <v>2019</v>
      </c>
      <c r="D252" s="91">
        <v>2020</v>
      </c>
      <c r="E252" s="91">
        <v>2021</v>
      </c>
    </row>
    <row r="253" spans="1:5" ht="16.5" thickBot="1" x14ac:dyDescent="0.3">
      <c r="A253" s="1145"/>
      <c r="B253" s="90" t="s">
        <v>10</v>
      </c>
      <c r="C253" s="90" t="s">
        <v>11</v>
      </c>
      <c r="D253" s="90" t="s">
        <v>11</v>
      </c>
      <c r="E253" s="90" t="s">
        <v>11</v>
      </c>
    </row>
    <row r="254" spans="1:5" ht="16.5" thickBot="1" x14ac:dyDescent="0.3">
      <c r="A254" s="79" t="s">
        <v>26</v>
      </c>
      <c r="B254" s="72">
        <v>17000</v>
      </c>
      <c r="C254" s="72">
        <v>17000</v>
      </c>
      <c r="D254" s="72">
        <v>17000</v>
      </c>
      <c r="E254" s="72">
        <v>17000</v>
      </c>
    </row>
    <row r="255" spans="1:5" ht="30.75" thickBot="1" x14ac:dyDescent="0.3">
      <c r="A255" s="79" t="s">
        <v>28</v>
      </c>
      <c r="B255" s="72">
        <v>2800</v>
      </c>
      <c r="C255" s="72">
        <v>2900</v>
      </c>
      <c r="D255" s="72">
        <v>2900</v>
      </c>
      <c r="E255" s="72">
        <v>2900</v>
      </c>
    </row>
    <row r="256" spans="1:5" ht="16.5" thickBot="1" x14ac:dyDescent="0.3">
      <c r="A256" s="79" t="s">
        <v>30</v>
      </c>
      <c r="B256" s="94">
        <v>47800</v>
      </c>
      <c r="C256" s="94">
        <v>21408</v>
      </c>
      <c r="D256" s="94">
        <v>17548</v>
      </c>
      <c r="E256" s="94">
        <v>16948</v>
      </c>
    </row>
    <row r="257" spans="1:5" ht="16.5" hidden="1" thickBot="1" x14ac:dyDescent="0.3">
      <c r="A257" s="79" t="s">
        <v>32</v>
      </c>
      <c r="B257" s="77">
        <v>0</v>
      </c>
      <c r="C257" s="77">
        <v>0</v>
      </c>
      <c r="D257" s="77">
        <v>0</v>
      </c>
      <c r="E257" s="77">
        <v>0</v>
      </c>
    </row>
    <row r="258" spans="1:5" ht="16.5" hidden="1" thickBot="1" x14ac:dyDescent="0.3">
      <c r="A258" s="79" t="s">
        <v>34</v>
      </c>
      <c r="B258" s="77">
        <v>0</v>
      </c>
      <c r="C258" s="77">
        <v>0</v>
      </c>
      <c r="D258" s="77">
        <v>0</v>
      </c>
      <c r="E258" s="77">
        <v>0</v>
      </c>
    </row>
    <row r="259" spans="1:5" ht="16.5" hidden="1" thickBot="1" x14ac:dyDescent="0.3">
      <c r="A259" s="79" t="s">
        <v>36</v>
      </c>
      <c r="B259" s="77">
        <v>0</v>
      </c>
      <c r="C259" s="77">
        <v>0</v>
      </c>
      <c r="D259" s="77">
        <v>0</v>
      </c>
      <c r="E259" s="77">
        <v>0</v>
      </c>
    </row>
    <row r="260" spans="1:5" ht="30.75" hidden="1" thickBot="1" x14ac:dyDescent="0.3">
      <c r="A260" s="79" t="s">
        <v>38</v>
      </c>
      <c r="B260" s="77">
        <v>0</v>
      </c>
      <c r="C260" s="77">
        <v>0</v>
      </c>
      <c r="D260" s="77">
        <v>0</v>
      </c>
      <c r="E260" s="77">
        <v>0</v>
      </c>
    </row>
    <row r="261" spans="1:5" ht="16.5" thickBot="1" x14ac:dyDescent="0.3">
      <c r="A261" s="98" t="s">
        <v>40</v>
      </c>
      <c r="B261" s="77">
        <f>B260+B259+B258+B257+B256+B255+B254</f>
        <v>67600</v>
      </c>
      <c r="C261" s="77">
        <f>C260+C259+C258+C257+C256+C255+C254</f>
        <v>41308</v>
      </c>
      <c r="D261" s="77">
        <f>D260+D259+D258+D257+D256+D255+D254</f>
        <v>37448</v>
      </c>
      <c r="E261" s="77">
        <f>E260+E259+E258+E257+E256+E255+E254</f>
        <v>36848</v>
      </c>
    </row>
    <row r="262" spans="1:5" ht="16.5" thickBot="1" x14ac:dyDescent="0.3">
      <c r="A262" s="75" t="s">
        <v>41</v>
      </c>
      <c r="B262" s="74">
        <f>IF(B261-B246=0,0,"Error")</f>
        <v>0</v>
      </c>
      <c r="C262" s="74">
        <f>IF(C261-C246=0,0,"Error")</f>
        <v>0</v>
      </c>
      <c r="D262" s="74">
        <f>IF(D261-D246=0,0,"Error")</f>
        <v>0</v>
      </c>
      <c r="E262" s="74">
        <f>IF(E261-E246=0,0,"Error")</f>
        <v>0</v>
      </c>
    </row>
    <row r="263" spans="1:5" ht="16.5" thickBot="1" x14ac:dyDescent="0.3">
      <c r="A263" s="101" t="s">
        <v>42</v>
      </c>
      <c r="B263" s="1169" t="s">
        <v>371</v>
      </c>
      <c r="C263" s="1170"/>
      <c r="D263" s="1170"/>
      <c r="E263" s="1171"/>
    </row>
    <row r="264" spans="1:5" ht="44.45" customHeight="1" thickBot="1" x14ac:dyDescent="0.3">
      <c r="A264" s="93" t="s">
        <v>17</v>
      </c>
      <c r="B264" s="1185" t="s">
        <v>372</v>
      </c>
      <c r="C264" s="1186"/>
      <c r="D264" s="1186"/>
      <c r="E264" s="1187"/>
    </row>
    <row r="265" spans="1:5" ht="16.5" thickBot="1" x14ac:dyDescent="0.3">
      <c r="A265" s="93" t="s">
        <v>18</v>
      </c>
      <c r="B265" s="1172" t="s">
        <v>356</v>
      </c>
      <c r="C265" s="1173"/>
      <c r="D265" s="1173"/>
      <c r="E265" s="1174"/>
    </row>
    <row r="266" spans="1:5" ht="16.5" thickBot="1" x14ac:dyDescent="0.3">
      <c r="A266" s="93" t="s">
        <v>19</v>
      </c>
      <c r="B266" s="94">
        <v>10</v>
      </c>
      <c r="C266" s="94">
        <v>10</v>
      </c>
      <c r="D266" s="94">
        <v>10</v>
      </c>
      <c r="E266" s="94">
        <v>10</v>
      </c>
    </row>
    <row r="267" spans="1:5" x14ac:dyDescent="0.25">
      <c r="A267" s="1144"/>
      <c r="B267" s="91">
        <v>2018</v>
      </c>
      <c r="C267" s="91">
        <v>2019</v>
      </c>
      <c r="D267" s="91">
        <v>2020</v>
      </c>
      <c r="E267" s="91">
        <v>2021</v>
      </c>
    </row>
    <row r="268" spans="1:5" ht="16.5" thickBot="1" x14ac:dyDescent="0.3">
      <c r="A268" s="1145"/>
      <c r="B268" s="90" t="s">
        <v>10</v>
      </c>
      <c r="C268" s="90" t="s">
        <v>11</v>
      </c>
      <c r="D268" s="90" t="s">
        <v>11</v>
      </c>
      <c r="E268" s="90" t="s">
        <v>11</v>
      </c>
    </row>
    <row r="269" spans="1:5" ht="16.5" thickBot="1" x14ac:dyDescent="0.3">
      <c r="A269" s="93" t="s">
        <v>20</v>
      </c>
      <c r="B269" s="94">
        <v>41861</v>
      </c>
      <c r="C269" s="94">
        <v>45200</v>
      </c>
      <c r="D269" s="94">
        <v>45904</v>
      </c>
      <c r="E269" s="94">
        <v>46668</v>
      </c>
    </row>
    <row r="270" spans="1:5" ht="16.5" thickBot="1" x14ac:dyDescent="0.3">
      <c r="A270" s="93" t="s">
        <v>21</v>
      </c>
      <c r="B270" s="94">
        <f>B269/B266</f>
        <v>4186.1000000000004</v>
      </c>
      <c r="C270" s="94">
        <f>C269/C266</f>
        <v>4520</v>
      </c>
      <c r="D270" s="94">
        <f>D269/D266</f>
        <v>4590.3999999999996</v>
      </c>
      <c r="E270" s="94">
        <f>E269/E266</f>
        <v>4666.8</v>
      </c>
    </row>
    <row r="271" spans="1:5" ht="16.5" thickBot="1" x14ac:dyDescent="0.3">
      <c r="A271" s="93" t="s">
        <v>22</v>
      </c>
      <c r="B271" s="147"/>
      <c r="C271" s="92">
        <f>C266/B266-1</f>
        <v>0</v>
      </c>
      <c r="D271" s="92">
        <f>D266/C266-1</f>
        <v>0</v>
      </c>
      <c r="E271" s="92">
        <f>E266/D266-1</f>
        <v>0</v>
      </c>
    </row>
    <row r="272" spans="1:5" ht="16.5" thickBot="1" x14ac:dyDescent="0.3">
      <c r="A272" s="93" t="s">
        <v>24</v>
      </c>
      <c r="B272" s="147"/>
      <c r="C272" s="92">
        <f t="shared" ref="C272:E273" si="8">C269/B269-1</f>
        <v>7.9763980793578826E-2</v>
      </c>
      <c r="D272" s="92">
        <f t="shared" si="8"/>
        <v>1.5575221238937953E-2</v>
      </c>
      <c r="E272" s="92">
        <f t="shared" si="8"/>
        <v>1.6643429766469042E-2</v>
      </c>
    </row>
    <row r="273" spans="1:5" ht="30.75" thickBot="1" x14ac:dyDescent="0.3">
      <c r="A273" s="93" t="s">
        <v>25</v>
      </c>
      <c r="B273" s="147"/>
      <c r="C273" s="92">
        <f t="shared" si="8"/>
        <v>7.9763980793578604E-2</v>
      </c>
      <c r="D273" s="92">
        <f t="shared" si="8"/>
        <v>1.5575221238937953E-2</v>
      </c>
      <c r="E273" s="92">
        <f t="shared" si="8"/>
        <v>1.6643429766469264E-2</v>
      </c>
    </row>
    <row r="274" spans="1:5" ht="16.5" thickBot="1" x14ac:dyDescent="0.3">
      <c r="A274" s="1146" t="s">
        <v>533</v>
      </c>
      <c r="B274" s="1147"/>
      <c r="C274" s="1147"/>
      <c r="D274" s="1147"/>
      <c r="E274" s="1148"/>
    </row>
    <row r="275" spans="1:5" x14ac:dyDescent="0.25">
      <c r="A275" s="1144"/>
      <c r="B275" s="91">
        <v>2018</v>
      </c>
      <c r="C275" s="91">
        <v>2019</v>
      </c>
      <c r="D275" s="91">
        <v>2020</v>
      </c>
      <c r="E275" s="91">
        <v>2021</v>
      </c>
    </row>
    <row r="276" spans="1:5" ht="16.5" thickBot="1" x14ac:dyDescent="0.3">
      <c r="A276" s="1145"/>
      <c r="B276" s="90" t="s">
        <v>10</v>
      </c>
      <c r="C276" s="90" t="s">
        <v>11</v>
      </c>
      <c r="D276" s="90" t="s">
        <v>11</v>
      </c>
      <c r="E276" s="90" t="s">
        <v>11</v>
      </c>
    </row>
    <row r="277" spans="1:5" ht="16.5" thickBot="1" x14ac:dyDescent="0.3">
      <c r="A277" s="79" t="s">
        <v>26</v>
      </c>
      <c r="B277" s="72">
        <v>19000</v>
      </c>
      <c r="C277" s="72">
        <v>19000</v>
      </c>
      <c r="D277" s="72">
        <v>19000</v>
      </c>
      <c r="E277" s="72">
        <v>19000</v>
      </c>
    </row>
    <row r="278" spans="1:5" ht="30.75" thickBot="1" x14ac:dyDescent="0.3">
      <c r="A278" s="79" t="s">
        <v>28</v>
      </c>
      <c r="B278" s="72">
        <v>3200</v>
      </c>
      <c r="C278" s="72">
        <v>3200</v>
      </c>
      <c r="D278" s="72">
        <v>3200</v>
      </c>
      <c r="E278" s="72">
        <v>3200</v>
      </c>
    </row>
    <row r="279" spans="1:5" ht="16.5" thickBot="1" x14ac:dyDescent="0.3">
      <c r="A279" s="79" t="s">
        <v>30</v>
      </c>
      <c r="B279" s="77">
        <v>19661</v>
      </c>
      <c r="C279" s="72">
        <v>23000</v>
      </c>
      <c r="D279" s="72">
        <v>23704</v>
      </c>
      <c r="E279" s="72">
        <v>24468</v>
      </c>
    </row>
    <row r="280" spans="1:5" ht="16.5" hidden="1" thickBot="1" x14ac:dyDescent="0.3">
      <c r="A280" s="79" t="s">
        <v>32</v>
      </c>
      <c r="B280" s="77"/>
      <c r="C280" s="72"/>
      <c r="D280" s="72"/>
      <c r="E280" s="72"/>
    </row>
    <row r="281" spans="1:5" ht="16.5" hidden="1" thickBot="1" x14ac:dyDescent="0.3">
      <c r="A281" s="79" t="s">
        <v>34</v>
      </c>
      <c r="B281" s="77"/>
      <c r="C281" s="72"/>
      <c r="D281" s="72"/>
      <c r="E281" s="72"/>
    </row>
    <row r="282" spans="1:5" ht="16.5" hidden="1" thickBot="1" x14ac:dyDescent="0.3">
      <c r="A282" s="79" t="s">
        <v>36</v>
      </c>
      <c r="B282" s="77"/>
      <c r="C282" s="72"/>
      <c r="D282" s="72"/>
      <c r="E282" s="72"/>
    </row>
    <row r="283" spans="1:5" ht="30.75" hidden="1" thickBot="1" x14ac:dyDescent="0.3">
      <c r="A283" s="79" t="s">
        <v>38</v>
      </c>
      <c r="B283" s="77"/>
      <c r="C283" s="72"/>
      <c r="D283" s="72"/>
      <c r="E283" s="72"/>
    </row>
    <row r="284" spans="1:5" ht="16.5" thickBot="1" x14ac:dyDescent="0.3">
      <c r="A284" s="123" t="s">
        <v>43</v>
      </c>
      <c r="B284" s="77">
        <f>B283+B282+B281+B280+B279+B278+B277</f>
        <v>41861</v>
      </c>
      <c r="C284" s="77">
        <f>C283+C282+C281+C280+C279+C278+C277</f>
        <v>45200</v>
      </c>
      <c r="D284" s="77">
        <f>D283+D282+D281+D280+D279+D278+D277</f>
        <v>45904</v>
      </c>
      <c r="E284" s="77">
        <f>E283+E282+E281+E280+E279+E278+E277</f>
        <v>46668</v>
      </c>
    </row>
    <row r="285" spans="1:5" ht="16.5" thickBot="1" x14ac:dyDescent="0.3">
      <c r="A285" s="75" t="s">
        <v>41</v>
      </c>
      <c r="B285" s="74">
        <f>IF(B284-B269=0,0,"Error")</f>
        <v>0</v>
      </c>
      <c r="C285" s="74">
        <f>IF(C284-C269=0,0,"Error")</f>
        <v>0</v>
      </c>
      <c r="D285" s="74">
        <f>IF(D284-D269=0,0,"Error")</f>
        <v>0</v>
      </c>
      <c r="E285" s="74">
        <f>IF(E284-E269=0,0,"Error")</f>
        <v>0</v>
      </c>
    </row>
    <row r="286" spans="1:5" ht="16.5" hidden="1" thickBot="1" x14ac:dyDescent="0.3">
      <c r="A286" s="124"/>
      <c r="B286" s="125"/>
      <c r="C286" s="125"/>
      <c r="D286" s="125"/>
      <c r="E286" s="126"/>
    </row>
    <row r="287" spans="1:5" ht="16.5" thickBot="1" x14ac:dyDescent="0.3">
      <c r="A287" s="1169" t="s">
        <v>63</v>
      </c>
      <c r="B287" s="1170"/>
      <c r="C287" s="1170"/>
      <c r="D287" s="1170"/>
      <c r="E287" s="1171"/>
    </row>
    <row r="288" spans="1:5" ht="16.5" thickBot="1" x14ac:dyDescent="0.3">
      <c r="A288" s="1169" t="s">
        <v>56</v>
      </c>
      <c r="B288" s="1170"/>
      <c r="C288" s="1170"/>
      <c r="D288" s="1170"/>
      <c r="E288" s="1171"/>
    </row>
    <row r="289" spans="1:5" ht="30.75" thickBot="1" x14ac:dyDescent="0.3">
      <c r="A289" s="99" t="s">
        <v>79</v>
      </c>
      <c r="B289" s="1182"/>
      <c r="C289" s="1183"/>
      <c r="D289" s="1183"/>
      <c r="E289" s="1184"/>
    </row>
    <row r="290" spans="1:5" ht="16.5" thickBot="1" x14ac:dyDescent="0.3">
      <c r="A290" s="95" t="s">
        <v>16</v>
      </c>
      <c r="B290" s="1169" t="s">
        <v>369</v>
      </c>
      <c r="C290" s="1170"/>
      <c r="D290" s="1170"/>
      <c r="E290" s="1171"/>
    </row>
    <row r="291" spans="1:5" ht="16.5" thickBot="1" x14ac:dyDescent="0.3">
      <c r="A291" s="93" t="s">
        <v>17</v>
      </c>
      <c r="B291" s="1185"/>
      <c r="C291" s="1186"/>
      <c r="D291" s="1186"/>
      <c r="E291" s="1187"/>
    </row>
    <row r="292" spans="1:5" ht="16.5" thickBot="1" x14ac:dyDescent="0.3">
      <c r="A292" s="93" t="s">
        <v>18</v>
      </c>
      <c r="B292" s="1172" t="s">
        <v>903</v>
      </c>
      <c r="C292" s="1173"/>
      <c r="D292" s="1173"/>
      <c r="E292" s="1174"/>
    </row>
    <row r="293" spans="1:5" x14ac:dyDescent="0.25">
      <c r="A293" s="1144"/>
      <c r="B293" s="91">
        <v>2018</v>
      </c>
      <c r="C293" s="91">
        <v>2019</v>
      </c>
      <c r="D293" s="91">
        <v>2020</v>
      </c>
      <c r="E293" s="91">
        <v>2021</v>
      </c>
    </row>
    <row r="294" spans="1:5" ht="16.5" thickBot="1" x14ac:dyDescent="0.3">
      <c r="A294" s="1145"/>
      <c r="B294" s="90" t="s">
        <v>10</v>
      </c>
      <c r="C294" s="90" t="s">
        <v>11</v>
      </c>
      <c r="D294" s="90" t="s">
        <v>11</v>
      </c>
      <c r="E294" s="90" t="s">
        <v>11</v>
      </c>
    </row>
    <row r="295" spans="1:5" ht="16.5" thickBot="1" x14ac:dyDescent="0.3">
      <c r="A295" s="93" t="s">
        <v>19</v>
      </c>
      <c r="B295" s="94">
        <v>6</v>
      </c>
      <c r="C295" s="94">
        <v>1</v>
      </c>
      <c r="D295" s="122">
        <v>2</v>
      </c>
      <c r="E295" s="122">
        <v>3</v>
      </c>
    </row>
    <row r="296" spans="1:5" ht="16.5" thickBot="1" x14ac:dyDescent="0.3">
      <c r="A296" s="93" t="s">
        <v>20</v>
      </c>
      <c r="B296" s="94">
        <v>30734</v>
      </c>
      <c r="C296" s="94">
        <v>900</v>
      </c>
      <c r="D296" s="94">
        <v>20900</v>
      </c>
      <c r="E296" s="94">
        <v>37900</v>
      </c>
    </row>
    <row r="297" spans="1:5" ht="16.5" thickBot="1" x14ac:dyDescent="0.3">
      <c r="A297" s="93" t="s">
        <v>21</v>
      </c>
      <c r="B297" s="94">
        <f>B296/B295</f>
        <v>5122.333333333333</v>
      </c>
      <c r="C297" s="94"/>
      <c r="D297" s="94"/>
      <c r="E297" s="94"/>
    </row>
    <row r="298" spans="1:5" ht="16.5" thickBot="1" x14ac:dyDescent="0.3">
      <c r="A298" s="93" t="s">
        <v>22</v>
      </c>
      <c r="B298" s="147" t="s">
        <v>23</v>
      </c>
      <c r="C298" s="92"/>
      <c r="D298" s="92"/>
      <c r="E298" s="92"/>
    </row>
    <row r="299" spans="1:5" ht="16.5" thickBot="1" x14ac:dyDescent="0.3">
      <c r="A299" s="93" t="s">
        <v>24</v>
      </c>
      <c r="B299" s="147" t="s">
        <v>23</v>
      </c>
      <c r="C299" s="92"/>
      <c r="D299" s="92"/>
      <c r="E299" s="92"/>
    </row>
    <row r="300" spans="1:5" ht="30.75" thickBot="1" x14ac:dyDescent="0.3">
      <c r="A300" s="93" t="s">
        <v>25</v>
      </c>
      <c r="B300" s="147" t="s">
        <v>23</v>
      </c>
      <c r="C300" s="92"/>
      <c r="D300" s="92"/>
      <c r="E300" s="92"/>
    </row>
    <row r="301" spans="1:5" ht="16.5" thickBot="1" x14ac:dyDescent="0.3">
      <c r="A301" s="1146" t="s">
        <v>394</v>
      </c>
      <c r="B301" s="1147"/>
      <c r="C301" s="1147"/>
      <c r="D301" s="1147"/>
      <c r="E301" s="1148"/>
    </row>
    <row r="302" spans="1:5" x14ac:dyDescent="0.25">
      <c r="A302" s="1144"/>
      <c r="B302" s="91">
        <v>2018</v>
      </c>
      <c r="C302" s="91">
        <v>2019</v>
      </c>
      <c r="D302" s="91">
        <v>2020</v>
      </c>
      <c r="E302" s="91">
        <v>2021</v>
      </c>
    </row>
    <row r="303" spans="1:5" ht="16.5" thickBot="1" x14ac:dyDescent="0.3">
      <c r="A303" s="1145"/>
      <c r="B303" s="90" t="s">
        <v>10</v>
      </c>
      <c r="C303" s="90" t="s">
        <v>11</v>
      </c>
      <c r="D303" s="90" t="s">
        <v>11</v>
      </c>
      <c r="E303" s="90" t="s">
        <v>11</v>
      </c>
    </row>
    <row r="304" spans="1:5" ht="16.5" thickBot="1" x14ac:dyDescent="0.3">
      <c r="A304" s="79" t="s">
        <v>58</v>
      </c>
      <c r="B304" s="72">
        <v>408</v>
      </c>
      <c r="C304" s="72">
        <v>0</v>
      </c>
      <c r="D304" s="72">
        <v>0</v>
      </c>
      <c r="E304" s="72">
        <v>0</v>
      </c>
    </row>
    <row r="305" spans="1:5" ht="16.5" thickBot="1" x14ac:dyDescent="0.3">
      <c r="A305" s="79" t="s">
        <v>59</v>
      </c>
      <c r="B305" s="77">
        <f>30374-408+360</f>
        <v>30326</v>
      </c>
      <c r="C305" s="94">
        <v>900</v>
      </c>
      <c r="D305" s="94">
        <v>20900</v>
      </c>
      <c r="E305" s="94">
        <v>37900</v>
      </c>
    </row>
    <row r="306" spans="1:5" ht="16.5" thickBot="1" x14ac:dyDescent="0.3">
      <c r="A306" s="98" t="s">
        <v>40</v>
      </c>
      <c r="B306" s="77">
        <f>B305+B304</f>
        <v>30734</v>
      </c>
      <c r="C306" s="77">
        <f>C305+C304</f>
        <v>900</v>
      </c>
      <c r="D306" s="77">
        <f>D305+D304</f>
        <v>20900</v>
      </c>
      <c r="E306" s="77">
        <f>E305+E304</f>
        <v>37900</v>
      </c>
    </row>
    <row r="307" spans="1:5" ht="16.5" hidden="1" thickBot="1" x14ac:dyDescent="0.3">
      <c r="A307" s="1149" t="s">
        <v>60</v>
      </c>
      <c r="B307" s="1179"/>
      <c r="C307" s="1151"/>
      <c r="D307" s="1151"/>
      <c r="E307" s="1152"/>
    </row>
    <row r="308" spans="1:5" ht="16.5" hidden="1" thickBot="1" x14ac:dyDescent="0.3">
      <c r="A308" s="1150"/>
      <c r="B308" s="1180"/>
      <c r="C308" s="1153"/>
      <c r="D308" s="1153"/>
      <c r="E308" s="1154"/>
    </row>
    <row r="309" spans="1:5" ht="16.5" hidden="1" thickBot="1" x14ac:dyDescent="0.3">
      <c r="A309" s="1175"/>
      <c r="B309" s="1181"/>
      <c r="C309" s="1155"/>
      <c r="D309" s="1155"/>
      <c r="E309" s="1156"/>
    </row>
    <row r="310" spans="1:5" ht="16.5" thickBot="1" x14ac:dyDescent="0.3">
      <c r="A310" s="99" t="s">
        <v>61</v>
      </c>
      <c r="B310" s="1182"/>
      <c r="C310" s="1183"/>
      <c r="D310" s="1183"/>
      <c r="E310" s="1184"/>
    </row>
    <row r="311" spans="1:5" ht="16.5" thickBot="1" x14ac:dyDescent="0.3">
      <c r="A311" s="95" t="s">
        <v>42</v>
      </c>
      <c r="B311" s="1169" t="s">
        <v>371</v>
      </c>
      <c r="C311" s="1170"/>
      <c r="D311" s="1170"/>
      <c r="E311" s="1171"/>
    </row>
    <row r="312" spans="1:5" ht="16.5" thickBot="1" x14ac:dyDescent="0.3">
      <c r="A312" s="93" t="s">
        <v>17</v>
      </c>
      <c r="B312" s="1185"/>
      <c r="C312" s="1186"/>
      <c r="D312" s="1186"/>
      <c r="E312" s="1187"/>
    </row>
    <row r="313" spans="1:5" ht="16.5" thickBot="1" x14ac:dyDescent="0.3">
      <c r="A313" s="93" t="s">
        <v>18</v>
      </c>
      <c r="B313" s="1172" t="s">
        <v>902</v>
      </c>
      <c r="C313" s="1173"/>
      <c r="D313" s="1173"/>
      <c r="E313" s="1174"/>
    </row>
    <row r="314" spans="1:5" x14ac:dyDescent="0.25">
      <c r="A314" s="1144"/>
      <c r="B314" s="91">
        <v>2018</v>
      </c>
      <c r="C314" s="91">
        <v>2019</v>
      </c>
      <c r="D314" s="91">
        <v>2020</v>
      </c>
      <c r="E314" s="91">
        <v>2021</v>
      </c>
    </row>
    <row r="315" spans="1:5" ht="16.5" thickBot="1" x14ac:dyDescent="0.3">
      <c r="A315" s="1145"/>
      <c r="B315" s="90" t="s">
        <v>10</v>
      </c>
      <c r="C315" s="90" t="s">
        <v>11</v>
      </c>
      <c r="D315" s="90" t="s">
        <v>11</v>
      </c>
      <c r="E315" s="90" t="s">
        <v>11</v>
      </c>
    </row>
    <row r="316" spans="1:5" ht="16.5" thickBot="1" x14ac:dyDescent="0.3">
      <c r="A316" s="93" t="s">
        <v>19</v>
      </c>
      <c r="B316" s="94">
        <v>4</v>
      </c>
      <c r="C316" s="94">
        <v>3</v>
      </c>
      <c r="D316" s="94">
        <v>3</v>
      </c>
      <c r="E316" s="94">
        <v>2</v>
      </c>
    </row>
    <row r="317" spans="1:5" ht="16.5" thickBot="1" x14ac:dyDescent="0.3">
      <c r="A317" s="93" t="s">
        <v>20</v>
      </c>
      <c r="B317" s="94">
        <v>35500</v>
      </c>
      <c r="C317" s="72">
        <v>16000</v>
      </c>
      <c r="D317" s="72">
        <v>17000</v>
      </c>
      <c r="E317" s="72">
        <v>6000</v>
      </c>
    </row>
    <row r="318" spans="1:5" ht="16.5" thickBot="1" x14ac:dyDescent="0.3">
      <c r="A318" s="93" t="s">
        <v>21</v>
      </c>
      <c r="B318" s="94">
        <f>B317/B316</f>
        <v>8875</v>
      </c>
      <c r="C318" s="94">
        <f>C317/C316</f>
        <v>5333.333333333333</v>
      </c>
      <c r="D318" s="94">
        <f>D317/D316</f>
        <v>5666.666666666667</v>
      </c>
      <c r="E318" s="94">
        <f>E317/E316</f>
        <v>3000</v>
      </c>
    </row>
    <row r="319" spans="1:5" ht="16.5" thickBot="1" x14ac:dyDescent="0.3">
      <c r="A319" s="93" t="s">
        <v>22</v>
      </c>
      <c r="B319" s="147" t="s">
        <v>23</v>
      </c>
      <c r="C319" s="92">
        <f t="shared" ref="C319:E321" si="9">C316/B316-1</f>
        <v>-0.25</v>
      </c>
      <c r="D319" s="92">
        <f t="shared" si="9"/>
        <v>0</v>
      </c>
      <c r="E319" s="92">
        <f t="shared" si="9"/>
        <v>-0.33333333333333337</v>
      </c>
    </row>
    <row r="320" spans="1:5" ht="16.5" thickBot="1" x14ac:dyDescent="0.3">
      <c r="A320" s="93" t="s">
        <v>24</v>
      </c>
      <c r="B320" s="147" t="s">
        <v>23</v>
      </c>
      <c r="C320" s="92">
        <f t="shared" si="9"/>
        <v>-0.54929577464788726</v>
      </c>
      <c r="D320" s="92">
        <f t="shared" si="9"/>
        <v>6.25E-2</v>
      </c>
      <c r="E320" s="92">
        <f t="shared" si="9"/>
        <v>-0.64705882352941169</v>
      </c>
    </row>
    <row r="321" spans="1:5" ht="30.75" thickBot="1" x14ac:dyDescent="0.3">
      <c r="A321" s="93" t="s">
        <v>25</v>
      </c>
      <c r="B321" s="147" t="s">
        <v>23</v>
      </c>
      <c r="C321" s="92">
        <f t="shared" si="9"/>
        <v>-0.39906103286384975</v>
      </c>
      <c r="D321" s="92">
        <f t="shared" si="9"/>
        <v>6.2500000000000222E-2</v>
      </c>
      <c r="E321" s="92">
        <f t="shared" si="9"/>
        <v>-0.47058823529411764</v>
      </c>
    </row>
    <row r="322" spans="1:5" ht="16.5" thickBot="1" x14ac:dyDescent="0.3">
      <c r="A322" s="1146" t="s">
        <v>535</v>
      </c>
      <c r="B322" s="1147"/>
      <c r="C322" s="1147"/>
      <c r="D322" s="1147"/>
      <c r="E322" s="1148"/>
    </row>
    <row r="323" spans="1:5" x14ac:dyDescent="0.25">
      <c r="A323" s="1144"/>
      <c r="B323" s="91">
        <v>2018</v>
      </c>
      <c r="C323" s="91">
        <v>2019</v>
      </c>
      <c r="D323" s="91">
        <v>2020</v>
      </c>
      <c r="E323" s="91">
        <v>2021</v>
      </c>
    </row>
    <row r="324" spans="1:5" ht="16.5" thickBot="1" x14ac:dyDescent="0.3">
      <c r="A324" s="1145"/>
      <c r="B324" s="90" t="s">
        <v>10</v>
      </c>
      <c r="C324" s="90" t="s">
        <v>11</v>
      </c>
      <c r="D324" s="90" t="s">
        <v>11</v>
      </c>
      <c r="E324" s="90" t="s">
        <v>11</v>
      </c>
    </row>
    <row r="325" spans="1:5" ht="16.5" thickBot="1" x14ac:dyDescent="0.3">
      <c r="A325" s="79" t="s">
        <v>58</v>
      </c>
      <c r="B325" s="72">
        <v>0</v>
      </c>
      <c r="C325" s="72">
        <v>0</v>
      </c>
      <c r="D325" s="72">
        <v>0</v>
      </c>
      <c r="E325" s="72">
        <v>0</v>
      </c>
    </row>
    <row r="326" spans="1:5" ht="16.5" thickBot="1" x14ac:dyDescent="0.3">
      <c r="A326" s="79" t="s">
        <v>59</v>
      </c>
      <c r="B326" s="94">
        <v>35500</v>
      </c>
      <c r="C326" s="72">
        <v>16000</v>
      </c>
      <c r="D326" s="72">
        <v>17000</v>
      </c>
      <c r="E326" s="72">
        <v>6000</v>
      </c>
    </row>
    <row r="327" spans="1:5" ht="16.5" thickBot="1" x14ac:dyDescent="0.3">
      <c r="A327" s="98" t="s">
        <v>43</v>
      </c>
      <c r="B327" s="77">
        <f>B326+B325</f>
        <v>35500</v>
      </c>
      <c r="C327" s="72">
        <f>SUM(C325:C326)</f>
        <v>16000</v>
      </c>
      <c r="D327" s="72">
        <f>SUM(D325:D326)</f>
        <v>17000</v>
      </c>
      <c r="E327" s="72">
        <f>SUM(E325:E326)</f>
        <v>6000</v>
      </c>
    </row>
    <row r="328" spans="1:5" ht="0.6" customHeight="1" thickBot="1" x14ac:dyDescent="0.3">
      <c r="A328" s="176"/>
      <c r="B328" s="178"/>
      <c r="C328" s="178"/>
      <c r="D328" s="178"/>
      <c r="E328" s="177"/>
    </row>
    <row r="329" spans="1:5" ht="16.5" hidden="1" thickBot="1" x14ac:dyDescent="0.3">
      <c r="A329" s="176"/>
      <c r="B329" s="1207"/>
      <c r="C329" s="1208"/>
      <c r="D329" s="1208"/>
      <c r="E329" s="1209"/>
    </row>
    <row r="330" spans="1:5" ht="29.25" thickBot="1" x14ac:dyDescent="0.3">
      <c r="A330" s="97" t="s">
        <v>78</v>
      </c>
      <c r="B330" s="1210" t="s">
        <v>373</v>
      </c>
      <c r="C330" s="1211"/>
      <c r="D330" s="1211"/>
      <c r="E330" s="1212"/>
    </row>
    <row r="331" spans="1:5" ht="16.5" thickBot="1" x14ac:dyDescent="0.3">
      <c r="A331" s="1160" t="s">
        <v>374</v>
      </c>
      <c r="B331" s="1161"/>
      <c r="C331" s="1161"/>
      <c r="D331" s="1161"/>
      <c r="E331" s="1162"/>
    </row>
    <row r="332" spans="1:5" ht="30.75" thickBot="1" x14ac:dyDescent="0.3">
      <c r="A332" s="148" t="s">
        <v>375</v>
      </c>
      <c r="B332" s="96" t="s">
        <v>112</v>
      </c>
      <c r="C332" s="96" t="s">
        <v>113</v>
      </c>
      <c r="D332" s="96" t="s">
        <v>113</v>
      </c>
      <c r="E332" s="96" t="s">
        <v>113</v>
      </c>
    </row>
    <row r="333" spans="1:5" ht="16.5" thickBot="1" x14ac:dyDescent="0.3">
      <c r="A333" s="1169" t="s">
        <v>205</v>
      </c>
      <c r="B333" s="1170"/>
      <c r="C333" s="1170"/>
      <c r="D333" s="1170"/>
      <c r="E333" s="1171"/>
    </row>
    <row r="334" spans="1:5" ht="16.5" thickBot="1" x14ac:dyDescent="0.3">
      <c r="A334" s="1169" t="s">
        <v>104</v>
      </c>
      <c r="B334" s="1170"/>
      <c r="C334" s="1170"/>
      <c r="D334" s="1170"/>
      <c r="E334" s="1171"/>
    </row>
    <row r="335" spans="1:5" ht="16.5" thickBot="1" x14ac:dyDescent="0.3">
      <c r="A335" s="95" t="s">
        <v>105</v>
      </c>
      <c r="B335" s="1169" t="s">
        <v>376</v>
      </c>
      <c r="C335" s="1170"/>
      <c r="D335" s="1170"/>
      <c r="E335" s="1171"/>
    </row>
    <row r="336" spans="1:5" ht="45.75" customHeight="1" thickBot="1" x14ac:dyDescent="0.3">
      <c r="A336" s="93" t="s">
        <v>17</v>
      </c>
      <c r="B336" s="1185" t="s">
        <v>377</v>
      </c>
      <c r="C336" s="1186"/>
      <c r="D336" s="1186"/>
      <c r="E336" s="1187"/>
    </row>
    <row r="337" spans="1:5" ht="16.5" thickBot="1" x14ac:dyDescent="0.3">
      <c r="A337" s="93" t="s">
        <v>18</v>
      </c>
      <c r="B337" s="1188" t="s">
        <v>356</v>
      </c>
      <c r="C337" s="1189"/>
      <c r="D337" s="1189"/>
      <c r="E337" s="1190"/>
    </row>
    <row r="338" spans="1:5" x14ac:dyDescent="0.25">
      <c r="A338" s="1144"/>
      <c r="B338" s="91">
        <v>2018</v>
      </c>
      <c r="C338" s="91">
        <v>2019</v>
      </c>
      <c r="D338" s="91">
        <v>2020</v>
      </c>
      <c r="E338" s="91">
        <v>2021</v>
      </c>
    </row>
    <row r="339" spans="1:5" ht="16.5" thickBot="1" x14ac:dyDescent="0.3">
      <c r="A339" s="1145"/>
      <c r="B339" s="90" t="s">
        <v>10</v>
      </c>
      <c r="C339" s="90" t="s">
        <v>11</v>
      </c>
      <c r="D339" s="90" t="s">
        <v>11</v>
      </c>
      <c r="E339" s="90" t="s">
        <v>11</v>
      </c>
    </row>
    <row r="340" spans="1:5" ht="16.5" thickBot="1" x14ac:dyDescent="0.3">
      <c r="A340" s="93" t="s">
        <v>19</v>
      </c>
      <c r="B340" s="94"/>
      <c r="C340" s="94"/>
      <c r="D340" s="94"/>
      <c r="E340" s="94"/>
    </row>
    <row r="341" spans="1:5" ht="16.5" thickBot="1" x14ac:dyDescent="0.3">
      <c r="A341" s="93" t="s">
        <v>20</v>
      </c>
      <c r="B341" s="94">
        <f>B356</f>
        <v>131953</v>
      </c>
      <c r="C341" s="94">
        <f>C356</f>
        <v>150799</v>
      </c>
      <c r="D341" s="94">
        <f>D356</f>
        <v>153655</v>
      </c>
      <c r="E341" s="94">
        <f>E356</f>
        <v>153491</v>
      </c>
    </row>
    <row r="342" spans="1:5" ht="16.5" thickBot="1" x14ac:dyDescent="0.3">
      <c r="A342" s="93" t="s">
        <v>21</v>
      </c>
      <c r="B342" s="94"/>
      <c r="C342" s="94"/>
      <c r="D342" s="94"/>
      <c r="E342" s="94"/>
    </row>
    <row r="343" spans="1:5" ht="16.5" thickBot="1" x14ac:dyDescent="0.3">
      <c r="A343" s="93" t="s">
        <v>22</v>
      </c>
      <c r="B343" s="147" t="s">
        <v>23</v>
      </c>
      <c r="C343" s="92" t="e">
        <f t="shared" ref="C343:E345" si="10">C340/B340-1</f>
        <v>#DIV/0!</v>
      </c>
      <c r="D343" s="92" t="e">
        <f t="shared" si="10"/>
        <v>#DIV/0!</v>
      </c>
      <c r="E343" s="92" t="e">
        <f t="shared" si="10"/>
        <v>#DIV/0!</v>
      </c>
    </row>
    <row r="344" spans="1:5" ht="16.5" thickBot="1" x14ac:dyDescent="0.3">
      <c r="A344" s="93" t="s">
        <v>24</v>
      </c>
      <c r="B344" s="147" t="s">
        <v>23</v>
      </c>
      <c r="C344" s="92">
        <f t="shared" si="10"/>
        <v>0.14282358112358184</v>
      </c>
      <c r="D344" s="92">
        <f t="shared" si="10"/>
        <v>1.8939117633406166E-2</v>
      </c>
      <c r="E344" s="92">
        <f t="shared" si="10"/>
        <v>-1.0673261527447409E-3</v>
      </c>
    </row>
    <row r="345" spans="1:5" ht="30.75" thickBot="1" x14ac:dyDescent="0.3">
      <c r="A345" s="93" t="s">
        <v>25</v>
      </c>
      <c r="B345" s="147" t="s">
        <v>23</v>
      </c>
      <c r="C345" s="92" t="e">
        <f t="shared" si="10"/>
        <v>#DIV/0!</v>
      </c>
      <c r="D345" s="92" t="e">
        <f t="shared" si="10"/>
        <v>#DIV/0!</v>
      </c>
      <c r="E345" s="92" t="e">
        <f t="shared" si="10"/>
        <v>#DIV/0!</v>
      </c>
    </row>
    <row r="346" spans="1:5" ht="16.5" thickBot="1" x14ac:dyDescent="0.3">
      <c r="A346" s="1146" t="s">
        <v>394</v>
      </c>
      <c r="B346" s="1147"/>
      <c r="C346" s="1147"/>
      <c r="D346" s="1147"/>
      <c r="E346" s="1148"/>
    </row>
    <row r="347" spans="1:5" x14ac:dyDescent="0.25">
      <c r="A347" s="1144"/>
      <c r="B347" s="91">
        <v>2018</v>
      </c>
      <c r="C347" s="91">
        <v>2019</v>
      </c>
      <c r="D347" s="91">
        <v>2020</v>
      </c>
      <c r="E347" s="91">
        <v>2021</v>
      </c>
    </row>
    <row r="348" spans="1:5" ht="16.5" thickBot="1" x14ac:dyDescent="0.3">
      <c r="A348" s="1145"/>
      <c r="B348" s="90" t="s">
        <v>10</v>
      </c>
      <c r="C348" s="90" t="s">
        <v>11</v>
      </c>
      <c r="D348" s="90" t="s">
        <v>11</v>
      </c>
      <c r="E348" s="90" t="s">
        <v>11</v>
      </c>
    </row>
    <row r="349" spans="1:5" ht="16.5" thickBot="1" x14ac:dyDescent="0.3">
      <c r="A349" s="79" t="s">
        <v>26</v>
      </c>
      <c r="B349" s="72">
        <f>199200-B277-B254-B204-B91-B68-B45</f>
        <v>93840</v>
      </c>
      <c r="C349" s="72">
        <f>199200-C277-C254-C204-C91-C68-C45</f>
        <v>93640</v>
      </c>
      <c r="D349" s="72">
        <f>199200-D277-D254-D204-D91-D68-D45</f>
        <v>93340</v>
      </c>
      <c r="E349" s="72">
        <f>199200-E277-E254-E204-E91-E68-E45</f>
        <v>93340</v>
      </c>
    </row>
    <row r="350" spans="1:5" ht="30.75" thickBot="1" x14ac:dyDescent="0.3">
      <c r="A350" s="79" t="s">
        <v>28</v>
      </c>
      <c r="B350" s="72">
        <f>33000-B278-B255-B205-B92-B69-B46</f>
        <v>15642</v>
      </c>
      <c r="C350" s="72">
        <f>33000-C278-C255-C205-C92-C69-C46</f>
        <v>15416</v>
      </c>
      <c r="D350" s="72">
        <f>33000-D278-D255-D205-D92-D69-D46</f>
        <v>15416</v>
      </c>
      <c r="E350" s="72">
        <f>33000-E278-E255-E205-E92-E69-E46</f>
        <v>15416</v>
      </c>
    </row>
    <row r="351" spans="1:5" ht="16.5" thickBot="1" x14ac:dyDescent="0.3">
      <c r="A351" s="79" t="s">
        <v>30</v>
      </c>
      <c r="B351" s="72">
        <f>151200-B279-B256-B206-B93-B70-B47</f>
        <v>22471</v>
      </c>
      <c r="C351" s="72">
        <f>157703-C279-C256-C206-C93-C70-C47</f>
        <v>41743</v>
      </c>
      <c r="D351" s="72">
        <f>157703-D279-D256-D206-D93-D70-D47</f>
        <v>44899</v>
      </c>
      <c r="E351" s="72">
        <f>157703-E279-E256-E206-E93-E70-E47</f>
        <v>44735</v>
      </c>
    </row>
    <row r="352" spans="1:5" ht="16.5" hidden="1" thickBot="1" x14ac:dyDescent="0.3">
      <c r="A352" s="79" t="s">
        <v>32</v>
      </c>
      <c r="B352" s="77">
        <v>0</v>
      </c>
      <c r="C352" s="77">
        <v>0</v>
      </c>
      <c r="D352" s="77">
        <v>0</v>
      </c>
      <c r="E352" s="77">
        <v>0</v>
      </c>
    </row>
    <row r="353" spans="1:5" ht="16.5" hidden="1" thickBot="1" x14ac:dyDescent="0.3">
      <c r="A353" s="79" t="s">
        <v>34</v>
      </c>
      <c r="B353" s="77">
        <v>0</v>
      </c>
      <c r="C353" s="77">
        <v>0</v>
      </c>
      <c r="D353" s="77">
        <v>0</v>
      </c>
      <c r="E353" s="77">
        <v>0</v>
      </c>
    </row>
    <row r="354" spans="1:5" ht="16.5" hidden="1" thickBot="1" x14ac:dyDescent="0.3">
      <c r="A354" s="79" t="s">
        <v>36</v>
      </c>
      <c r="B354" s="77">
        <v>0</v>
      </c>
      <c r="C354" s="77">
        <v>0</v>
      </c>
      <c r="D354" s="77">
        <v>0</v>
      </c>
      <c r="E354" s="77">
        <v>0</v>
      </c>
    </row>
    <row r="355" spans="1:5" ht="30.75" hidden="1" thickBot="1" x14ac:dyDescent="0.3">
      <c r="A355" s="79" t="s">
        <v>38</v>
      </c>
      <c r="B355" s="77">
        <v>0</v>
      </c>
      <c r="C355" s="77">
        <v>0</v>
      </c>
      <c r="D355" s="77">
        <v>0</v>
      </c>
      <c r="E355" s="77">
        <v>0</v>
      </c>
    </row>
    <row r="356" spans="1:5" ht="22.5" customHeight="1" thickBot="1" x14ac:dyDescent="0.3">
      <c r="A356" s="98" t="s">
        <v>40</v>
      </c>
      <c r="B356" s="77">
        <f>B355+B354+B353+B352+B351+B350+B349</f>
        <v>131953</v>
      </c>
      <c r="C356" s="77">
        <f>C355+C354+C353+C352+C351+C350+C349</f>
        <v>150799</v>
      </c>
      <c r="D356" s="77">
        <f>D355+D354+D353+D352+D351+D350+D349</f>
        <v>153655</v>
      </c>
      <c r="E356" s="77">
        <f>E355+E354+E353+E352+E351+E350+E349</f>
        <v>153491</v>
      </c>
    </row>
    <row r="357" spans="1:5" ht="16.149999999999999" customHeight="1" thickBot="1" x14ac:dyDescent="0.3">
      <c r="A357" s="75" t="s">
        <v>41</v>
      </c>
      <c r="B357" s="74">
        <f>IF(B356-B341=0,0,"Error")</f>
        <v>0</v>
      </c>
      <c r="C357" s="74">
        <f>IF(C356-C341=0,0,"Error")</f>
        <v>0</v>
      </c>
      <c r="D357" s="74">
        <f>IF(D356-D341=0,0,"Error")</f>
        <v>0</v>
      </c>
      <c r="E357" s="74">
        <f>IF(E356-E341=0,0,"Error")</f>
        <v>0</v>
      </c>
    </row>
    <row r="358" spans="1:5" ht="20.45" customHeight="1" thickBot="1" x14ac:dyDescent="0.3">
      <c r="A358" s="86"/>
      <c r="B358" s="85"/>
      <c r="C358" s="85"/>
      <c r="D358" s="85"/>
      <c r="E358" s="85"/>
    </row>
    <row r="359" spans="1:5" ht="46.5" customHeight="1" thickBot="1" x14ac:dyDescent="0.3">
      <c r="A359" s="84" t="s">
        <v>82</v>
      </c>
      <c r="B359" s="83">
        <f>B222+B194+B169+B151+B131+B110+B60+B37+B83+B246+B269+B296+B317+B341</f>
        <v>507400</v>
      </c>
      <c r="C359" s="175">
        <f>C222+C194+C169+C151+C131+C110+C60+C37+C83+C246+C269+C296+C317+C341</f>
        <v>491000</v>
      </c>
      <c r="D359" s="126">
        <f>D222+D194+D169+D151+D131+D110+D60+D37+D83+D246+D269+D296+D317+D341</f>
        <v>438000</v>
      </c>
      <c r="E359" s="83">
        <f>E222+E194+E169+E151+E131+E110+E60+E37+E83+E246+E269+E296+E317+E341</f>
        <v>438000</v>
      </c>
    </row>
    <row r="360" spans="1:5" ht="61.5" customHeight="1" thickBot="1" x14ac:dyDescent="0.3">
      <c r="A360" s="84" t="s">
        <v>83</v>
      </c>
      <c r="B360" s="83">
        <f>B362+B364+B366+B368+B370+B372+B374+B376+B378</f>
        <v>507400</v>
      </c>
      <c r="C360" s="175">
        <f>C362+C364+C366+C368+C370+C372+C374+C376+C378</f>
        <v>491000</v>
      </c>
      <c r="D360" s="126">
        <f>D362+D364+D366+D368+D370+D372+D374+D376+D378</f>
        <v>438000</v>
      </c>
      <c r="E360" s="83">
        <f>E362+E364+E366+E368+E370+E372+E374+E376+E378</f>
        <v>438000</v>
      </c>
    </row>
    <row r="361" spans="1:5" ht="30.75" thickBot="1" x14ac:dyDescent="0.3">
      <c r="A361" s="82" t="s">
        <v>84</v>
      </c>
      <c r="B361" s="80"/>
      <c r="C361" s="80">
        <f>C360/B360-1</f>
        <v>-3.2321639731966889E-2</v>
      </c>
      <c r="D361" s="80">
        <f>D360/C360-1</f>
        <v>-0.10794297352342164</v>
      </c>
      <c r="E361" s="80">
        <f>E360/D360-1</f>
        <v>0</v>
      </c>
    </row>
    <row r="362" spans="1:5" ht="21.6" customHeight="1" thickBot="1" x14ac:dyDescent="0.3">
      <c r="A362" s="79" t="s">
        <v>26</v>
      </c>
      <c r="B362" s="72">
        <f>B45+B68+B91+B204+B254+B277+B349</f>
        <v>199200</v>
      </c>
      <c r="C362" s="72">
        <f>C45+C68+C91+C204+C254+C277+C349</f>
        <v>199200</v>
      </c>
      <c r="D362" s="72">
        <f>D45+D68+D91+D204+D254+D277+D349</f>
        <v>199200</v>
      </c>
      <c r="E362" s="72">
        <f>E45+E68+E91+E204+E254+E277+E349</f>
        <v>199200</v>
      </c>
    </row>
    <row r="363" spans="1:5" ht="19.149999999999999" customHeight="1" thickBot="1" x14ac:dyDescent="0.3">
      <c r="A363" s="78" t="s">
        <v>85</v>
      </c>
      <c r="B363" s="77"/>
      <c r="C363" s="76">
        <f>C362/B362-1</f>
        <v>0</v>
      </c>
      <c r="D363" s="76">
        <f>D362/C362-1</f>
        <v>0</v>
      </c>
      <c r="E363" s="76">
        <f>E362/D362-1</f>
        <v>0</v>
      </c>
    </row>
    <row r="364" spans="1:5" ht="30.75" thickBot="1" x14ac:dyDescent="0.3">
      <c r="A364" s="79" t="s">
        <v>28</v>
      </c>
      <c r="B364" s="72">
        <f>B46+B69+B92+B205+B255+B278+B350</f>
        <v>33000</v>
      </c>
      <c r="C364" s="72">
        <f>C46+C69+C92+C205+C255+C278+C350</f>
        <v>33000</v>
      </c>
      <c r="D364" s="72">
        <f>D46+D69+D92+D205+D255+D278+D350</f>
        <v>33000</v>
      </c>
      <c r="E364" s="72">
        <f>E46+E69+E92+E205+E255+E278+E350</f>
        <v>33000</v>
      </c>
    </row>
    <row r="365" spans="1:5" ht="45.75" thickBot="1" x14ac:dyDescent="0.3">
      <c r="A365" s="78" t="s">
        <v>86</v>
      </c>
      <c r="B365" s="77"/>
      <c r="C365" s="76">
        <f>C364/B364-1</f>
        <v>0</v>
      </c>
      <c r="D365" s="76">
        <f>D364/C364-1</f>
        <v>0</v>
      </c>
      <c r="E365" s="76">
        <f>E364/D364-1</f>
        <v>0</v>
      </c>
    </row>
    <row r="366" spans="1:5" ht="16.5" thickBot="1" x14ac:dyDescent="0.3">
      <c r="A366" s="79" t="s">
        <v>30</v>
      </c>
      <c r="B366" s="72">
        <f>B47+B70+B93+B206+B256+B279+B351</f>
        <v>151200</v>
      </c>
      <c r="C366" s="72">
        <f>SUM(C351,C279,C256,C206,C93,C70,C47)</f>
        <v>157703</v>
      </c>
      <c r="D366" s="72">
        <f>SUM(D351,D279,D256,D206,D93,D70,D47)</f>
        <v>157703</v>
      </c>
      <c r="E366" s="72">
        <f>SUM(E351,E279,E256,E206,E93,E70,E47)</f>
        <v>157703</v>
      </c>
    </row>
    <row r="367" spans="1:5" ht="30.75" thickBot="1" x14ac:dyDescent="0.3">
      <c r="A367" s="78" t="s">
        <v>87</v>
      </c>
      <c r="B367" s="77"/>
      <c r="C367" s="76">
        <f>C366/B366-1</f>
        <v>4.3009259259259247E-2</v>
      </c>
      <c r="D367" s="76">
        <f>D366/C366-1</f>
        <v>0</v>
      </c>
      <c r="E367" s="76">
        <f>E366/D366-1</f>
        <v>0</v>
      </c>
    </row>
    <row r="368" spans="1:5" ht="16.5" hidden="1" thickBot="1" x14ac:dyDescent="0.3">
      <c r="A368" s="79" t="s">
        <v>32</v>
      </c>
      <c r="B368" s="72"/>
      <c r="C368" s="72"/>
      <c r="D368" s="72"/>
      <c r="E368" s="72"/>
    </row>
    <row r="369" spans="1:5" ht="30.75" hidden="1" thickBot="1" x14ac:dyDescent="0.3">
      <c r="A369" s="78" t="s">
        <v>88</v>
      </c>
      <c r="B369" s="77"/>
      <c r="C369" s="76"/>
      <c r="D369" s="76"/>
      <c r="E369" s="76"/>
    </row>
    <row r="370" spans="1:5" ht="16.5" hidden="1" thickBot="1" x14ac:dyDescent="0.3">
      <c r="A370" s="79" t="s">
        <v>34</v>
      </c>
      <c r="B370" s="72"/>
      <c r="C370" s="72"/>
      <c r="D370" s="72"/>
      <c r="E370" s="72"/>
    </row>
    <row r="371" spans="1:5" ht="30.75" hidden="1" thickBot="1" x14ac:dyDescent="0.3">
      <c r="A371" s="78" t="s">
        <v>89</v>
      </c>
      <c r="B371" s="77"/>
      <c r="C371" s="76"/>
      <c r="D371" s="76"/>
      <c r="E371" s="76"/>
    </row>
    <row r="372" spans="1:5" ht="16.5" thickBot="1" x14ac:dyDescent="0.3">
      <c r="A372" s="79" t="s">
        <v>36</v>
      </c>
      <c r="B372" s="72">
        <f>B53+B76+B99+B212+B262+B285+B357</f>
        <v>0</v>
      </c>
      <c r="C372" s="72">
        <f>SUM(C73)</f>
        <v>97</v>
      </c>
      <c r="D372" s="72">
        <f>SUM(D73)</f>
        <v>97</v>
      </c>
      <c r="E372" s="72">
        <f>SUM(E73)</f>
        <v>97</v>
      </c>
    </row>
    <row r="373" spans="1:5" ht="30.75" thickBot="1" x14ac:dyDescent="0.3">
      <c r="A373" s="78" t="s">
        <v>90</v>
      </c>
      <c r="B373" s="77"/>
      <c r="C373" s="76"/>
      <c r="D373" s="76"/>
      <c r="E373" s="76"/>
    </row>
    <row r="374" spans="1:5" ht="30.75" hidden="1" thickBot="1" x14ac:dyDescent="0.3">
      <c r="A374" s="79" t="s">
        <v>38</v>
      </c>
      <c r="B374" s="72"/>
      <c r="C374" s="72"/>
      <c r="D374" s="72"/>
      <c r="E374" s="72"/>
    </row>
    <row r="375" spans="1:5" ht="45.75" hidden="1" thickBot="1" x14ac:dyDescent="0.3">
      <c r="A375" s="78" t="s">
        <v>91</v>
      </c>
      <c r="B375" s="77"/>
      <c r="C375" s="76"/>
      <c r="D375" s="76"/>
      <c r="E375" s="76"/>
    </row>
    <row r="376" spans="1:5" ht="16.5" thickBot="1" x14ac:dyDescent="0.3">
      <c r="A376" s="79" t="s">
        <v>92</v>
      </c>
      <c r="B376" s="72">
        <f>B118+B139+B230+B304+B325</f>
        <v>408</v>
      </c>
      <c r="C376" s="72">
        <f>C118+C139+C230+C304+C325</f>
        <v>0</v>
      </c>
      <c r="D376" s="72">
        <f>D118+D139+D230+D304+D325</f>
        <v>0</v>
      </c>
      <c r="E376" s="72">
        <f>E118+E139+E230+E304+E325</f>
        <v>0</v>
      </c>
    </row>
    <row r="377" spans="1:5" ht="30.75" thickBot="1" x14ac:dyDescent="0.3">
      <c r="A377" s="78" t="s">
        <v>93</v>
      </c>
      <c r="B377" s="77"/>
      <c r="C377" s="76">
        <f>C376/B376-1</f>
        <v>-1</v>
      </c>
      <c r="D377" s="76">
        <v>0</v>
      </c>
      <c r="E377" s="76">
        <v>0</v>
      </c>
    </row>
    <row r="378" spans="1:5" ht="16.5" thickBot="1" x14ac:dyDescent="0.3">
      <c r="A378" s="79" t="s">
        <v>94</v>
      </c>
      <c r="B378" s="72">
        <f>B231+B305+B326+B119+B140</f>
        <v>123592</v>
      </c>
      <c r="C378" s="72">
        <f>C231+C305+C326+C119+C140</f>
        <v>101000</v>
      </c>
      <c r="D378" s="72">
        <f>D231+D305+D326+D119+D140</f>
        <v>48000</v>
      </c>
      <c r="E378" s="72">
        <f>E231+E305+E326+E119+E140</f>
        <v>48000</v>
      </c>
    </row>
    <row r="379" spans="1:5" ht="30.75" thickBot="1" x14ac:dyDescent="0.3">
      <c r="A379" s="78" t="s">
        <v>95</v>
      </c>
      <c r="B379" s="77"/>
      <c r="C379" s="76">
        <f>C378/B378-1</f>
        <v>-0.18279500291280992</v>
      </c>
      <c r="D379" s="76">
        <f>D378/C378-1</f>
        <v>-0.52475247524752477</v>
      </c>
      <c r="E379" s="76">
        <f>E378/D378-1</f>
        <v>0</v>
      </c>
    </row>
    <row r="380" spans="1:5" ht="16.5" thickBot="1" x14ac:dyDescent="0.3">
      <c r="A380" s="75" t="s">
        <v>41</v>
      </c>
      <c r="B380" s="74">
        <f>IF(B360-B359=0,0,"Error")</f>
        <v>0</v>
      </c>
      <c r="C380" s="74">
        <f>IF(C360-C359=0,0,"Error")</f>
        <v>0</v>
      </c>
      <c r="D380" s="74">
        <f>IF(D360-D359=0,0,"Error")</f>
        <v>0</v>
      </c>
      <c r="E380" s="74">
        <f>IF(E360-E359=0,0,"Error")</f>
        <v>0</v>
      </c>
    </row>
    <row r="381" spans="1:5" ht="43.5" thickBot="1" x14ac:dyDescent="0.3">
      <c r="A381" s="73" t="s">
        <v>96</v>
      </c>
      <c r="B381" s="72">
        <v>212</v>
      </c>
      <c r="C381" s="72">
        <v>214</v>
      </c>
      <c r="D381" s="72">
        <v>216</v>
      </c>
      <c r="E381" s="72">
        <v>219</v>
      </c>
    </row>
    <row r="382" spans="1:5" ht="43.5" thickBot="1" x14ac:dyDescent="0.3">
      <c r="A382" s="73" t="s">
        <v>97</v>
      </c>
      <c r="B382" s="72">
        <v>10</v>
      </c>
      <c r="C382" s="72">
        <v>10</v>
      </c>
      <c r="D382" s="72">
        <v>10</v>
      </c>
      <c r="E382" s="72">
        <v>10</v>
      </c>
    </row>
    <row r="383" spans="1:5" ht="29.25" thickBot="1" x14ac:dyDescent="0.3">
      <c r="A383" s="105" t="s">
        <v>2</v>
      </c>
      <c r="B383" s="1191" t="s">
        <v>427</v>
      </c>
      <c r="C383" s="1191"/>
      <c r="D383" s="1191"/>
      <c r="E383" s="1191"/>
    </row>
    <row r="384" spans="1:5" ht="16.5" thickBot="1" x14ac:dyDescent="0.3">
      <c r="A384" s="105" t="s">
        <v>3</v>
      </c>
      <c r="B384" s="1192" t="s">
        <v>426</v>
      </c>
      <c r="C384" s="1193"/>
      <c r="D384" s="1193"/>
      <c r="E384" s="1194"/>
    </row>
    <row r="385" spans="1:5" ht="29.25" thickBot="1" x14ac:dyDescent="0.3">
      <c r="A385" s="105" t="s">
        <v>5</v>
      </c>
      <c r="B385" s="1160" t="s">
        <v>6</v>
      </c>
      <c r="C385" s="1161"/>
      <c r="D385" s="1161"/>
      <c r="E385" s="1162"/>
    </row>
    <row r="386" spans="1:5" ht="16.5" thickBot="1" x14ac:dyDescent="0.3">
      <c r="A386" s="1195" t="s">
        <v>7</v>
      </c>
      <c r="B386" s="1196"/>
      <c r="C386" s="1196"/>
      <c r="D386" s="1196"/>
      <c r="E386" s="1197"/>
    </row>
    <row r="387" spans="1:5" ht="16.5" thickBot="1" x14ac:dyDescent="0.3">
      <c r="A387" s="1201" t="s">
        <v>425</v>
      </c>
      <c r="B387" s="1202"/>
      <c r="C387" s="1202"/>
      <c r="D387" s="1202"/>
      <c r="E387" s="1203"/>
    </row>
    <row r="388" spans="1:5" ht="16.5" thickBot="1" x14ac:dyDescent="0.3">
      <c r="A388" s="1201"/>
      <c r="B388" s="1202"/>
      <c r="C388" s="1202"/>
      <c r="D388" s="1202"/>
      <c r="E388" s="1203"/>
    </row>
    <row r="389" spans="1:5" ht="91.5" customHeight="1" thickBot="1" x14ac:dyDescent="0.3">
      <c r="A389" s="1201"/>
      <c r="B389" s="1202"/>
      <c r="C389" s="1202"/>
      <c r="D389" s="1202"/>
      <c r="E389" s="1203"/>
    </row>
    <row r="390" spans="1:5" ht="72" customHeight="1" thickBot="1" x14ac:dyDescent="0.3">
      <c r="A390" s="104" t="s">
        <v>8</v>
      </c>
      <c r="B390" s="1204" t="s">
        <v>424</v>
      </c>
      <c r="C390" s="1205"/>
      <c r="D390" s="1205"/>
      <c r="E390" s="1206"/>
    </row>
    <row r="391" spans="1:5" x14ac:dyDescent="0.25">
      <c r="A391" s="1144" t="s">
        <v>9</v>
      </c>
      <c r="B391" s="103">
        <v>2018</v>
      </c>
      <c r="C391" s="103">
        <v>2019</v>
      </c>
      <c r="D391" s="103">
        <v>2020</v>
      </c>
      <c r="E391" s="103">
        <v>2021</v>
      </c>
    </row>
    <row r="392" spans="1:5" ht="16.5" thickBot="1" x14ac:dyDescent="0.3">
      <c r="A392" s="1145"/>
      <c r="B392" s="149" t="s">
        <v>10</v>
      </c>
      <c r="C392" s="149" t="s">
        <v>11</v>
      </c>
      <c r="D392" s="149" t="s">
        <v>11</v>
      </c>
      <c r="E392" s="149" t="s">
        <v>11</v>
      </c>
    </row>
    <row r="393" spans="1:5" ht="16.5" thickBot="1" x14ac:dyDescent="0.3">
      <c r="A393" s="148" t="s">
        <v>423</v>
      </c>
      <c r="B393" s="96"/>
      <c r="C393" s="96"/>
      <c r="D393" s="96"/>
      <c r="E393" s="96"/>
    </row>
    <row r="394" spans="1:5" ht="30.75" thickBot="1" x14ac:dyDescent="0.3">
      <c r="A394" s="93" t="s">
        <v>422</v>
      </c>
      <c r="B394" s="96"/>
      <c r="C394" s="96"/>
      <c r="D394" s="96"/>
      <c r="E394" s="96"/>
    </row>
    <row r="395" spans="1:5" ht="16.5" thickBot="1" x14ac:dyDescent="0.3">
      <c r="A395" s="93" t="s">
        <v>421</v>
      </c>
      <c r="B395" s="96"/>
      <c r="C395" s="96"/>
      <c r="D395" s="96"/>
      <c r="E395" s="96"/>
    </row>
    <row r="396" spans="1:5" ht="30.75" thickBot="1" x14ac:dyDescent="0.3">
      <c r="A396" s="93" t="s">
        <v>420</v>
      </c>
      <c r="B396" s="96"/>
      <c r="C396" s="96"/>
      <c r="D396" s="96"/>
      <c r="E396" s="96"/>
    </row>
    <row r="397" spans="1:5" ht="16.5" thickBot="1" x14ac:dyDescent="0.3">
      <c r="A397" s="93" t="s">
        <v>419</v>
      </c>
      <c r="B397" s="96"/>
      <c r="C397" s="96"/>
      <c r="D397" s="96"/>
      <c r="E397" s="96"/>
    </row>
    <row r="398" spans="1:5" ht="39" customHeight="1" thickBot="1" x14ac:dyDescent="0.3">
      <c r="A398" s="84" t="s">
        <v>12</v>
      </c>
      <c r="B398" s="1198" t="s">
        <v>418</v>
      </c>
      <c r="C398" s="1199"/>
      <c r="D398" s="1199"/>
      <c r="E398" s="1200"/>
    </row>
    <row r="399" spans="1:5" ht="16.5" thickBot="1" x14ac:dyDescent="0.3">
      <c r="A399" s="1160" t="s">
        <v>13</v>
      </c>
      <c r="B399" s="1161"/>
      <c r="C399" s="1161"/>
      <c r="D399" s="1161"/>
      <c r="E399" s="1162"/>
    </row>
    <row r="400" spans="1:5" ht="16.5" thickBot="1" x14ac:dyDescent="0.3">
      <c r="A400" s="93" t="s">
        <v>417</v>
      </c>
      <c r="B400" s="96" t="s">
        <v>112</v>
      </c>
      <c r="C400" s="96" t="s">
        <v>113</v>
      </c>
      <c r="D400" s="96" t="s">
        <v>113</v>
      </c>
      <c r="E400" s="96" t="s">
        <v>113</v>
      </c>
    </row>
    <row r="401" spans="1:5" ht="16.5" thickBot="1" x14ac:dyDescent="0.3">
      <c r="A401" s="93" t="s">
        <v>416</v>
      </c>
      <c r="B401" s="96" t="s">
        <v>112</v>
      </c>
      <c r="C401" s="96" t="s">
        <v>113</v>
      </c>
      <c r="D401" s="96" t="s">
        <v>113</v>
      </c>
      <c r="E401" s="96" t="s">
        <v>113</v>
      </c>
    </row>
    <row r="402" spans="1:5" ht="16.5" thickBot="1" x14ac:dyDescent="0.3">
      <c r="A402" s="1169" t="s">
        <v>14</v>
      </c>
      <c r="B402" s="1170"/>
      <c r="C402" s="1170"/>
      <c r="D402" s="1170"/>
      <c r="E402" s="1171"/>
    </row>
    <row r="403" spans="1:5" ht="16.5" thickBot="1" x14ac:dyDescent="0.3">
      <c r="A403" s="1169" t="s">
        <v>15</v>
      </c>
      <c r="B403" s="1170"/>
      <c r="C403" s="1170"/>
      <c r="D403" s="1170"/>
      <c r="E403" s="1171"/>
    </row>
    <row r="404" spans="1:5" ht="16.5" thickBot="1" x14ac:dyDescent="0.3">
      <c r="A404" s="95" t="s">
        <v>16</v>
      </c>
      <c r="B404" s="1169" t="s">
        <v>415</v>
      </c>
      <c r="C404" s="1170"/>
      <c r="D404" s="1170"/>
      <c r="E404" s="1171"/>
    </row>
    <row r="405" spans="1:5" ht="16.5" thickBot="1" x14ac:dyDescent="0.3">
      <c r="A405" s="93" t="s">
        <v>17</v>
      </c>
      <c r="B405" s="1160" t="s">
        <v>414</v>
      </c>
      <c r="C405" s="1161"/>
      <c r="D405" s="1161"/>
      <c r="E405" s="1162"/>
    </row>
    <row r="406" spans="1:5" ht="16.5" thickBot="1" x14ac:dyDescent="0.3">
      <c r="A406" s="93" t="s">
        <v>18</v>
      </c>
      <c r="B406" s="1172" t="s">
        <v>413</v>
      </c>
      <c r="C406" s="1173"/>
      <c r="D406" s="1173"/>
      <c r="E406" s="1174"/>
    </row>
    <row r="407" spans="1:5" x14ac:dyDescent="0.25">
      <c r="A407" s="1144"/>
      <c r="B407" s="91">
        <v>2018</v>
      </c>
      <c r="C407" s="91">
        <v>2019</v>
      </c>
      <c r="D407" s="91">
        <v>2020</v>
      </c>
      <c r="E407" s="91">
        <v>2021</v>
      </c>
    </row>
    <row r="408" spans="1:5" ht="16.5" thickBot="1" x14ac:dyDescent="0.3">
      <c r="A408" s="1145"/>
      <c r="B408" s="90" t="s">
        <v>10</v>
      </c>
      <c r="C408" s="90" t="s">
        <v>11</v>
      </c>
      <c r="D408" s="90" t="s">
        <v>11</v>
      </c>
      <c r="E408" s="90" t="s">
        <v>11</v>
      </c>
    </row>
    <row r="409" spans="1:5" ht="16.5" thickBot="1" x14ac:dyDescent="0.3">
      <c r="A409" s="93" t="s">
        <v>19</v>
      </c>
      <c r="B409" s="94"/>
      <c r="C409" s="94"/>
      <c r="D409" s="94"/>
      <c r="E409" s="94"/>
    </row>
    <row r="410" spans="1:5" ht="16.5" thickBot="1" x14ac:dyDescent="0.3">
      <c r="A410" s="93" t="s">
        <v>20</v>
      </c>
      <c r="B410" s="94">
        <f>B439</f>
        <v>552906</v>
      </c>
      <c r="C410" s="94">
        <f>C439</f>
        <v>549482</v>
      </c>
      <c r="D410" s="94">
        <f>D439</f>
        <v>546280</v>
      </c>
      <c r="E410" s="94">
        <f>E439</f>
        <v>546494</v>
      </c>
    </row>
    <row r="411" spans="1:5" ht="16.5" thickBot="1" x14ac:dyDescent="0.3">
      <c r="A411" s="93" t="s">
        <v>21</v>
      </c>
      <c r="B411" s="94" t="e">
        <f>B410/B409</f>
        <v>#DIV/0!</v>
      </c>
      <c r="C411" s="94" t="e">
        <f>C410/C409</f>
        <v>#DIV/0!</v>
      </c>
      <c r="D411" s="94" t="e">
        <f>D410/D409</f>
        <v>#DIV/0!</v>
      </c>
      <c r="E411" s="94" t="e">
        <f>E410/E409</f>
        <v>#DIV/0!</v>
      </c>
    </row>
    <row r="412" spans="1:5" ht="16.5" thickBot="1" x14ac:dyDescent="0.3">
      <c r="A412" s="93" t="s">
        <v>22</v>
      </c>
      <c r="B412" s="147" t="s">
        <v>23</v>
      </c>
      <c r="C412" s="92" t="e">
        <f t="shared" ref="C412:E414" si="11">C409/B409-1</f>
        <v>#DIV/0!</v>
      </c>
      <c r="D412" s="92" t="e">
        <f t="shared" si="11"/>
        <v>#DIV/0!</v>
      </c>
      <c r="E412" s="92" t="e">
        <f t="shared" si="11"/>
        <v>#DIV/0!</v>
      </c>
    </row>
    <row r="413" spans="1:5" ht="16.5" thickBot="1" x14ac:dyDescent="0.3">
      <c r="A413" s="93" t="s">
        <v>24</v>
      </c>
      <c r="B413" s="147" t="s">
        <v>23</v>
      </c>
      <c r="C413" s="92">
        <f t="shared" si="11"/>
        <v>-6.1927343888472652E-3</v>
      </c>
      <c r="D413" s="92">
        <f t="shared" si="11"/>
        <v>-5.8273064449790857E-3</v>
      </c>
      <c r="E413" s="92">
        <f t="shared" si="11"/>
        <v>3.9174049937762412E-4</v>
      </c>
    </row>
    <row r="414" spans="1:5" ht="30.75" thickBot="1" x14ac:dyDescent="0.3">
      <c r="A414" s="93" t="s">
        <v>25</v>
      </c>
      <c r="B414" s="147" t="s">
        <v>23</v>
      </c>
      <c r="C414" s="92" t="e">
        <f t="shared" si="11"/>
        <v>#DIV/0!</v>
      </c>
      <c r="D414" s="92" t="e">
        <f t="shared" si="11"/>
        <v>#DIV/0!</v>
      </c>
      <c r="E414" s="92" t="e">
        <f t="shared" si="11"/>
        <v>#DIV/0!</v>
      </c>
    </row>
    <row r="415" spans="1:5" ht="16.5" thickBot="1" x14ac:dyDescent="0.3">
      <c r="A415" s="1146" t="s">
        <v>394</v>
      </c>
      <c r="B415" s="1147"/>
      <c r="C415" s="1147"/>
      <c r="D415" s="1147"/>
      <c r="E415" s="1148"/>
    </row>
    <row r="416" spans="1:5" x14ac:dyDescent="0.25">
      <c r="A416" s="1144"/>
      <c r="B416" s="91">
        <v>2018</v>
      </c>
      <c r="C416" s="91">
        <v>2019</v>
      </c>
      <c r="D416" s="91">
        <v>2020</v>
      </c>
      <c r="E416" s="91">
        <v>2021</v>
      </c>
    </row>
    <row r="417" spans="1:5" ht="16.5" thickBot="1" x14ac:dyDescent="0.3">
      <c r="A417" s="1145"/>
      <c r="B417" s="90" t="s">
        <v>10</v>
      </c>
      <c r="C417" s="90" t="s">
        <v>11</v>
      </c>
      <c r="D417" s="90" t="s">
        <v>11</v>
      </c>
      <c r="E417" s="90" t="s">
        <v>11</v>
      </c>
    </row>
    <row r="418" spans="1:5" ht="16.5" thickBot="1" x14ac:dyDescent="0.3">
      <c r="A418" s="79" t="s">
        <v>26</v>
      </c>
      <c r="B418" s="72">
        <f>332000-B516-B556-B695-B746-B796</f>
        <v>309513</v>
      </c>
      <c r="C418" s="72">
        <f>332000-C516-C556-C695-C746-C796</f>
        <v>308389</v>
      </c>
      <c r="D418" s="72">
        <f>332000-D516-D556-D695-D746-D796</f>
        <v>308389</v>
      </c>
      <c r="E418" s="72">
        <f>332000-E516-E556-E695-E746-E796</f>
        <v>306736</v>
      </c>
    </row>
    <row r="419" spans="1:5" ht="45.75" thickBot="1" x14ac:dyDescent="0.3">
      <c r="A419" s="78" t="s">
        <v>27</v>
      </c>
      <c r="B419" s="77"/>
      <c r="C419" s="102"/>
      <c r="D419" s="102"/>
      <c r="E419" s="102"/>
    </row>
    <row r="420" spans="1:5" ht="45.75" thickBot="1" x14ac:dyDescent="0.3">
      <c r="A420" s="78" t="s">
        <v>412</v>
      </c>
      <c r="B420" s="77"/>
      <c r="C420" s="76"/>
      <c r="D420" s="76"/>
      <c r="E420" s="76"/>
    </row>
    <row r="421" spans="1:5" ht="30.75" thickBot="1" x14ac:dyDescent="0.3">
      <c r="A421" s="79" t="s">
        <v>28</v>
      </c>
      <c r="B421" s="72">
        <f>47000-B519-B559-B698-B749-B799</f>
        <v>43393</v>
      </c>
      <c r="C421" s="72">
        <f>47000-C519-C559-C698-C749-C799</f>
        <v>43093</v>
      </c>
      <c r="D421" s="72">
        <f>47000-D519-D559-D698-D749-D799</f>
        <v>43093</v>
      </c>
      <c r="E421" s="72">
        <v>42800</v>
      </c>
    </row>
    <row r="422" spans="1:5" ht="75.75" thickBot="1" x14ac:dyDescent="0.3">
      <c r="A422" s="78" t="s">
        <v>29</v>
      </c>
      <c r="B422" s="77"/>
      <c r="C422" s="72"/>
      <c r="D422" s="72"/>
      <c r="E422" s="72"/>
    </row>
    <row r="423" spans="1:5" ht="75.75" thickBot="1" x14ac:dyDescent="0.3">
      <c r="A423" s="78" t="s">
        <v>411</v>
      </c>
      <c r="B423" s="77"/>
      <c r="C423" s="72"/>
      <c r="D423" s="72"/>
      <c r="E423" s="72"/>
    </row>
    <row r="424" spans="1:5" ht="16.5" thickBot="1" x14ac:dyDescent="0.3">
      <c r="A424" s="79" t="s">
        <v>30</v>
      </c>
      <c r="B424" s="72">
        <v>200000</v>
      </c>
      <c r="C424" s="72">
        <v>198000</v>
      </c>
      <c r="D424" s="72">
        <v>194798</v>
      </c>
      <c r="E424" s="72">
        <v>196958</v>
      </c>
    </row>
    <row r="425" spans="1:5" ht="60.75" thickBot="1" x14ac:dyDescent="0.3">
      <c r="A425" s="78" t="s">
        <v>31</v>
      </c>
      <c r="B425" s="77"/>
      <c r="C425" s="72"/>
      <c r="D425" s="72"/>
      <c r="E425" s="72"/>
    </row>
    <row r="426" spans="1:5" ht="60.75" thickBot="1" x14ac:dyDescent="0.3">
      <c r="A426" s="78" t="s">
        <v>410</v>
      </c>
      <c r="B426" s="77"/>
      <c r="C426" s="72"/>
      <c r="D426" s="72"/>
      <c r="E426" s="72"/>
    </row>
    <row r="427" spans="1:5" ht="16.5" thickBot="1" x14ac:dyDescent="0.3">
      <c r="A427" s="79" t="s">
        <v>32</v>
      </c>
      <c r="B427" s="77"/>
      <c r="C427" s="72"/>
      <c r="D427" s="72"/>
      <c r="E427" s="72"/>
    </row>
    <row r="428" spans="1:5" ht="60.75" thickBot="1" x14ac:dyDescent="0.3">
      <c r="A428" s="78" t="s">
        <v>33</v>
      </c>
      <c r="B428" s="77"/>
      <c r="C428" s="72"/>
      <c r="D428" s="72"/>
      <c r="E428" s="72"/>
    </row>
    <row r="429" spans="1:5" ht="60.75" thickBot="1" x14ac:dyDescent="0.3">
      <c r="A429" s="78" t="s">
        <v>409</v>
      </c>
      <c r="B429" s="77"/>
      <c r="C429" s="72"/>
      <c r="D429" s="72"/>
      <c r="E429" s="72"/>
    </row>
    <row r="430" spans="1:5" ht="16.5" thickBot="1" x14ac:dyDescent="0.3">
      <c r="A430" s="79" t="s">
        <v>34</v>
      </c>
      <c r="B430" s="77"/>
      <c r="C430" s="72"/>
      <c r="D430" s="72"/>
      <c r="E430" s="72"/>
    </row>
    <row r="431" spans="1:5" ht="60.75" thickBot="1" x14ac:dyDescent="0.3">
      <c r="A431" s="78" t="s">
        <v>35</v>
      </c>
      <c r="B431" s="77"/>
      <c r="C431" s="72"/>
      <c r="D431" s="72"/>
      <c r="E431" s="72"/>
    </row>
    <row r="432" spans="1:5" ht="60.75" thickBot="1" x14ac:dyDescent="0.3">
      <c r="A432" s="78" t="s">
        <v>408</v>
      </c>
      <c r="B432" s="77"/>
      <c r="C432" s="72"/>
      <c r="D432" s="72"/>
      <c r="E432" s="72"/>
    </row>
    <row r="433" spans="1:5" ht="16.5" thickBot="1" x14ac:dyDescent="0.3">
      <c r="A433" s="79" t="s">
        <v>36</v>
      </c>
      <c r="B433" s="77"/>
      <c r="C433" s="72"/>
      <c r="D433" s="72"/>
      <c r="E433" s="72"/>
    </row>
    <row r="434" spans="1:5" ht="60.75" thickBot="1" x14ac:dyDescent="0.3">
      <c r="A434" s="78" t="s">
        <v>37</v>
      </c>
      <c r="B434" s="77"/>
      <c r="C434" s="72"/>
      <c r="D434" s="72"/>
      <c r="E434" s="72"/>
    </row>
    <row r="435" spans="1:5" ht="60.75" thickBot="1" x14ac:dyDescent="0.3">
      <c r="A435" s="78" t="s">
        <v>407</v>
      </c>
      <c r="B435" s="77"/>
      <c r="C435" s="72"/>
      <c r="D435" s="72"/>
      <c r="E435" s="72"/>
    </row>
    <row r="436" spans="1:5" ht="30.75" thickBot="1" x14ac:dyDescent="0.3">
      <c r="A436" s="79" t="s">
        <v>38</v>
      </c>
      <c r="B436" s="77"/>
      <c r="C436" s="72"/>
      <c r="D436" s="72"/>
      <c r="E436" s="72"/>
    </row>
    <row r="437" spans="1:5" ht="75.75" thickBot="1" x14ac:dyDescent="0.3">
      <c r="A437" s="78" t="s">
        <v>39</v>
      </c>
      <c r="B437" s="77"/>
      <c r="C437" s="72"/>
      <c r="D437" s="72"/>
      <c r="E437" s="72"/>
    </row>
    <row r="438" spans="1:5" ht="75.75" thickBot="1" x14ac:dyDescent="0.3">
      <c r="A438" s="78" t="s">
        <v>406</v>
      </c>
      <c r="B438" s="77"/>
      <c r="C438" s="72"/>
      <c r="D438" s="72"/>
      <c r="E438" s="72"/>
    </row>
    <row r="439" spans="1:5" ht="16.5" thickBot="1" x14ac:dyDescent="0.3">
      <c r="A439" s="98" t="s">
        <v>40</v>
      </c>
      <c r="B439" s="72">
        <f>B436+B433+B430+B427+B424+B421+B418</f>
        <v>552906</v>
      </c>
      <c r="C439" s="72">
        <f>C436+C433+C430+C427+C424+C421+C418</f>
        <v>549482</v>
      </c>
      <c r="D439" s="72">
        <f>D436+D433+D430+D427+D424+D421+D418</f>
        <v>546280</v>
      </c>
      <c r="E439" s="72">
        <f>E436+E433+E430+E427+E424+E421+E418</f>
        <v>546494</v>
      </c>
    </row>
    <row r="440" spans="1:5" x14ac:dyDescent="0.25">
      <c r="A440" s="1149" t="s">
        <v>405</v>
      </c>
      <c r="B440" s="1179"/>
      <c r="C440" s="1151"/>
      <c r="D440" s="1151"/>
      <c r="E440" s="1152"/>
    </row>
    <row r="441" spans="1:5" x14ac:dyDescent="0.25">
      <c r="A441" s="1150"/>
      <c r="B441" s="1180"/>
      <c r="C441" s="1153"/>
      <c r="D441" s="1153"/>
      <c r="E441" s="1154"/>
    </row>
    <row r="442" spans="1:5" ht="16.5" thickBot="1" x14ac:dyDescent="0.3">
      <c r="A442" s="1175"/>
      <c r="B442" s="1181"/>
      <c r="C442" s="1155"/>
      <c r="D442" s="1155"/>
      <c r="E442" s="1156"/>
    </row>
    <row r="443" spans="1:5" ht="16.5" thickBot="1" x14ac:dyDescent="0.3">
      <c r="A443" s="75" t="s">
        <v>41</v>
      </c>
      <c r="B443" s="74">
        <f>IF(B439-B410=0,0,"Error")</f>
        <v>0</v>
      </c>
      <c r="C443" s="74">
        <f>IF(C439-C410=0,0,"Error")</f>
        <v>0</v>
      </c>
      <c r="D443" s="74">
        <f>IF(D439-D410=0,0,"Error")</f>
        <v>0</v>
      </c>
      <c r="E443" s="74">
        <f>IF(E439-E410=0,0,"Error")</f>
        <v>0</v>
      </c>
    </row>
    <row r="444" spans="1:5" x14ac:dyDescent="0.25">
      <c r="A444" s="1149" t="s">
        <v>62</v>
      </c>
      <c r="B444" s="1179"/>
      <c r="C444" s="1151"/>
      <c r="D444" s="1151"/>
      <c r="E444" s="1152"/>
    </row>
    <row r="445" spans="1:5" x14ac:dyDescent="0.25">
      <c r="A445" s="1150"/>
      <c r="B445" s="1180"/>
      <c r="C445" s="1153"/>
      <c r="D445" s="1153"/>
      <c r="E445" s="1154"/>
    </row>
    <row r="446" spans="1:5" ht="16.5" thickBot="1" x14ac:dyDescent="0.3">
      <c r="A446" s="1175"/>
      <c r="B446" s="1181"/>
      <c r="C446" s="1155"/>
      <c r="D446" s="1155"/>
      <c r="E446" s="1156"/>
    </row>
    <row r="447" spans="1:5" ht="16.5" thickBot="1" x14ac:dyDescent="0.3">
      <c r="A447" s="1169" t="s">
        <v>63</v>
      </c>
      <c r="B447" s="1170"/>
      <c r="C447" s="1170"/>
      <c r="D447" s="1170"/>
      <c r="E447" s="1171"/>
    </row>
    <row r="448" spans="1:5" ht="16.5" thickBot="1" x14ac:dyDescent="0.3">
      <c r="A448" s="1169" t="s">
        <v>64</v>
      </c>
      <c r="B448" s="1170"/>
      <c r="C448" s="1170"/>
      <c r="D448" s="1170"/>
      <c r="E448" s="1171"/>
    </row>
    <row r="449" spans="1:5" ht="16.5" thickBot="1" x14ac:dyDescent="0.3">
      <c r="A449" s="99" t="s">
        <v>61</v>
      </c>
      <c r="B449" s="1182" t="s">
        <v>124</v>
      </c>
      <c r="C449" s="1183"/>
      <c r="D449" s="1183"/>
      <c r="E449" s="1184"/>
    </row>
    <row r="450" spans="1:5" ht="16.5" thickBot="1" x14ac:dyDescent="0.3">
      <c r="A450" s="95" t="s">
        <v>16</v>
      </c>
      <c r="B450" s="1176" t="s">
        <v>106</v>
      </c>
      <c r="C450" s="1177"/>
      <c r="D450" s="1177"/>
      <c r="E450" s="1178"/>
    </row>
    <row r="451" spans="1:5" ht="16.5" thickBot="1" x14ac:dyDescent="0.3">
      <c r="A451" s="93" t="s">
        <v>17</v>
      </c>
      <c r="B451" s="1160" t="s">
        <v>106</v>
      </c>
      <c r="C451" s="1161"/>
      <c r="D451" s="1161"/>
      <c r="E451" s="1162"/>
    </row>
    <row r="452" spans="1:5" ht="16.5" thickBot="1" x14ac:dyDescent="0.3">
      <c r="A452" s="93" t="s">
        <v>18</v>
      </c>
      <c r="B452" s="1172" t="s">
        <v>106</v>
      </c>
      <c r="C452" s="1173"/>
      <c r="D452" s="1173"/>
      <c r="E452" s="1174"/>
    </row>
    <row r="453" spans="1:5" x14ac:dyDescent="0.25">
      <c r="A453" s="1144"/>
      <c r="B453" s="91">
        <v>2018</v>
      </c>
      <c r="C453" s="91">
        <v>2019</v>
      </c>
      <c r="D453" s="91">
        <v>2020</v>
      </c>
      <c r="E453" s="91">
        <v>2021</v>
      </c>
    </row>
    <row r="454" spans="1:5" ht="16.5" thickBot="1" x14ac:dyDescent="0.3">
      <c r="A454" s="1145"/>
      <c r="B454" s="90" t="s">
        <v>10</v>
      </c>
      <c r="C454" s="90" t="s">
        <v>11</v>
      </c>
      <c r="D454" s="90" t="s">
        <v>11</v>
      </c>
      <c r="E454" s="90" t="s">
        <v>11</v>
      </c>
    </row>
    <row r="455" spans="1:5" ht="16.5" thickBot="1" x14ac:dyDescent="0.3">
      <c r="A455" s="93" t="s">
        <v>19</v>
      </c>
      <c r="B455" s="94"/>
      <c r="C455" s="94"/>
      <c r="D455" s="94"/>
      <c r="E455" s="94"/>
    </row>
    <row r="456" spans="1:5" ht="16.5" thickBot="1" x14ac:dyDescent="0.3">
      <c r="A456" s="93" t="s">
        <v>20</v>
      </c>
      <c r="B456" s="94"/>
      <c r="C456" s="94"/>
      <c r="D456" s="94"/>
      <c r="E456" s="94"/>
    </row>
    <row r="457" spans="1:5" ht="16.5" thickBot="1" x14ac:dyDescent="0.3">
      <c r="A457" s="93" t="s">
        <v>21</v>
      </c>
      <c r="B457" s="94" t="e">
        <f>B456/B455</f>
        <v>#DIV/0!</v>
      </c>
      <c r="C457" s="94" t="e">
        <f>C456/C455</f>
        <v>#DIV/0!</v>
      </c>
      <c r="D457" s="94" t="e">
        <f>D456/D455</f>
        <v>#DIV/0!</v>
      </c>
      <c r="E457" s="94" t="e">
        <f>E456/E455</f>
        <v>#DIV/0!</v>
      </c>
    </row>
    <row r="458" spans="1:5" ht="16.5" thickBot="1" x14ac:dyDescent="0.3">
      <c r="A458" s="93" t="s">
        <v>22</v>
      </c>
      <c r="B458" s="147" t="s">
        <v>23</v>
      </c>
      <c r="C458" s="92" t="e">
        <f t="shared" ref="C458:E460" si="12">C455/B455-1</f>
        <v>#DIV/0!</v>
      </c>
      <c r="D458" s="92" t="e">
        <f t="shared" si="12"/>
        <v>#DIV/0!</v>
      </c>
      <c r="E458" s="92" t="e">
        <f t="shared" si="12"/>
        <v>#DIV/0!</v>
      </c>
    </row>
    <row r="459" spans="1:5" ht="16.5" thickBot="1" x14ac:dyDescent="0.3">
      <c r="A459" s="93" t="s">
        <v>24</v>
      </c>
      <c r="B459" s="147" t="s">
        <v>23</v>
      </c>
      <c r="C459" s="92" t="e">
        <f t="shared" si="12"/>
        <v>#DIV/0!</v>
      </c>
      <c r="D459" s="92" t="e">
        <f t="shared" si="12"/>
        <v>#DIV/0!</v>
      </c>
      <c r="E459" s="92" t="e">
        <f t="shared" si="12"/>
        <v>#DIV/0!</v>
      </c>
    </row>
    <row r="460" spans="1:5" ht="30.75" thickBot="1" x14ac:dyDescent="0.3">
      <c r="A460" s="93" t="s">
        <v>25</v>
      </c>
      <c r="B460" s="147" t="s">
        <v>23</v>
      </c>
      <c r="C460" s="92" t="e">
        <f t="shared" si="12"/>
        <v>#DIV/0!</v>
      </c>
      <c r="D460" s="92" t="e">
        <f t="shared" si="12"/>
        <v>#DIV/0!</v>
      </c>
      <c r="E460" s="92" t="e">
        <f t="shared" si="12"/>
        <v>#DIV/0!</v>
      </c>
    </row>
    <row r="461" spans="1:5" ht="16.5" thickBot="1" x14ac:dyDescent="0.3">
      <c r="A461" s="1146" t="s">
        <v>394</v>
      </c>
      <c r="B461" s="1147"/>
      <c r="C461" s="1147"/>
      <c r="D461" s="1147"/>
      <c r="E461" s="1148"/>
    </row>
    <row r="462" spans="1:5" x14ac:dyDescent="0.25">
      <c r="A462" s="1144"/>
      <c r="B462" s="91">
        <v>2018</v>
      </c>
      <c r="C462" s="91">
        <v>2019</v>
      </c>
      <c r="D462" s="91">
        <v>2020</v>
      </c>
      <c r="E462" s="91">
        <v>2021</v>
      </c>
    </row>
    <row r="463" spans="1:5" ht="16.5" thickBot="1" x14ac:dyDescent="0.3">
      <c r="A463" s="1145"/>
      <c r="B463" s="90" t="s">
        <v>10</v>
      </c>
      <c r="C463" s="90" t="s">
        <v>11</v>
      </c>
      <c r="D463" s="90" t="s">
        <v>11</v>
      </c>
      <c r="E463" s="90" t="s">
        <v>11</v>
      </c>
    </row>
    <row r="464" spans="1:5" ht="16.5" thickBot="1" x14ac:dyDescent="0.3">
      <c r="A464" s="79" t="s">
        <v>58</v>
      </c>
      <c r="B464" s="72"/>
      <c r="C464" s="72"/>
      <c r="D464" s="72"/>
      <c r="E464" s="72"/>
    </row>
    <row r="465" spans="1:5" ht="16.5" thickBot="1" x14ac:dyDescent="0.3">
      <c r="A465" s="79" t="s">
        <v>59</v>
      </c>
      <c r="B465" s="77"/>
      <c r="C465" s="72"/>
      <c r="D465" s="72"/>
      <c r="E465" s="72"/>
    </row>
    <row r="466" spans="1:5" ht="16.5" thickBot="1" x14ac:dyDescent="0.3">
      <c r="A466" s="98" t="s">
        <v>40</v>
      </c>
      <c r="B466" s="77">
        <f>B465+B464</f>
        <v>0</v>
      </c>
      <c r="C466" s="77">
        <f>C465+C464</f>
        <v>0</v>
      </c>
      <c r="D466" s="77">
        <f>D465+D464</f>
        <v>0</v>
      </c>
      <c r="E466" s="77">
        <f>E465+E464</f>
        <v>0</v>
      </c>
    </row>
    <row r="467" spans="1:5" x14ac:dyDescent="0.25">
      <c r="A467" s="1149" t="s">
        <v>60</v>
      </c>
      <c r="B467" s="1179"/>
      <c r="C467" s="1151"/>
      <c r="D467" s="1151"/>
      <c r="E467" s="1152"/>
    </row>
    <row r="468" spans="1:5" x14ac:dyDescent="0.25">
      <c r="A468" s="1150"/>
      <c r="B468" s="1180"/>
      <c r="C468" s="1153"/>
      <c r="D468" s="1153"/>
      <c r="E468" s="1154"/>
    </row>
    <row r="469" spans="1:5" ht="16.5" thickBot="1" x14ac:dyDescent="0.3">
      <c r="A469" s="1175"/>
      <c r="B469" s="1181"/>
      <c r="C469" s="1155"/>
      <c r="D469" s="1155"/>
      <c r="E469" s="1156"/>
    </row>
    <row r="470" spans="1:5" ht="16.5" thickBot="1" x14ac:dyDescent="0.3">
      <c r="A470" s="99" t="s">
        <v>61</v>
      </c>
      <c r="B470" s="1182" t="s">
        <v>124</v>
      </c>
      <c r="C470" s="1183"/>
      <c r="D470" s="1183"/>
      <c r="E470" s="1184"/>
    </row>
    <row r="471" spans="1:5" ht="29.25" thickBot="1" x14ac:dyDescent="0.3">
      <c r="A471" s="95" t="s">
        <v>123</v>
      </c>
      <c r="B471" s="1176" t="s">
        <v>106</v>
      </c>
      <c r="C471" s="1177"/>
      <c r="D471" s="1177"/>
      <c r="E471" s="1178"/>
    </row>
    <row r="472" spans="1:5" ht="16.5" thickBot="1" x14ac:dyDescent="0.3">
      <c r="A472" s="93" t="s">
        <v>17</v>
      </c>
      <c r="B472" s="1160" t="s">
        <v>106</v>
      </c>
      <c r="C472" s="1161"/>
      <c r="D472" s="1161"/>
      <c r="E472" s="1162"/>
    </row>
    <row r="473" spans="1:5" ht="16.5" thickBot="1" x14ac:dyDescent="0.3">
      <c r="A473" s="93" t="s">
        <v>18</v>
      </c>
      <c r="B473" s="1172" t="s">
        <v>106</v>
      </c>
      <c r="C473" s="1173"/>
      <c r="D473" s="1173"/>
      <c r="E473" s="1174"/>
    </row>
    <row r="474" spans="1:5" x14ac:dyDescent="0.25">
      <c r="A474" s="1144"/>
      <c r="B474" s="91">
        <v>2018</v>
      </c>
      <c r="C474" s="91">
        <v>2019</v>
      </c>
      <c r="D474" s="91">
        <v>2020</v>
      </c>
      <c r="E474" s="91">
        <v>2021</v>
      </c>
    </row>
    <row r="475" spans="1:5" ht="16.5" thickBot="1" x14ac:dyDescent="0.3">
      <c r="A475" s="1145"/>
      <c r="B475" s="90" t="s">
        <v>10</v>
      </c>
      <c r="C475" s="90" t="s">
        <v>11</v>
      </c>
      <c r="D475" s="90" t="s">
        <v>11</v>
      </c>
      <c r="E475" s="90" t="s">
        <v>11</v>
      </c>
    </row>
    <row r="476" spans="1:5" ht="16.5" thickBot="1" x14ac:dyDescent="0.3">
      <c r="A476" s="93" t="s">
        <v>19</v>
      </c>
      <c r="B476" s="94"/>
      <c r="C476" s="94"/>
      <c r="D476" s="94"/>
      <c r="E476" s="94"/>
    </row>
    <row r="477" spans="1:5" ht="16.5" thickBot="1" x14ac:dyDescent="0.3">
      <c r="A477" s="93" t="s">
        <v>20</v>
      </c>
      <c r="B477" s="94"/>
      <c r="C477" s="94"/>
      <c r="D477" s="94"/>
      <c r="E477" s="94"/>
    </row>
    <row r="478" spans="1:5" ht="16.5" thickBot="1" x14ac:dyDescent="0.3">
      <c r="A478" s="93" t="s">
        <v>21</v>
      </c>
      <c r="B478" s="94" t="e">
        <f>B477/B476</f>
        <v>#DIV/0!</v>
      </c>
      <c r="C478" s="94" t="e">
        <f>C477/C476</f>
        <v>#DIV/0!</v>
      </c>
      <c r="D478" s="94" t="e">
        <f>D477/D476</f>
        <v>#DIV/0!</v>
      </c>
      <c r="E478" s="94" t="e">
        <f>E477/E476</f>
        <v>#DIV/0!</v>
      </c>
    </row>
    <row r="479" spans="1:5" ht="16.5" thickBot="1" x14ac:dyDescent="0.3">
      <c r="A479" s="93" t="s">
        <v>22</v>
      </c>
      <c r="B479" s="147" t="s">
        <v>23</v>
      </c>
      <c r="C479" s="92" t="e">
        <f t="shared" ref="C479:E481" si="13">C476/B476-1</f>
        <v>#DIV/0!</v>
      </c>
      <c r="D479" s="92" t="e">
        <f t="shared" si="13"/>
        <v>#DIV/0!</v>
      </c>
      <c r="E479" s="92" t="e">
        <f t="shared" si="13"/>
        <v>#DIV/0!</v>
      </c>
    </row>
    <row r="480" spans="1:5" ht="16.5" thickBot="1" x14ac:dyDescent="0.3">
      <c r="A480" s="93" t="s">
        <v>24</v>
      </c>
      <c r="B480" s="147" t="s">
        <v>23</v>
      </c>
      <c r="C480" s="92" t="e">
        <f t="shared" si="13"/>
        <v>#DIV/0!</v>
      </c>
      <c r="D480" s="92" t="e">
        <f t="shared" si="13"/>
        <v>#DIV/0!</v>
      </c>
      <c r="E480" s="92" t="e">
        <f t="shared" si="13"/>
        <v>#DIV/0!</v>
      </c>
    </row>
    <row r="481" spans="1:5" ht="30.75" thickBot="1" x14ac:dyDescent="0.3">
      <c r="A481" s="93" t="s">
        <v>25</v>
      </c>
      <c r="B481" s="147" t="s">
        <v>23</v>
      </c>
      <c r="C481" s="92" t="e">
        <f t="shared" si="13"/>
        <v>#DIV/0!</v>
      </c>
      <c r="D481" s="92" t="e">
        <f t="shared" si="13"/>
        <v>#DIV/0!</v>
      </c>
      <c r="E481" s="92" t="e">
        <f t="shared" si="13"/>
        <v>#DIV/0!</v>
      </c>
    </row>
    <row r="482" spans="1:5" ht="16.5" thickBot="1" x14ac:dyDescent="0.3">
      <c r="A482" s="1146" t="s">
        <v>393</v>
      </c>
      <c r="B482" s="1147"/>
      <c r="C482" s="1147"/>
      <c r="D482" s="1147"/>
      <c r="E482" s="1148"/>
    </row>
    <row r="483" spans="1:5" x14ac:dyDescent="0.25">
      <c r="A483" s="1144"/>
      <c r="B483" s="91">
        <v>2018</v>
      </c>
      <c r="C483" s="91">
        <v>2019</v>
      </c>
      <c r="D483" s="91">
        <v>2020</v>
      </c>
      <c r="E483" s="91">
        <v>2021</v>
      </c>
    </row>
    <row r="484" spans="1:5" ht="16.5" thickBot="1" x14ac:dyDescent="0.3">
      <c r="A484" s="1145"/>
      <c r="B484" s="90" t="s">
        <v>10</v>
      </c>
      <c r="C484" s="90" t="s">
        <v>11</v>
      </c>
      <c r="D484" s="90" t="s">
        <v>11</v>
      </c>
      <c r="E484" s="90" t="s">
        <v>11</v>
      </c>
    </row>
    <row r="485" spans="1:5" ht="16.5" thickBot="1" x14ac:dyDescent="0.3">
      <c r="A485" s="79" t="s">
        <v>58</v>
      </c>
      <c r="B485" s="72"/>
      <c r="C485" s="72"/>
      <c r="D485" s="72"/>
      <c r="E485" s="72"/>
    </row>
    <row r="486" spans="1:5" ht="16.5" thickBot="1" x14ac:dyDescent="0.3">
      <c r="A486" s="79" t="s">
        <v>59</v>
      </c>
      <c r="B486" s="77"/>
      <c r="C486" s="72"/>
      <c r="D486" s="72"/>
      <c r="E486" s="72"/>
    </row>
    <row r="487" spans="1:5" ht="16.5" thickBot="1" x14ac:dyDescent="0.3">
      <c r="A487" s="98" t="s">
        <v>74</v>
      </c>
      <c r="B487" s="77">
        <f>B486+B485</f>
        <v>0</v>
      </c>
      <c r="C487" s="77">
        <f>C486+C485</f>
        <v>0</v>
      </c>
      <c r="D487" s="77">
        <f>D486+D485</f>
        <v>0</v>
      </c>
      <c r="E487" s="77">
        <f>E486+E485</f>
        <v>0</v>
      </c>
    </row>
    <row r="488" spans="1:5" x14ac:dyDescent="0.25">
      <c r="A488" s="1149" t="s">
        <v>62</v>
      </c>
      <c r="B488" s="1179"/>
      <c r="C488" s="1151"/>
      <c r="D488" s="1151"/>
      <c r="E488" s="1152"/>
    </row>
    <row r="489" spans="1:5" x14ac:dyDescent="0.25">
      <c r="A489" s="1150"/>
      <c r="B489" s="1180"/>
      <c r="C489" s="1153"/>
      <c r="D489" s="1153"/>
      <c r="E489" s="1154"/>
    </row>
    <row r="490" spans="1:5" ht="16.5" thickBot="1" x14ac:dyDescent="0.3">
      <c r="A490" s="1175"/>
      <c r="B490" s="1181"/>
      <c r="C490" s="1155"/>
      <c r="D490" s="1155"/>
      <c r="E490" s="1156"/>
    </row>
    <row r="491" spans="1:5" ht="29.25" thickBot="1" x14ac:dyDescent="0.3">
      <c r="A491" s="97" t="s">
        <v>67</v>
      </c>
      <c r="B491" s="1157" t="s">
        <v>901</v>
      </c>
      <c r="C491" s="1158"/>
      <c r="D491" s="1158"/>
      <c r="E491" s="1159"/>
    </row>
    <row r="492" spans="1:5" ht="16.5" thickBot="1" x14ac:dyDescent="0.3">
      <c r="A492" s="1160" t="s">
        <v>68</v>
      </c>
      <c r="B492" s="1161"/>
      <c r="C492" s="1161"/>
      <c r="D492" s="1161"/>
      <c r="E492" s="1162"/>
    </row>
    <row r="493" spans="1:5" ht="30.75" thickBot="1" x14ac:dyDescent="0.3">
      <c r="A493" s="148" t="s">
        <v>404</v>
      </c>
      <c r="B493" s="96" t="s">
        <v>112</v>
      </c>
      <c r="C493" s="96" t="s">
        <v>113</v>
      </c>
      <c r="D493" s="96" t="s">
        <v>113</v>
      </c>
      <c r="E493" s="96" t="s">
        <v>113</v>
      </c>
    </row>
    <row r="494" spans="1:5" ht="30.75" thickBot="1" x14ac:dyDescent="0.3">
      <c r="A494" s="93" t="s">
        <v>403</v>
      </c>
      <c r="B494" s="96" t="s">
        <v>112</v>
      </c>
      <c r="C494" s="96" t="s">
        <v>113</v>
      </c>
      <c r="D494" s="96" t="s">
        <v>113</v>
      </c>
      <c r="E494" s="96" t="s">
        <v>113</v>
      </c>
    </row>
    <row r="495" spans="1:5" ht="30.75" thickBot="1" x14ac:dyDescent="0.3">
      <c r="A495" s="93" t="s">
        <v>402</v>
      </c>
      <c r="B495" s="96" t="s">
        <v>112</v>
      </c>
      <c r="C495" s="96" t="s">
        <v>113</v>
      </c>
      <c r="D495" s="96" t="s">
        <v>113</v>
      </c>
      <c r="E495" s="96" t="s">
        <v>113</v>
      </c>
    </row>
    <row r="496" spans="1:5" ht="16.5" thickBot="1" x14ac:dyDescent="0.3">
      <c r="A496" s="1163" t="s">
        <v>69</v>
      </c>
      <c r="B496" s="1164"/>
      <c r="C496" s="1164"/>
      <c r="D496" s="1164"/>
      <c r="E496" s="1165"/>
    </row>
    <row r="497" spans="1:5" ht="16.5" thickBot="1" x14ac:dyDescent="0.3">
      <c r="A497" s="1166" t="s">
        <v>70</v>
      </c>
      <c r="B497" s="1167"/>
      <c r="C497" s="1167"/>
      <c r="D497" s="1167"/>
      <c r="E497" s="1168"/>
    </row>
    <row r="498" spans="1:5" x14ac:dyDescent="0.25">
      <c r="A498" s="1144"/>
      <c r="B498" s="91">
        <v>2018</v>
      </c>
      <c r="C498" s="91">
        <v>2019</v>
      </c>
      <c r="D498" s="91">
        <v>2020</v>
      </c>
      <c r="E498" s="91">
        <v>2021</v>
      </c>
    </row>
    <row r="499" spans="1:5" ht="16.5" thickBot="1" x14ac:dyDescent="0.3">
      <c r="A499" s="1145"/>
      <c r="B499" s="90" t="s">
        <v>10</v>
      </c>
      <c r="C499" s="90" t="s">
        <v>11</v>
      </c>
      <c r="D499" s="90" t="s">
        <v>11</v>
      </c>
      <c r="E499" s="90" t="s">
        <v>11</v>
      </c>
    </row>
    <row r="500" spans="1:5" ht="16.5" thickBot="1" x14ac:dyDescent="0.3">
      <c r="A500" s="95" t="s">
        <v>16</v>
      </c>
      <c r="B500" s="1169" t="s">
        <v>401</v>
      </c>
      <c r="C500" s="1170"/>
      <c r="D500" s="1170"/>
      <c r="E500" s="1171"/>
    </row>
    <row r="501" spans="1:5" ht="16.5" thickBot="1" x14ac:dyDescent="0.3">
      <c r="A501" s="93" t="s">
        <v>17</v>
      </c>
      <c r="B501" s="1160" t="s">
        <v>400</v>
      </c>
      <c r="C501" s="1161"/>
      <c r="D501" s="1161"/>
      <c r="E501" s="1162"/>
    </row>
    <row r="502" spans="1:5" ht="16.5" thickBot="1" x14ac:dyDescent="0.3">
      <c r="A502" s="93" t="s">
        <v>18</v>
      </c>
      <c r="B502" s="1172" t="s">
        <v>399</v>
      </c>
      <c r="C502" s="1173"/>
      <c r="D502" s="1173"/>
      <c r="E502" s="1174"/>
    </row>
    <row r="503" spans="1:5" x14ac:dyDescent="0.25">
      <c r="A503" s="1144"/>
      <c r="B503" s="91">
        <v>2018</v>
      </c>
      <c r="C503" s="91">
        <v>2019</v>
      </c>
      <c r="D503" s="91">
        <v>2020</v>
      </c>
      <c r="E503" s="91">
        <v>2021</v>
      </c>
    </row>
    <row r="504" spans="1:5" ht="16.5" thickBot="1" x14ac:dyDescent="0.3">
      <c r="A504" s="1145"/>
      <c r="B504" s="90" t="s">
        <v>10</v>
      </c>
      <c r="C504" s="90" t="s">
        <v>11</v>
      </c>
      <c r="D504" s="90" t="s">
        <v>11</v>
      </c>
      <c r="E504" s="90" t="s">
        <v>11</v>
      </c>
    </row>
    <row r="505" spans="1:5" ht="16.5" thickBot="1" x14ac:dyDescent="0.3">
      <c r="A505" s="93" t="s">
        <v>19</v>
      </c>
      <c r="B505" s="94">
        <v>8</v>
      </c>
      <c r="C505" s="89">
        <v>10</v>
      </c>
      <c r="D505" s="89">
        <v>10</v>
      </c>
      <c r="E505" s="89">
        <v>10</v>
      </c>
    </row>
    <row r="506" spans="1:5" ht="16.5" thickBot="1" x14ac:dyDescent="0.3">
      <c r="A506" s="93" t="s">
        <v>20</v>
      </c>
      <c r="B506" s="94">
        <f>B537</f>
        <v>18700</v>
      </c>
      <c r="C506" s="94">
        <f>C537</f>
        <v>20500</v>
      </c>
      <c r="D506" s="94">
        <f>D537</f>
        <v>21022</v>
      </c>
      <c r="E506" s="94">
        <f>E537</f>
        <v>20800</v>
      </c>
    </row>
    <row r="507" spans="1:5" ht="16.5" thickBot="1" x14ac:dyDescent="0.3">
      <c r="A507" s="93" t="s">
        <v>21</v>
      </c>
      <c r="B507" s="94">
        <f>B506/B505</f>
        <v>2337.5</v>
      </c>
      <c r="C507" s="94">
        <f>C506/C505</f>
        <v>2050</v>
      </c>
      <c r="D507" s="94">
        <f>D506/D505</f>
        <v>2102.1999999999998</v>
      </c>
      <c r="E507" s="94">
        <f>E506/E505</f>
        <v>2080</v>
      </c>
    </row>
    <row r="508" spans="1:5" ht="16.5" thickBot="1" x14ac:dyDescent="0.3">
      <c r="A508" s="93" t="s">
        <v>22</v>
      </c>
      <c r="B508" s="147"/>
      <c r="C508" s="92">
        <f t="shared" ref="C508:E510" si="14">C505/B505-1</f>
        <v>0.25</v>
      </c>
      <c r="D508" s="92">
        <f t="shared" si="14"/>
        <v>0</v>
      </c>
      <c r="E508" s="92">
        <f t="shared" si="14"/>
        <v>0</v>
      </c>
    </row>
    <row r="509" spans="1:5" ht="16.5" thickBot="1" x14ac:dyDescent="0.3">
      <c r="A509" s="93" t="s">
        <v>24</v>
      </c>
      <c r="B509" s="147"/>
      <c r="C509" s="92">
        <f t="shared" si="14"/>
        <v>9.625668449197855E-2</v>
      </c>
      <c r="D509" s="92">
        <f t="shared" si="14"/>
        <v>2.5463414634146364E-2</v>
      </c>
      <c r="E509" s="92">
        <f t="shared" si="14"/>
        <v>-1.0560365331557464E-2</v>
      </c>
    </row>
    <row r="510" spans="1:5" ht="30.75" thickBot="1" x14ac:dyDescent="0.3">
      <c r="A510" s="93" t="s">
        <v>25</v>
      </c>
      <c r="B510" s="147"/>
      <c r="C510" s="92">
        <f t="shared" si="14"/>
        <v>-0.12299465240641716</v>
      </c>
      <c r="D510" s="92">
        <f t="shared" si="14"/>
        <v>2.5463414634146142E-2</v>
      </c>
      <c r="E510" s="92">
        <f t="shared" si="14"/>
        <v>-1.0560365331557353E-2</v>
      </c>
    </row>
    <row r="511" spans="1:5" x14ac:dyDescent="0.25">
      <c r="A511" s="1144"/>
      <c r="B511" s="91">
        <v>2018</v>
      </c>
      <c r="C511" s="91">
        <v>2019</v>
      </c>
      <c r="D511" s="91">
        <v>2020</v>
      </c>
      <c r="E511" s="91">
        <v>2021</v>
      </c>
    </row>
    <row r="512" spans="1:5" ht="16.5" thickBot="1" x14ac:dyDescent="0.3">
      <c r="A512" s="1145"/>
      <c r="B512" s="90" t="s">
        <v>10</v>
      </c>
      <c r="C512" s="90" t="s">
        <v>11</v>
      </c>
      <c r="D512" s="90" t="s">
        <v>11</v>
      </c>
      <c r="E512" s="90" t="s">
        <v>11</v>
      </c>
    </row>
    <row r="513" spans="1:5" ht="16.5" thickBot="1" x14ac:dyDescent="0.3">
      <c r="A513" s="1146" t="s">
        <v>378</v>
      </c>
      <c r="B513" s="1147"/>
      <c r="C513" s="1147"/>
      <c r="D513" s="1147"/>
      <c r="E513" s="1148"/>
    </row>
    <row r="514" spans="1:5" x14ac:dyDescent="0.25">
      <c r="A514" s="1144"/>
      <c r="B514" s="91">
        <v>2018</v>
      </c>
      <c r="C514" s="91">
        <v>2019</v>
      </c>
      <c r="D514" s="91">
        <v>2020</v>
      </c>
      <c r="E514" s="91">
        <v>2021</v>
      </c>
    </row>
    <row r="515" spans="1:5" ht="16.5" thickBot="1" x14ac:dyDescent="0.3">
      <c r="A515" s="1145"/>
      <c r="B515" s="90" t="s">
        <v>10</v>
      </c>
      <c r="C515" s="90" t="s">
        <v>11</v>
      </c>
      <c r="D515" s="90" t="s">
        <v>11</v>
      </c>
      <c r="E515" s="90" t="s">
        <v>11</v>
      </c>
    </row>
    <row r="516" spans="1:5" ht="16.5" thickBot="1" x14ac:dyDescent="0.3">
      <c r="A516" s="79" t="s">
        <v>26</v>
      </c>
      <c r="B516" s="72">
        <v>0</v>
      </c>
      <c r="C516" s="72">
        <v>0</v>
      </c>
      <c r="D516" s="72">
        <v>0</v>
      </c>
      <c r="E516" s="72">
        <v>0</v>
      </c>
    </row>
    <row r="517" spans="1:5" ht="45.75" thickBot="1" x14ac:dyDescent="0.3">
      <c r="A517" s="78" t="s">
        <v>27</v>
      </c>
      <c r="B517" s="77"/>
      <c r="C517" s="76"/>
      <c r="D517" s="76"/>
      <c r="E517" s="76"/>
    </row>
    <row r="518" spans="1:5" ht="45.75" thickBot="1" x14ac:dyDescent="0.3">
      <c r="A518" s="78" t="s">
        <v>45</v>
      </c>
      <c r="B518" s="77"/>
      <c r="C518" s="76"/>
      <c r="D518" s="76"/>
      <c r="E518" s="76"/>
    </row>
    <row r="519" spans="1:5" ht="30.75" thickBot="1" x14ac:dyDescent="0.3">
      <c r="A519" s="79" t="s">
        <v>28</v>
      </c>
      <c r="B519" s="72">
        <v>0</v>
      </c>
      <c r="C519" s="72">
        <v>0</v>
      </c>
      <c r="D519" s="72">
        <v>0</v>
      </c>
      <c r="E519" s="72">
        <v>0</v>
      </c>
    </row>
    <row r="520" spans="1:5" ht="75.75" thickBot="1" x14ac:dyDescent="0.3">
      <c r="A520" s="78" t="s">
        <v>29</v>
      </c>
      <c r="B520" s="77"/>
      <c r="C520" s="72"/>
      <c r="D520" s="72"/>
      <c r="E520" s="72"/>
    </row>
    <row r="521" spans="1:5" ht="75.75" thickBot="1" x14ac:dyDescent="0.3">
      <c r="A521" s="78" t="s">
        <v>46</v>
      </c>
      <c r="B521" s="77"/>
      <c r="C521" s="72"/>
      <c r="D521" s="72"/>
      <c r="E521" s="72"/>
    </row>
    <row r="522" spans="1:5" ht="16.5" thickBot="1" x14ac:dyDescent="0.3">
      <c r="A522" s="79" t="s">
        <v>30</v>
      </c>
      <c r="B522" s="89">
        <v>3900</v>
      </c>
      <c r="C522" s="89">
        <v>5500</v>
      </c>
      <c r="D522" s="72">
        <v>6022</v>
      </c>
      <c r="E522" s="72">
        <v>5800</v>
      </c>
    </row>
    <row r="523" spans="1:5" ht="60.75" thickBot="1" x14ac:dyDescent="0.3">
      <c r="A523" s="78" t="s">
        <v>31</v>
      </c>
      <c r="B523" s="72"/>
      <c r="C523" s="72"/>
      <c r="D523" s="72"/>
      <c r="E523" s="72"/>
    </row>
    <row r="524" spans="1:5" ht="60.75" thickBot="1" x14ac:dyDescent="0.3">
      <c r="A524" s="78" t="s">
        <v>47</v>
      </c>
      <c r="B524" s="72"/>
      <c r="C524" s="72"/>
      <c r="D524" s="72"/>
      <c r="E524" s="72"/>
    </row>
    <row r="525" spans="1:5" ht="16.5" thickBot="1" x14ac:dyDescent="0.3">
      <c r="A525" s="79" t="s">
        <v>32</v>
      </c>
      <c r="B525" s="72"/>
      <c r="C525" s="72"/>
      <c r="D525" s="72"/>
      <c r="E525" s="72"/>
    </row>
    <row r="526" spans="1:5" ht="60.75" thickBot="1" x14ac:dyDescent="0.3">
      <c r="A526" s="78" t="s">
        <v>33</v>
      </c>
      <c r="B526" s="72"/>
      <c r="C526" s="72"/>
      <c r="D526" s="72"/>
      <c r="E526" s="72"/>
    </row>
    <row r="527" spans="1:5" ht="60.75" thickBot="1" x14ac:dyDescent="0.3">
      <c r="A527" s="78" t="s">
        <v>48</v>
      </c>
      <c r="B527" s="72"/>
      <c r="C527" s="72"/>
      <c r="D527" s="72"/>
      <c r="E527" s="72"/>
    </row>
    <row r="528" spans="1:5" ht="16.5" thickBot="1" x14ac:dyDescent="0.3">
      <c r="A528" s="79" t="s">
        <v>34</v>
      </c>
      <c r="B528" s="72"/>
      <c r="C528" s="72"/>
      <c r="D528" s="72"/>
      <c r="E528" s="72"/>
    </row>
    <row r="529" spans="1:5" ht="60.75" thickBot="1" x14ac:dyDescent="0.3">
      <c r="A529" s="78" t="s">
        <v>35</v>
      </c>
      <c r="B529" s="72"/>
      <c r="C529" s="72"/>
      <c r="D529" s="72"/>
      <c r="E529" s="72"/>
    </row>
    <row r="530" spans="1:5" ht="60.75" thickBot="1" x14ac:dyDescent="0.3">
      <c r="A530" s="78" t="s">
        <v>49</v>
      </c>
      <c r="B530" s="72"/>
      <c r="C530" s="72"/>
      <c r="D530" s="72"/>
      <c r="E530" s="72"/>
    </row>
    <row r="531" spans="1:5" ht="16.5" thickBot="1" x14ac:dyDescent="0.3">
      <c r="A531" s="79" t="s">
        <v>36</v>
      </c>
      <c r="B531" s="72">
        <v>14800</v>
      </c>
      <c r="C531" s="72">
        <v>15000</v>
      </c>
      <c r="D531" s="72">
        <v>15000</v>
      </c>
      <c r="E531" s="72">
        <v>15000</v>
      </c>
    </row>
    <row r="532" spans="1:5" ht="60.75" thickBot="1" x14ac:dyDescent="0.3">
      <c r="A532" s="78" t="s">
        <v>37</v>
      </c>
      <c r="B532" s="77"/>
      <c r="C532" s="72"/>
      <c r="D532" s="72"/>
      <c r="E532" s="72"/>
    </row>
    <row r="533" spans="1:5" ht="60.75" thickBot="1" x14ac:dyDescent="0.3">
      <c r="A533" s="78" t="s">
        <v>50</v>
      </c>
      <c r="B533" s="77"/>
      <c r="C533" s="72"/>
      <c r="D533" s="72"/>
      <c r="E533" s="72"/>
    </row>
    <row r="534" spans="1:5" ht="30.75" thickBot="1" x14ac:dyDescent="0.3">
      <c r="A534" s="79" t="s">
        <v>38</v>
      </c>
      <c r="B534" s="77"/>
      <c r="C534" s="72"/>
      <c r="D534" s="72"/>
      <c r="E534" s="72"/>
    </row>
    <row r="535" spans="1:5" ht="75.75" thickBot="1" x14ac:dyDescent="0.3">
      <c r="A535" s="78" t="s">
        <v>39</v>
      </c>
      <c r="B535" s="77"/>
      <c r="C535" s="72"/>
      <c r="D535" s="72"/>
      <c r="E535" s="72"/>
    </row>
    <row r="536" spans="1:5" ht="75.75" thickBot="1" x14ac:dyDescent="0.3">
      <c r="A536" s="78" t="s">
        <v>51</v>
      </c>
      <c r="B536" s="77"/>
      <c r="C536" s="72"/>
      <c r="D536" s="72"/>
      <c r="E536" s="72"/>
    </row>
    <row r="537" spans="1:5" ht="29.25" thickBot="1" x14ac:dyDescent="0.3">
      <c r="A537" s="88" t="s">
        <v>71</v>
      </c>
      <c r="B537" s="87">
        <f>B534+B531+B528+B525+B522+B519+B516</f>
        <v>18700</v>
      </c>
      <c r="C537" s="87">
        <f>C534+C531+C528+C525+C522+C519+C516</f>
        <v>20500</v>
      </c>
      <c r="D537" s="87">
        <f>D534+D531+D528+D525+D522+D519+D516</f>
        <v>21022</v>
      </c>
      <c r="E537" s="87">
        <f>E534+E531+E528+E525+E522+E519+E516</f>
        <v>20800</v>
      </c>
    </row>
    <row r="538" spans="1:5" x14ac:dyDescent="0.25">
      <c r="A538" s="1149" t="s">
        <v>115</v>
      </c>
      <c r="B538" s="1151" t="s">
        <v>23</v>
      </c>
      <c r="C538" s="1151"/>
      <c r="D538" s="1151"/>
      <c r="E538" s="1152"/>
    </row>
    <row r="539" spans="1:5" x14ac:dyDescent="0.25">
      <c r="A539" s="1150"/>
      <c r="B539" s="1153"/>
      <c r="C539" s="1153"/>
      <c r="D539" s="1153"/>
      <c r="E539" s="1154"/>
    </row>
    <row r="540" spans="1:5" ht="16.5" thickBot="1" x14ac:dyDescent="0.3">
      <c r="A540" s="1175"/>
      <c r="B540" s="1155"/>
      <c r="C540" s="1155"/>
      <c r="D540" s="1155"/>
      <c r="E540" s="1156"/>
    </row>
    <row r="541" spans="1:5" ht="16.5" thickBot="1" x14ac:dyDescent="0.3">
      <c r="A541" s="75" t="s">
        <v>41</v>
      </c>
      <c r="B541" s="74">
        <f>IF(B537-B506=0,0,"Error")</f>
        <v>0</v>
      </c>
      <c r="C541" s="74">
        <f>IF(C537-C506=0,0,"Error")</f>
        <v>0</v>
      </c>
      <c r="D541" s="74">
        <f>IF(D537-D506=0,0,"Error")</f>
        <v>0</v>
      </c>
      <c r="E541" s="74">
        <f>IF(E537-E506=0,0,"Error")</f>
        <v>0</v>
      </c>
    </row>
    <row r="542" spans="1:5" ht="16.5" thickBot="1" x14ac:dyDescent="0.3">
      <c r="A542" s="101" t="s">
        <v>42</v>
      </c>
      <c r="B542" s="1169" t="s">
        <v>398</v>
      </c>
      <c r="C542" s="1170"/>
      <c r="D542" s="1170"/>
      <c r="E542" s="1171"/>
    </row>
    <row r="543" spans="1:5" ht="16.5" thickBot="1" x14ac:dyDescent="0.3">
      <c r="A543" s="93" t="s">
        <v>17</v>
      </c>
      <c r="B543" s="1185" t="s">
        <v>397</v>
      </c>
      <c r="C543" s="1186"/>
      <c r="D543" s="1186"/>
      <c r="E543" s="1187"/>
    </row>
    <row r="544" spans="1:5" ht="16.5" thickBot="1" x14ac:dyDescent="0.3">
      <c r="A544" s="93" t="s">
        <v>18</v>
      </c>
      <c r="B544" s="1172" t="s">
        <v>396</v>
      </c>
      <c r="C544" s="1173"/>
      <c r="D544" s="1173"/>
      <c r="E544" s="1174"/>
    </row>
    <row r="545" spans="1:5" x14ac:dyDescent="0.25">
      <c r="A545" s="1144"/>
      <c r="B545" s="91">
        <v>2018</v>
      </c>
      <c r="C545" s="91">
        <v>2019</v>
      </c>
      <c r="D545" s="91">
        <v>2020</v>
      </c>
      <c r="E545" s="91">
        <v>2021</v>
      </c>
    </row>
    <row r="546" spans="1:5" ht="16.5" thickBot="1" x14ac:dyDescent="0.3">
      <c r="A546" s="1145"/>
      <c r="B546" s="90" t="s">
        <v>10</v>
      </c>
      <c r="C546" s="90" t="s">
        <v>11</v>
      </c>
      <c r="D546" s="90" t="s">
        <v>11</v>
      </c>
      <c r="E546" s="90" t="s">
        <v>11</v>
      </c>
    </row>
    <row r="547" spans="1:5" ht="16.5" thickBot="1" x14ac:dyDescent="0.3">
      <c r="A547" s="93" t="s">
        <v>19</v>
      </c>
      <c r="B547" s="94"/>
      <c r="C547" s="94"/>
      <c r="D547" s="94"/>
      <c r="E547" s="94"/>
    </row>
    <row r="548" spans="1:5" ht="16.5" thickBot="1" x14ac:dyDescent="0.3">
      <c r="A548" s="93" t="s">
        <v>20</v>
      </c>
      <c r="B548" s="94">
        <f>B577</f>
        <v>77000</v>
      </c>
      <c r="C548" s="94">
        <f>C577</f>
        <v>79890</v>
      </c>
      <c r="D548" s="94">
        <f>D577</f>
        <v>79890</v>
      </c>
      <c r="E548" s="94">
        <f>E577</f>
        <v>79890</v>
      </c>
    </row>
    <row r="549" spans="1:5" ht="16.5" thickBot="1" x14ac:dyDescent="0.3">
      <c r="A549" s="93" t="s">
        <v>21</v>
      </c>
      <c r="B549" s="94" t="e">
        <f>B548/B547</f>
        <v>#DIV/0!</v>
      </c>
      <c r="C549" s="94" t="e">
        <f>C548/C547</f>
        <v>#DIV/0!</v>
      </c>
      <c r="D549" s="94" t="e">
        <f>D548/D547</f>
        <v>#DIV/0!</v>
      </c>
      <c r="E549" s="94" t="e">
        <f>E548/E547</f>
        <v>#DIV/0!</v>
      </c>
    </row>
    <row r="550" spans="1:5" ht="16.5" thickBot="1" x14ac:dyDescent="0.3">
      <c r="A550" s="93" t="s">
        <v>22</v>
      </c>
      <c r="B550" s="147"/>
      <c r="C550" s="92" t="e">
        <f t="shared" ref="C550:E552" si="15">C547/B547-1</f>
        <v>#DIV/0!</v>
      </c>
      <c r="D550" s="92" t="e">
        <f t="shared" si="15"/>
        <v>#DIV/0!</v>
      </c>
      <c r="E550" s="92" t="e">
        <f t="shared" si="15"/>
        <v>#DIV/0!</v>
      </c>
    </row>
    <row r="551" spans="1:5" ht="16.5" thickBot="1" x14ac:dyDescent="0.3">
      <c r="A551" s="93" t="s">
        <v>24</v>
      </c>
      <c r="B551" s="147"/>
      <c r="C551" s="92">
        <f t="shared" si="15"/>
        <v>3.7532467532467528E-2</v>
      </c>
      <c r="D551" s="92">
        <f t="shared" si="15"/>
        <v>0</v>
      </c>
      <c r="E551" s="92">
        <f t="shared" si="15"/>
        <v>0</v>
      </c>
    </row>
    <row r="552" spans="1:5" ht="30.75" thickBot="1" x14ac:dyDescent="0.3">
      <c r="A552" s="93" t="s">
        <v>25</v>
      </c>
      <c r="B552" s="147"/>
      <c r="C552" s="92" t="e">
        <f t="shared" si="15"/>
        <v>#DIV/0!</v>
      </c>
      <c r="D552" s="92" t="e">
        <f t="shared" si="15"/>
        <v>#DIV/0!</v>
      </c>
      <c r="E552" s="92" t="e">
        <f t="shared" si="15"/>
        <v>#DIV/0!</v>
      </c>
    </row>
    <row r="553" spans="1:5" ht="16.5" thickBot="1" x14ac:dyDescent="0.3">
      <c r="A553" s="1146" t="s">
        <v>395</v>
      </c>
      <c r="B553" s="1147"/>
      <c r="C553" s="1147"/>
      <c r="D553" s="1147"/>
      <c r="E553" s="1148"/>
    </row>
    <row r="554" spans="1:5" x14ac:dyDescent="0.25">
      <c r="A554" s="1144"/>
      <c r="B554" s="91">
        <v>2018</v>
      </c>
      <c r="C554" s="91">
        <v>2019</v>
      </c>
      <c r="D554" s="91">
        <v>2020</v>
      </c>
      <c r="E554" s="91">
        <v>2021</v>
      </c>
    </row>
    <row r="555" spans="1:5" ht="16.5" thickBot="1" x14ac:dyDescent="0.3">
      <c r="A555" s="1145"/>
      <c r="B555" s="90" t="s">
        <v>10</v>
      </c>
      <c r="C555" s="90" t="s">
        <v>11</v>
      </c>
      <c r="D555" s="90" t="s">
        <v>11</v>
      </c>
      <c r="E555" s="90" t="s">
        <v>11</v>
      </c>
    </row>
    <row r="556" spans="1:5" ht="16.5" thickBot="1" x14ac:dyDescent="0.3">
      <c r="A556" s="79" t="s">
        <v>26</v>
      </c>
      <c r="B556" s="72">
        <v>0</v>
      </c>
      <c r="C556" s="72">
        <v>0</v>
      </c>
      <c r="D556" s="72">
        <v>0</v>
      </c>
      <c r="E556" s="72">
        <v>0</v>
      </c>
    </row>
    <row r="557" spans="1:5" ht="45.75" thickBot="1" x14ac:dyDescent="0.3">
      <c r="A557" s="78" t="s">
        <v>27</v>
      </c>
      <c r="B557" s="77"/>
      <c r="C557" s="76"/>
      <c r="D557" s="76"/>
      <c r="E557" s="76"/>
    </row>
    <row r="558" spans="1:5" ht="45.75" thickBot="1" x14ac:dyDescent="0.3">
      <c r="A558" s="78" t="s">
        <v>45</v>
      </c>
      <c r="B558" s="77"/>
      <c r="C558" s="76"/>
      <c r="D558" s="76"/>
      <c r="E558" s="76"/>
    </row>
    <row r="559" spans="1:5" ht="30.75" thickBot="1" x14ac:dyDescent="0.3">
      <c r="A559" s="79" t="s">
        <v>28</v>
      </c>
      <c r="B559" s="72">
        <v>0</v>
      </c>
      <c r="C559" s="72">
        <v>0</v>
      </c>
      <c r="D559" s="72">
        <v>0</v>
      </c>
      <c r="E559" s="72">
        <v>0</v>
      </c>
    </row>
    <row r="560" spans="1:5" ht="75.75" thickBot="1" x14ac:dyDescent="0.3">
      <c r="A560" s="78" t="s">
        <v>29</v>
      </c>
      <c r="B560" s="77"/>
      <c r="C560" s="72"/>
      <c r="D560" s="72"/>
      <c r="E560" s="72"/>
    </row>
    <row r="561" spans="1:5" ht="75.75" thickBot="1" x14ac:dyDescent="0.3">
      <c r="A561" s="78" t="s">
        <v>46</v>
      </c>
      <c r="B561" s="77"/>
      <c r="C561" s="72"/>
      <c r="D561" s="72"/>
      <c r="E561" s="72"/>
    </row>
    <row r="562" spans="1:5" ht="16.5" thickBot="1" x14ac:dyDescent="0.3">
      <c r="A562" s="79" t="s">
        <v>30</v>
      </c>
      <c r="B562" s="89">
        <v>77000</v>
      </c>
      <c r="C562" s="89">
        <v>79890</v>
      </c>
      <c r="D562" s="89">
        <v>79890</v>
      </c>
      <c r="E562" s="89">
        <v>79890</v>
      </c>
    </row>
    <row r="563" spans="1:5" ht="60.75" thickBot="1" x14ac:dyDescent="0.3">
      <c r="A563" s="78" t="s">
        <v>31</v>
      </c>
      <c r="B563" s="77"/>
      <c r="C563" s="72"/>
      <c r="D563" s="72"/>
      <c r="E563" s="72"/>
    </row>
    <row r="564" spans="1:5" ht="60.75" thickBot="1" x14ac:dyDescent="0.3">
      <c r="A564" s="78" t="s">
        <v>47</v>
      </c>
      <c r="B564" s="77"/>
      <c r="C564" s="72"/>
      <c r="D564" s="72"/>
      <c r="E564" s="72"/>
    </row>
    <row r="565" spans="1:5" ht="16.5" thickBot="1" x14ac:dyDescent="0.3">
      <c r="A565" s="79" t="s">
        <v>32</v>
      </c>
      <c r="B565" s="77"/>
      <c r="C565" s="72"/>
      <c r="D565" s="72"/>
      <c r="E565" s="72"/>
    </row>
    <row r="566" spans="1:5" ht="60.75" thickBot="1" x14ac:dyDescent="0.3">
      <c r="A566" s="78" t="s">
        <v>33</v>
      </c>
      <c r="B566" s="77"/>
      <c r="C566" s="72"/>
      <c r="D566" s="72"/>
      <c r="E566" s="72"/>
    </row>
    <row r="567" spans="1:5" ht="60.75" thickBot="1" x14ac:dyDescent="0.3">
      <c r="A567" s="78" t="s">
        <v>48</v>
      </c>
      <c r="B567" s="77"/>
      <c r="C567" s="72"/>
      <c r="D567" s="72"/>
      <c r="E567" s="72"/>
    </row>
    <row r="568" spans="1:5" ht="16.5" thickBot="1" x14ac:dyDescent="0.3">
      <c r="A568" s="79" t="s">
        <v>34</v>
      </c>
      <c r="B568" s="77"/>
      <c r="C568" s="72"/>
      <c r="D568" s="72"/>
      <c r="E568" s="72"/>
    </row>
    <row r="569" spans="1:5" ht="60.75" thickBot="1" x14ac:dyDescent="0.3">
      <c r="A569" s="78" t="s">
        <v>35</v>
      </c>
      <c r="B569" s="77"/>
      <c r="C569" s="72"/>
      <c r="D569" s="72"/>
      <c r="E569" s="72"/>
    </row>
    <row r="570" spans="1:5" ht="60.75" thickBot="1" x14ac:dyDescent="0.3">
      <c r="A570" s="78" t="s">
        <v>49</v>
      </c>
      <c r="B570" s="77"/>
      <c r="C570" s="72"/>
      <c r="D570" s="72"/>
      <c r="E570" s="72"/>
    </row>
    <row r="571" spans="1:5" ht="16.5" thickBot="1" x14ac:dyDescent="0.3">
      <c r="A571" s="79" t="s">
        <v>36</v>
      </c>
      <c r="B571" s="77"/>
      <c r="C571" s="72"/>
      <c r="D571" s="72"/>
      <c r="E571" s="72"/>
    </row>
    <row r="572" spans="1:5" ht="60.75" thickBot="1" x14ac:dyDescent="0.3">
      <c r="A572" s="78" t="s">
        <v>37</v>
      </c>
      <c r="B572" s="77"/>
      <c r="C572" s="72"/>
      <c r="D572" s="72"/>
      <c r="E572" s="72"/>
    </row>
    <row r="573" spans="1:5" ht="60.75" thickBot="1" x14ac:dyDescent="0.3">
      <c r="A573" s="78" t="s">
        <v>50</v>
      </c>
      <c r="B573" s="77"/>
      <c r="C573" s="72"/>
      <c r="D573" s="72"/>
      <c r="E573" s="72"/>
    </row>
    <row r="574" spans="1:5" ht="30.75" thickBot="1" x14ac:dyDescent="0.3">
      <c r="A574" s="79" t="s">
        <v>38</v>
      </c>
      <c r="B574" s="77"/>
      <c r="C574" s="72"/>
      <c r="D574" s="72"/>
      <c r="E574" s="72"/>
    </row>
    <row r="575" spans="1:5" ht="75.75" thickBot="1" x14ac:dyDescent="0.3">
      <c r="A575" s="78" t="s">
        <v>39</v>
      </c>
      <c r="B575" s="77"/>
      <c r="C575" s="72"/>
      <c r="D575" s="72"/>
      <c r="E575" s="72"/>
    </row>
    <row r="576" spans="1:5" ht="75.75" thickBot="1" x14ac:dyDescent="0.3">
      <c r="A576" s="78" t="s">
        <v>51</v>
      </c>
      <c r="B576" s="77"/>
      <c r="C576" s="72"/>
      <c r="D576" s="72"/>
      <c r="E576" s="72"/>
    </row>
    <row r="577" spans="1:5" ht="29.25" thickBot="1" x14ac:dyDescent="0.3">
      <c r="A577" s="88" t="s">
        <v>71</v>
      </c>
      <c r="B577" s="100">
        <f>B574+B568+B571+B565+B562+B559+B556</f>
        <v>77000</v>
      </c>
      <c r="C577" s="100">
        <f>C574+C568+C571+C565+C562+C559+C556</f>
        <v>79890</v>
      </c>
      <c r="D577" s="100">
        <f>D574+D568+D571+D565+D562+D559+D556</f>
        <v>79890</v>
      </c>
      <c r="E577" s="100">
        <f>E574+E568+E571+E565+E562+E559+E556</f>
        <v>79890</v>
      </c>
    </row>
    <row r="578" spans="1:5" x14ac:dyDescent="0.25">
      <c r="A578" s="1149" t="s">
        <v>116</v>
      </c>
      <c r="B578" s="1151"/>
      <c r="C578" s="1151"/>
      <c r="D578" s="1151"/>
      <c r="E578" s="1152"/>
    </row>
    <row r="579" spans="1:5" x14ac:dyDescent="0.25">
      <c r="A579" s="1150"/>
      <c r="B579" s="1153"/>
      <c r="C579" s="1153"/>
      <c r="D579" s="1153"/>
      <c r="E579" s="1154"/>
    </row>
    <row r="580" spans="1:5" ht="16.5" thickBot="1" x14ac:dyDescent="0.3">
      <c r="A580" s="1175"/>
      <c r="B580" s="1155"/>
      <c r="C580" s="1155"/>
      <c r="D580" s="1155"/>
      <c r="E580" s="1156"/>
    </row>
    <row r="581" spans="1:5" ht="16.5" thickBot="1" x14ac:dyDescent="0.3">
      <c r="A581" s="75" t="s">
        <v>41</v>
      </c>
      <c r="B581" s="74">
        <f>IF(B577-B548=0,0,"Error")</f>
        <v>0</v>
      </c>
      <c r="C581" s="74">
        <f>IF(C577-C548=0,0,"Error")</f>
        <v>0</v>
      </c>
      <c r="D581" s="74">
        <f>IF(D577-D548=0,0,"Error")</f>
        <v>0</v>
      </c>
      <c r="E581" s="74">
        <f>IF(E577-E548=0,0,"Error")</f>
        <v>0</v>
      </c>
    </row>
    <row r="582" spans="1:5" ht="16.5" thickBot="1" x14ac:dyDescent="0.3">
      <c r="A582" s="1169" t="s">
        <v>63</v>
      </c>
      <c r="B582" s="1170"/>
      <c r="C582" s="1170"/>
      <c r="D582" s="1170"/>
      <c r="E582" s="1171"/>
    </row>
    <row r="583" spans="1:5" ht="16.5" thickBot="1" x14ac:dyDescent="0.3">
      <c r="A583" s="1169" t="s">
        <v>56</v>
      </c>
      <c r="B583" s="1170"/>
      <c r="C583" s="1170"/>
      <c r="D583" s="1170"/>
      <c r="E583" s="1171"/>
    </row>
    <row r="584" spans="1:5" ht="16.5" thickBot="1" x14ac:dyDescent="0.3">
      <c r="A584" s="99" t="s">
        <v>61</v>
      </c>
      <c r="B584" s="1182" t="s">
        <v>124</v>
      </c>
      <c r="C584" s="1183"/>
      <c r="D584" s="1183"/>
      <c r="E584" s="1184"/>
    </row>
    <row r="585" spans="1:5" ht="16.5" thickBot="1" x14ac:dyDescent="0.3">
      <c r="A585" s="95" t="s">
        <v>16</v>
      </c>
      <c r="B585" s="1176" t="s">
        <v>106</v>
      </c>
      <c r="C585" s="1177"/>
      <c r="D585" s="1177"/>
      <c r="E585" s="1178"/>
    </row>
    <row r="586" spans="1:5" ht="16.5" thickBot="1" x14ac:dyDescent="0.3">
      <c r="A586" s="93" t="s">
        <v>17</v>
      </c>
      <c r="B586" s="1160" t="s">
        <v>106</v>
      </c>
      <c r="C586" s="1161"/>
      <c r="D586" s="1161"/>
      <c r="E586" s="1162"/>
    </row>
    <row r="587" spans="1:5" ht="16.5" thickBot="1" x14ac:dyDescent="0.3">
      <c r="A587" s="93" t="s">
        <v>18</v>
      </c>
      <c r="B587" s="1172" t="s">
        <v>106</v>
      </c>
      <c r="C587" s="1173"/>
      <c r="D587" s="1173"/>
      <c r="E587" s="1174"/>
    </row>
    <row r="588" spans="1:5" x14ac:dyDescent="0.25">
      <c r="A588" s="1144"/>
      <c r="B588" s="91">
        <v>2018</v>
      </c>
      <c r="C588" s="91">
        <v>2019</v>
      </c>
      <c r="D588" s="91">
        <v>2020</v>
      </c>
      <c r="E588" s="91">
        <v>2021</v>
      </c>
    </row>
    <row r="589" spans="1:5" ht="16.5" thickBot="1" x14ac:dyDescent="0.3">
      <c r="A589" s="1145"/>
      <c r="B589" s="90" t="s">
        <v>10</v>
      </c>
      <c r="C589" s="90" t="s">
        <v>11</v>
      </c>
      <c r="D589" s="90" t="s">
        <v>11</v>
      </c>
      <c r="E589" s="90" t="s">
        <v>11</v>
      </c>
    </row>
    <row r="590" spans="1:5" ht="16.5" thickBot="1" x14ac:dyDescent="0.3">
      <c r="A590" s="93" t="s">
        <v>19</v>
      </c>
      <c r="B590" s="94"/>
      <c r="C590" s="94"/>
      <c r="D590" s="94"/>
      <c r="E590" s="94"/>
    </row>
    <row r="591" spans="1:5" ht="16.5" thickBot="1" x14ac:dyDescent="0.3">
      <c r="A591" s="93" t="s">
        <v>20</v>
      </c>
      <c r="B591" s="94"/>
      <c r="C591" s="94"/>
      <c r="D591" s="94"/>
      <c r="E591" s="94"/>
    </row>
    <row r="592" spans="1:5" ht="16.5" thickBot="1" x14ac:dyDescent="0.3">
      <c r="A592" s="93" t="s">
        <v>21</v>
      </c>
      <c r="B592" s="94" t="e">
        <f>B591/B590</f>
        <v>#DIV/0!</v>
      </c>
      <c r="C592" s="94" t="e">
        <f>C591/C590</f>
        <v>#DIV/0!</v>
      </c>
      <c r="D592" s="94" t="e">
        <f>D591/D590</f>
        <v>#DIV/0!</v>
      </c>
      <c r="E592" s="94" t="e">
        <f>E591/E590</f>
        <v>#DIV/0!</v>
      </c>
    </row>
    <row r="593" spans="1:5" ht="16.5" thickBot="1" x14ac:dyDescent="0.3">
      <c r="A593" s="93" t="s">
        <v>22</v>
      </c>
      <c r="B593" s="147" t="s">
        <v>23</v>
      </c>
      <c r="C593" s="92" t="e">
        <f t="shared" ref="C593:E595" si="16">C590/B590-1</f>
        <v>#DIV/0!</v>
      </c>
      <c r="D593" s="92" t="e">
        <f t="shared" si="16"/>
        <v>#DIV/0!</v>
      </c>
      <c r="E593" s="92" t="e">
        <f t="shared" si="16"/>
        <v>#DIV/0!</v>
      </c>
    </row>
    <row r="594" spans="1:5" ht="16.5" thickBot="1" x14ac:dyDescent="0.3">
      <c r="A594" s="93" t="s">
        <v>24</v>
      </c>
      <c r="B594" s="147" t="s">
        <v>23</v>
      </c>
      <c r="C594" s="92" t="e">
        <f t="shared" si="16"/>
        <v>#DIV/0!</v>
      </c>
      <c r="D594" s="92" t="e">
        <f t="shared" si="16"/>
        <v>#DIV/0!</v>
      </c>
      <c r="E594" s="92" t="e">
        <f t="shared" si="16"/>
        <v>#DIV/0!</v>
      </c>
    </row>
    <row r="595" spans="1:5" ht="30.75" thickBot="1" x14ac:dyDescent="0.3">
      <c r="A595" s="93" t="s">
        <v>25</v>
      </c>
      <c r="B595" s="147" t="s">
        <v>23</v>
      </c>
      <c r="C595" s="92" t="e">
        <f t="shared" si="16"/>
        <v>#DIV/0!</v>
      </c>
      <c r="D595" s="92" t="e">
        <f t="shared" si="16"/>
        <v>#DIV/0!</v>
      </c>
      <c r="E595" s="92" t="e">
        <f t="shared" si="16"/>
        <v>#DIV/0!</v>
      </c>
    </row>
    <row r="596" spans="1:5" ht="16.5" thickBot="1" x14ac:dyDescent="0.3">
      <c r="A596" s="1146" t="s">
        <v>394</v>
      </c>
      <c r="B596" s="1147"/>
      <c r="C596" s="1147"/>
      <c r="D596" s="1147"/>
      <c r="E596" s="1148"/>
    </row>
    <row r="597" spans="1:5" x14ac:dyDescent="0.25">
      <c r="A597" s="1144"/>
      <c r="B597" s="91">
        <v>2018</v>
      </c>
      <c r="C597" s="91">
        <v>2019</v>
      </c>
      <c r="D597" s="91">
        <v>2020</v>
      </c>
      <c r="E597" s="91">
        <v>2021</v>
      </c>
    </row>
    <row r="598" spans="1:5" ht="16.5" thickBot="1" x14ac:dyDescent="0.3">
      <c r="A598" s="1145"/>
      <c r="B598" s="90" t="s">
        <v>10</v>
      </c>
      <c r="C598" s="90" t="s">
        <v>11</v>
      </c>
      <c r="D598" s="90" t="s">
        <v>11</v>
      </c>
      <c r="E598" s="90" t="s">
        <v>11</v>
      </c>
    </row>
    <row r="599" spans="1:5" ht="16.5" thickBot="1" x14ac:dyDescent="0.3">
      <c r="A599" s="79" t="s">
        <v>58</v>
      </c>
      <c r="B599" s="72"/>
      <c r="C599" s="72"/>
      <c r="D599" s="72"/>
      <c r="E599" s="72"/>
    </row>
    <row r="600" spans="1:5" ht="16.5" thickBot="1" x14ac:dyDescent="0.3">
      <c r="A600" s="79" t="s">
        <v>59</v>
      </c>
      <c r="B600" s="77"/>
      <c r="C600" s="72"/>
      <c r="D600" s="72"/>
      <c r="E600" s="72"/>
    </row>
    <row r="601" spans="1:5" ht="16.5" thickBot="1" x14ac:dyDescent="0.3">
      <c r="A601" s="98" t="s">
        <v>40</v>
      </c>
      <c r="B601" s="77">
        <f>B600+B599</f>
        <v>0</v>
      </c>
      <c r="C601" s="77">
        <f>C600+C599</f>
        <v>0</v>
      </c>
      <c r="D601" s="77">
        <f>D600+D599</f>
        <v>0</v>
      </c>
      <c r="E601" s="77">
        <f>E600+E599</f>
        <v>0</v>
      </c>
    </row>
    <row r="602" spans="1:5" x14ac:dyDescent="0.25">
      <c r="A602" s="1149" t="s">
        <v>60</v>
      </c>
      <c r="B602" s="1179"/>
      <c r="C602" s="1151"/>
      <c r="D602" s="1151"/>
      <c r="E602" s="1152"/>
    </row>
    <row r="603" spans="1:5" x14ac:dyDescent="0.25">
      <c r="A603" s="1150"/>
      <c r="B603" s="1180"/>
      <c r="C603" s="1153"/>
      <c r="D603" s="1153"/>
      <c r="E603" s="1154"/>
    </row>
    <row r="604" spans="1:5" ht="16.5" thickBot="1" x14ac:dyDescent="0.3">
      <c r="A604" s="1175"/>
      <c r="B604" s="1181"/>
      <c r="C604" s="1155"/>
      <c r="D604" s="1155"/>
      <c r="E604" s="1156"/>
    </row>
    <row r="605" spans="1:5" ht="16.5" thickBot="1" x14ac:dyDescent="0.3">
      <c r="A605" s="99" t="s">
        <v>61</v>
      </c>
      <c r="B605" s="1182" t="s">
        <v>124</v>
      </c>
      <c r="C605" s="1183"/>
      <c r="D605" s="1183"/>
      <c r="E605" s="1184"/>
    </row>
    <row r="606" spans="1:5" ht="29.25" thickBot="1" x14ac:dyDescent="0.3">
      <c r="A606" s="95" t="s">
        <v>123</v>
      </c>
      <c r="B606" s="1176" t="s">
        <v>106</v>
      </c>
      <c r="C606" s="1177"/>
      <c r="D606" s="1177"/>
      <c r="E606" s="1178"/>
    </row>
    <row r="607" spans="1:5" ht="16.5" thickBot="1" x14ac:dyDescent="0.3">
      <c r="A607" s="93" t="s">
        <v>17</v>
      </c>
      <c r="B607" s="1160" t="s">
        <v>106</v>
      </c>
      <c r="C607" s="1161"/>
      <c r="D607" s="1161"/>
      <c r="E607" s="1162"/>
    </row>
    <row r="608" spans="1:5" ht="16.5" thickBot="1" x14ac:dyDescent="0.3">
      <c r="A608" s="93" t="s">
        <v>18</v>
      </c>
      <c r="B608" s="1172" t="s">
        <v>106</v>
      </c>
      <c r="C608" s="1173"/>
      <c r="D608" s="1173"/>
      <c r="E608" s="1174"/>
    </row>
    <row r="609" spans="1:5" x14ac:dyDescent="0.25">
      <c r="A609" s="1144"/>
      <c r="B609" s="91">
        <v>2018</v>
      </c>
      <c r="C609" s="91">
        <v>2019</v>
      </c>
      <c r="D609" s="91">
        <v>2020</v>
      </c>
      <c r="E609" s="91">
        <v>2021</v>
      </c>
    </row>
    <row r="610" spans="1:5" ht="16.5" thickBot="1" x14ac:dyDescent="0.3">
      <c r="A610" s="1145"/>
      <c r="B610" s="90" t="s">
        <v>10</v>
      </c>
      <c r="C610" s="90" t="s">
        <v>11</v>
      </c>
      <c r="D610" s="90" t="s">
        <v>11</v>
      </c>
      <c r="E610" s="90" t="s">
        <v>11</v>
      </c>
    </row>
    <row r="611" spans="1:5" ht="16.5" thickBot="1" x14ac:dyDescent="0.3">
      <c r="A611" s="93" t="s">
        <v>19</v>
      </c>
      <c r="B611" s="94"/>
      <c r="C611" s="94"/>
      <c r="D611" s="94"/>
      <c r="E611" s="94"/>
    </row>
    <row r="612" spans="1:5" ht="16.5" thickBot="1" x14ac:dyDescent="0.3">
      <c r="A612" s="93" t="s">
        <v>20</v>
      </c>
      <c r="B612" s="94"/>
      <c r="C612" s="94"/>
      <c r="D612" s="94"/>
      <c r="E612" s="94"/>
    </row>
    <row r="613" spans="1:5" ht="16.5" thickBot="1" x14ac:dyDescent="0.3">
      <c r="A613" s="93" t="s">
        <v>21</v>
      </c>
      <c r="B613" s="94" t="e">
        <f>B612/B611</f>
        <v>#DIV/0!</v>
      </c>
      <c r="C613" s="94" t="e">
        <f>C612/C611</f>
        <v>#DIV/0!</v>
      </c>
      <c r="D613" s="94" t="e">
        <f>D612/D611</f>
        <v>#DIV/0!</v>
      </c>
      <c r="E613" s="94" t="e">
        <f>E612/E611</f>
        <v>#DIV/0!</v>
      </c>
    </row>
    <row r="614" spans="1:5" ht="16.5" thickBot="1" x14ac:dyDescent="0.3">
      <c r="A614" s="93" t="s">
        <v>22</v>
      </c>
      <c r="B614" s="147" t="s">
        <v>23</v>
      </c>
      <c r="C614" s="92" t="e">
        <f t="shared" ref="C614:E616" si="17">C611/B611-1</f>
        <v>#DIV/0!</v>
      </c>
      <c r="D614" s="92" t="e">
        <f t="shared" si="17"/>
        <v>#DIV/0!</v>
      </c>
      <c r="E614" s="92" t="e">
        <f t="shared" si="17"/>
        <v>#DIV/0!</v>
      </c>
    </row>
    <row r="615" spans="1:5" ht="16.5" thickBot="1" x14ac:dyDescent="0.3">
      <c r="A615" s="93" t="s">
        <v>24</v>
      </c>
      <c r="B615" s="147" t="s">
        <v>23</v>
      </c>
      <c r="C615" s="92" t="e">
        <f t="shared" si="17"/>
        <v>#DIV/0!</v>
      </c>
      <c r="D615" s="92" t="e">
        <f t="shared" si="17"/>
        <v>#DIV/0!</v>
      </c>
      <c r="E615" s="92" t="e">
        <f t="shared" si="17"/>
        <v>#DIV/0!</v>
      </c>
    </row>
    <row r="616" spans="1:5" ht="30.75" thickBot="1" x14ac:dyDescent="0.3">
      <c r="A616" s="93" t="s">
        <v>25</v>
      </c>
      <c r="B616" s="147" t="s">
        <v>23</v>
      </c>
      <c r="C616" s="92" t="e">
        <f t="shared" si="17"/>
        <v>#DIV/0!</v>
      </c>
      <c r="D616" s="92" t="e">
        <f t="shared" si="17"/>
        <v>#DIV/0!</v>
      </c>
      <c r="E616" s="92" t="e">
        <f t="shared" si="17"/>
        <v>#DIV/0!</v>
      </c>
    </row>
    <row r="617" spans="1:5" ht="16.5" thickBot="1" x14ac:dyDescent="0.3">
      <c r="A617" s="1146" t="s">
        <v>393</v>
      </c>
      <c r="B617" s="1147"/>
      <c r="C617" s="1147"/>
      <c r="D617" s="1147"/>
      <c r="E617" s="1148"/>
    </row>
    <row r="618" spans="1:5" x14ac:dyDescent="0.25">
      <c r="A618" s="1144"/>
      <c r="B618" s="91">
        <v>2018</v>
      </c>
      <c r="C618" s="91">
        <v>2019</v>
      </c>
      <c r="D618" s="91">
        <v>2020</v>
      </c>
      <c r="E618" s="91">
        <v>2021</v>
      </c>
    </row>
    <row r="619" spans="1:5" ht="16.5" thickBot="1" x14ac:dyDescent="0.3">
      <c r="A619" s="1145"/>
      <c r="B619" s="90" t="s">
        <v>10</v>
      </c>
      <c r="C619" s="90" t="s">
        <v>11</v>
      </c>
      <c r="D619" s="90" t="s">
        <v>11</v>
      </c>
      <c r="E619" s="90" t="s">
        <v>11</v>
      </c>
    </row>
    <row r="620" spans="1:5" ht="16.5" thickBot="1" x14ac:dyDescent="0.3">
      <c r="A620" s="79" t="s">
        <v>58</v>
      </c>
      <c r="B620" s="72"/>
      <c r="C620" s="72"/>
      <c r="D620" s="72"/>
      <c r="E620" s="72"/>
    </row>
    <row r="621" spans="1:5" ht="16.5" thickBot="1" x14ac:dyDescent="0.3">
      <c r="A621" s="79" t="s">
        <v>59</v>
      </c>
      <c r="B621" s="77"/>
      <c r="C621" s="72"/>
      <c r="D621" s="72"/>
      <c r="E621" s="72"/>
    </row>
    <row r="622" spans="1:5" ht="16.5" thickBot="1" x14ac:dyDescent="0.3">
      <c r="A622" s="98" t="s">
        <v>74</v>
      </c>
      <c r="B622" s="77">
        <f>B621+B620</f>
        <v>0</v>
      </c>
      <c r="C622" s="77">
        <f>C621+C620</f>
        <v>0</v>
      </c>
      <c r="D622" s="77">
        <f>D621+D620</f>
        <v>0</v>
      </c>
      <c r="E622" s="77">
        <f>E621+E620</f>
        <v>0</v>
      </c>
    </row>
    <row r="623" spans="1:5" x14ac:dyDescent="0.25">
      <c r="A623" s="1149" t="s">
        <v>62</v>
      </c>
      <c r="B623" s="1179"/>
      <c r="C623" s="1151"/>
      <c r="D623" s="1151"/>
      <c r="E623" s="1152"/>
    </row>
    <row r="624" spans="1:5" x14ac:dyDescent="0.25">
      <c r="A624" s="1150"/>
      <c r="B624" s="1180"/>
      <c r="C624" s="1153"/>
      <c r="D624" s="1153"/>
      <c r="E624" s="1154"/>
    </row>
    <row r="625" spans="1:5" ht="16.5" thickBot="1" x14ac:dyDescent="0.3">
      <c r="A625" s="1175"/>
      <c r="B625" s="1181"/>
      <c r="C625" s="1155"/>
      <c r="D625" s="1155"/>
      <c r="E625" s="1156"/>
    </row>
    <row r="626" spans="1:5" ht="16.5" thickBot="1" x14ac:dyDescent="0.3">
      <c r="A626" s="1169" t="s">
        <v>63</v>
      </c>
      <c r="B626" s="1170"/>
      <c r="C626" s="1170"/>
      <c r="D626" s="1170"/>
      <c r="E626" s="1171"/>
    </row>
    <row r="627" spans="1:5" ht="16.5" thickBot="1" x14ac:dyDescent="0.3">
      <c r="A627" s="1169" t="s">
        <v>64</v>
      </c>
      <c r="B627" s="1170"/>
      <c r="C627" s="1170"/>
      <c r="D627" s="1170"/>
      <c r="E627" s="1171"/>
    </row>
    <row r="628" spans="1:5" ht="16.5" thickBot="1" x14ac:dyDescent="0.3">
      <c r="A628" s="99" t="s">
        <v>61</v>
      </c>
      <c r="B628" s="1182" t="s">
        <v>124</v>
      </c>
      <c r="C628" s="1183"/>
      <c r="D628" s="1183"/>
      <c r="E628" s="1184"/>
    </row>
    <row r="629" spans="1:5" ht="16.5" thickBot="1" x14ac:dyDescent="0.3">
      <c r="A629" s="95" t="s">
        <v>16</v>
      </c>
      <c r="B629" s="1176" t="s">
        <v>106</v>
      </c>
      <c r="C629" s="1177"/>
      <c r="D629" s="1177"/>
      <c r="E629" s="1178"/>
    </row>
    <row r="630" spans="1:5" ht="16.5" thickBot="1" x14ac:dyDescent="0.3">
      <c r="A630" s="93" t="s">
        <v>17</v>
      </c>
      <c r="B630" s="1160" t="s">
        <v>106</v>
      </c>
      <c r="C630" s="1161"/>
      <c r="D630" s="1161"/>
      <c r="E630" s="1162"/>
    </row>
    <row r="631" spans="1:5" ht="16.5" thickBot="1" x14ac:dyDescent="0.3">
      <c r="A631" s="93" t="s">
        <v>18</v>
      </c>
      <c r="B631" s="1172" t="s">
        <v>106</v>
      </c>
      <c r="C631" s="1173"/>
      <c r="D631" s="1173"/>
      <c r="E631" s="1174"/>
    </row>
    <row r="632" spans="1:5" x14ac:dyDescent="0.25">
      <c r="A632" s="1144"/>
      <c r="B632" s="91">
        <v>2018</v>
      </c>
      <c r="C632" s="91">
        <v>2019</v>
      </c>
      <c r="D632" s="91">
        <v>2020</v>
      </c>
      <c r="E632" s="91">
        <v>2021</v>
      </c>
    </row>
    <row r="633" spans="1:5" ht="16.5" thickBot="1" x14ac:dyDescent="0.3">
      <c r="A633" s="1145"/>
      <c r="B633" s="90" t="s">
        <v>10</v>
      </c>
      <c r="C633" s="90" t="s">
        <v>11</v>
      </c>
      <c r="D633" s="90" t="s">
        <v>11</v>
      </c>
      <c r="E633" s="90" t="s">
        <v>11</v>
      </c>
    </row>
    <row r="634" spans="1:5" ht="16.5" thickBot="1" x14ac:dyDescent="0.3">
      <c r="A634" s="93" t="s">
        <v>19</v>
      </c>
      <c r="B634" s="94"/>
      <c r="C634" s="94"/>
      <c r="D634" s="94"/>
      <c r="E634" s="94"/>
    </row>
    <row r="635" spans="1:5" ht="16.5" thickBot="1" x14ac:dyDescent="0.3">
      <c r="A635" s="93" t="s">
        <v>20</v>
      </c>
      <c r="B635" s="94"/>
      <c r="C635" s="94"/>
      <c r="D635" s="94"/>
      <c r="E635" s="94"/>
    </row>
    <row r="636" spans="1:5" ht="16.5" thickBot="1" x14ac:dyDescent="0.3">
      <c r="A636" s="93" t="s">
        <v>21</v>
      </c>
      <c r="B636" s="94" t="e">
        <f>B635/B634</f>
        <v>#DIV/0!</v>
      </c>
      <c r="C636" s="94" t="e">
        <f>C635/C634</f>
        <v>#DIV/0!</v>
      </c>
      <c r="D636" s="94" t="e">
        <f>D635/D634</f>
        <v>#DIV/0!</v>
      </c>
      <c r="E636" s="94" t="e">
        <f>E635/E634</f>
        <v>#DIV/0!</v>
      </c>
    </row>
    <row r="637" spans="1:5" ht="16.5" thickBot="1" x14ac:dyDescent="0.3">
      <c r="A637" s="93" t="s">
        <v>22</v>
      </c>
      <c r="B637" s="147" t="s">
        <v>23</v>
      </c>
      <c r="C637" s="92" t="e">
        <f t="shared" ref="C637:E639" si="18">C634/B634-1</f>
        <v>#DIV/0!</v>
      </c>
      <c r="D637" s="92" t="e">
        <f t="shared" si="18"/>
        <v>#DIV/0!</v>
      </c>
      <c r="E637" s="92" t="e">
        <f t="shared" si="18"/>
        <v>#DIV/0!</v>
      </c>
    </row>
    <row r="638" spans="1:5" ht="16.5" thickBot="1" x14ac:dyDescent="0.3">
      <c r="A638" s="93" t="s">
        <v>24</v>
      </c>
      <c r="B638" s="147" t="s">
        <v>23</v>
      </c>
      <c r="C638" s="92" t="e">
        <f t="shared" si="18"/>
        <v>#DIV/0!</v>
      </c>
      <c r="D638" s="92" t="e">
        <f t="shared" si="18"/>
        <v>#DIV/0!</v>
      </c>
      <c r="E638" s="92" t="e">
        <f t="shared" si="18"/>
        <v>#DIV/0!</v>
      </c>
    </row>
    <row r="639" spans="1:5" ht="30.75" thickBot="1" x14ac:dyDescent="0.3">
      <c r="A639" s="93" t="s">
        <v>25</v>
      </c>
      <c r="B639" s="147" t="s">
        <v>23</v>
      </c>
      <c r="C639" s="92" t="e">
        <f t="shared" si="18"/>
        <v>#DIV/0!</v>
      </c>
      <c r="D639" s="92" t="e">
        <f t="shared" si="18"/>
        <v>#DIV/0!</v>
      </c>
      <c r="E639" s="92" t="e">
        <f t="shared" si="18"/>
        <v>#DIV/0!</v>
      </c>
    </row>
    <row r="640" spans="1:5" ht="16.5" thickBot="1" x14ac:dyDescent="0.3">
      <c r="A640" s="1146" t="s">
        <v>394</v>
      </c>
      <c r="B640" s="1147"/>
      <c r="C640" s="1147"/>
      <c r="D640" s="1147"/>
      <c r="E640" s="1148"/>
    </row>
    <row r="641" spans="1:5" x14ac:dyDescent="0.25">
      <c r="A641" s="1144"/>
      <c r="B641" s="91">
        <v>2018</v>
      </c>
      <c r="C641" s="91">
        <v>2019</v>
      </c>
      <c r="D641" s="91">
        <v>2020</v>
      </c>
      <c r="E641" s="91">
        <v>2021</v>
      </c>
    </row>
    <row r="642" spans="1:5" ht="16.5" thickBot="1" x14ac:dyDescent="0.3">
      <c r="A642" s="1145"/>
      <c r="B642" s="90" t="s">
        <v>10</v>
      </c>
      <c r="C642" s="90" t="s">
        <v>11</v>
      </c>
      <c r="D642" s="90" t="s">
        <v>11</v>
      </c>
      <c r="E642" s="90" t="s">
        <v>11</v>
      </c>
    </row>
    <row r="643" spans="1:5" ht="16.5" thickBot="1" x14ac:dyDescent="0.3">
      <c r="A643" s="79" t="s">
        <v>58</v>
      </c>
      <c r="B643" s="72"/>
      <c r="C643" s="72"/>
      <c r="D643" s="72"/>
      <c r="E643" s="72"/>
    </row>
    <row r="644" spans="1:5" ht="16.5" thickBot="1" x14ac:dyDescent="0.3">
      <c r="A644" s="79" t="s">
        <v>59</v>
      </c>
      <c r="B644" s="77"/>
      <c r="C644" s="72"/>
      <c r="D644" s="72"/>
      <c r="E644" s="72"/>
    </row>
    <row r="645" spans="1:5" ht="16.5" thickBot="1" x14ac:dyDescent="0.3">
      <c r="A645" s="98" t="s">
        <v>40</v>
      </c>
      <c r="B645" s="77">
        <f>B644+B643</f>
        <v>0</v>
      </c>
      <c r="C645" s="77">
        <f>C644+C643</f>
        <v>0</v>
      </c>
      <c r="D645" s="77">
        <f>D644+D643</f>
        <v>0</v>
      </c>
      <c r="E645" s="77">
        <f>E644+E643</f>
        <v>0</v>
      </c>
    </row>
    <row r="646" spans="1:5" x14ac:dyDescent="0.25">
      <c r="A646" s="1149" t="s">
        <v>60</v>
      </c>
      <c r="B646" s="1179"/>
      <c r="C646" s="1151"/>
      <c r="D646" s="1151"/>
      <c r="E646" s="1152"/>
    </row>
    <row r="647" spans="1:5" x14ac:dyDescent="0.25">
      <c r="A647" s="1150"/>
      <c r="B647" s="1180"/>
      <c r="C647" s="1153"/>
      <c r="D647" s="1153"/>
      <c r="E647" s="1154"/>
    </row>
    <row r="648" spans="1:5" ht="16.5" thickBot="1" x14ac:dyDescent="0.3">
      <c r="A648" s="1175"/>
      <c r="B648" s="1181"/>
      <c r="C648" s="1155"/>
      <c r="D648" s="1155"/>
      <c r="E648" s="1156"/>
    </row>
    <row r="649" spans="1:5" ht="16.5" thickBot="1" x14ac:dyDescent="0.3">
      <c r="A649" s="99" t="s">
        <v>61</v>
      </c>
      <c r="B649" s="1182" t="s">
        <v>124</v>
      </c>
      <c r="C649" s="1183"/>
      <c r="D649" s="1183"/>
      <c r="E649" s="1184"/>
    </row>
    <row r="650" spans="1:5" ht="29.25" thickBot="1" x14ac:dyDescent="0.3">
      <c r="A650" s="95" t="s">
        <v>123</v>
      </c>
      <c r="B650" s="1176" t="s">
        <v>106</v>
      </c>
      <c r="C650" s="1177"/>
      <c r="D650" s="1177"/>
      <c r="E650" s="1178"/>
    </row>
    <row r="651" spans="1:5" ht="16.5" thickBot="1" x14ac:dyDescent="0.3">
      <c r="A651" s="93" t="s">
        <v>17</v>
      </c>
      <c r="B651" s="1160" t="s">
        <v>106</v>
      </c>
      <c r="C651" s="1161"/>
      <c r="D651" s="1161"/>
      <c r="E651" s="1162"/>
    </row>
    <row r="652" spans="1:5" ht="16.5" thickBot="1" x14ac:dyDescent="0.3">
      <c r="A652" s="93" t="s">
        <v>18</v>
      </c>
      <c r="B652" s="1172" t="s">
        <v>106</v>
      </c>
      <c r="C652" s="1173"/>
      <c r="D652" s="1173"/>
      <c r="E652" s="1174"/>
    </row>
    <row r="653" spans="1:5" x14ac:dyDescent="0.25">
      <c r="A653" s="1144"/>
      <c r="B653" s="91">
        <v>2018</v>
      </c>
      <c r="C653" s="91">
        <v>2019</v>
      </c>
      <c r="D653" s="91">
        <v>2020</v>
      </c>
      <c r="E653" s="91">
        <v>2021</v>
      </c>
    </row>
    <row r="654" spans="1:5" ht="16.5" thickBot="1" x14ac:dyDescent="0.3">
      <c r="A654" s="1145"/>
      <c r="B654" s="90" t="s">
        <v>10</v>
      </c>
      <c r="C654" s="90" t="s">
        <v>11</v>
      </c>
      <c r="D654" s="90" t="s">
        <v>11</v>
      </c>
      <c r="E654" s="90" t="s">
        <v>11</v>
      </c>
    </row>
    <row r="655" spans="1:5" ht="16.5" thickBot="1" x14ac:dyDescent="0.3">
      <c r="A655" s="93" t="s">
        <v>19</v>
      </c>
      <c r="B655" s="94"/>
      <c r="C655" s="94"/>
      <c r="D655" s="94"/>
      <c r="E655" s="94"/>
    </row>
    <row r="656" spans="1:5" ht="16.5" thickBot="1" x14ac:dyDescent="0.3">
      <c r="A656" s="93" t="s">
        <v>20</v>
      </c>
      <c r="B656" s="94"/>
      <c r="C656" s="94"/>
      <c r="D656" s="94"/>
      <c r="E656" s="94"/>
    </row>
    <row r="657" spans="1:5" ht="16.5" thickBot="1" x14ac:dyDescent="0.3">
      <c r="A657" s="93" t="s">
        <v>21</v>
      </c>
      <c r="B657" s="94" t="e">
        <f>B656/B655</f>
        <v>#DIV/0!</v>
      </c>
      <c r="C657" s="94" t="e">
        <f>C656/C655</f>
        <v>#DIV/0!</v>
      </c>
      <c r="D657" s="94" t="e">
        <f>D656/D655</f>
        <v>#DIV/0!</v>
      </c>
      <c r="E657" s="94" t="e">
        <f>E656/E655</f>
        <v>#DIV/0!</v>
      </c>
    </row>
    <row r="658" spans="1:5" ht="16.5" thickBot="1" x14ac:dyDescent="0.3">
      <c r="A658" s="93" t="s">
        <v>22</v>
      </c>
      <c r="B658" s="147" t="s">
        <v>23</v>
      </c>
      <c r="C658" s="92" t="e">
        <f t="shared" ref="C658:E660" si="19">C655/B655-1</f>
        <v>#DIV/0!</v>
      </c>
      <c r="D658" s="92" t="e">
        <f t="shared" si="19"/>
        <v>#DIV/0!</v>
      </c>
      <c r="E658" s="92" t="e">
        <f t="shared" si="19"/>
        <v>#DIV/0!</v>
      </c>
    </row>
    <row r="659" spans="1:5" ht="16.5" thickBot="1" x14ac:dyDescent="0.3">
      <c r="A659" s="93" t="s">
        <v>24</v>
      </c>
      <c r="B659" s="147" t="s">
        <v>23</v>
      </c>
      <c r="C659" s="92" t="e">
        <f t="shared" si="19"/>
        <v>#DIV/0!</v>
      </c>
      <c r="D659" s="92" t="e">
        <f t="shared" si="19"/>
        <v>#DIV/0!</v>
      </c>
      <c r="E659" s="92" t="e">
        <f t="shared" si="19"/>
        <v>#DIV/0!</v>
      </c>
    </row>
    <row r="660" spans="1:5" ht="30.75" thickBot="1" x14ac:dyDescent="0.3">
      <c r="A660" s="93" t="s">
        <v>25</v>
      </c>
      <c r="B660" s="147" t="s">
        <v>23</v>
      </c>
      <c r="C660" s="92" t="e">
        <f t="shared" si="19"/>
        <v>#DIV/0!</v>
      </c>
      <c r="D660" s="92" t="e">
        <f t="shared" si="19"/>
        <v>#DIV/0!</v>
      </c>
      <c r="E660" s="92" t="e">
        <f t="shared" si="19"/>
        <v>#DIV/0!</v>
      </c>
    </row>
    <row r="661" spans="1:5" ht="16.5" thickBot="1" x14ac:dyDescent="0.3">
      <c r="A661" s="1146" t="s">
        <v>393</v>
      </c>
      <c r="B661" s="1147"/>
      <c r="C661" s="1147"/>
      <c r="D661" s="1147"/>
      <c r="E661" s="1148"/>
    </row>
    <row r="662" spans="1:5" x14ac:dyDescent="0.25">
      <c r="A662" s="1144"/>
      <c r="B662" s="91">
        <v>2018</v>
      </c>
      <c r="C662" s="91">
        <v>2019</v>
      </c>
      <c r="D662" s="91">
        <v>2020</v>
      </c>
      <c r="E662" s="91">
        <v>2021</v>
      </c>
    </row>
    <row r="663" spans="1:5" ht="16.5" thickBot="1" x14ac:dyDescent="0.3">
      <c r="A663" s="1145"/>
      <c r="B663" s="90" t="s">
        <v>10</v>
      </c>
      <c r="C663" s="90" t="s">
        <v>11</v>
      </c>
      <c r="D663" s="90" t="s">
        <v>11</v>
      </c>
      <c r="E663" s="90" t="s">
        <v>11</v>
      </c>
    </row>
    <row r="664" spans="1:5" ht="16.5" thickBot="1" x14ac:dyDescent="0.3">
      <c r="A664" s="79" t="s">
        <v>58</v>
      </c>
      <c r="B664" s="72"/>
      <c r="C664" s="72"/>
      <c r="D664" s="72"/>
      <c r="E664" s="72"/>
    </row>
    <row r="665" spans="1:5" ht="16.5" thickBot="1" x14ac:dyDescent="0.3">
      <c r="A665" s="79" t="s">
        <v>59</v>
      </c>
      <c r="B665" s="77"/>
      <c r="C665" s="72"/>
      <c r="D665" s="72"/>
      <c r="E665" s="72"/>
    </row>
    <row r="666" spans="1:5" ht="16.5" thickBot="1" x14ac:dyDescent="0.3">
      <c r="A666" s="98" t="s">
        <v>74</v>
      </c>
      <c r="B666" s="77">
        <f>B665+B664</f>
        <v>0</v>
      </c>
      <c r="C666" s="77">
        <f>C665+C664</f>
        <v>0</v>
      </c>
      <c r="D666" s="77">
        <f>D665+D664</f>
        <v>0</v>
      </c>
      <c r="E666" s="77">
        <f>E665+E664</f>
        <v>0</v>
      </c>
    </row>
    <row r="667" spans="1:5" x14ac:dyDescent="0.25">
      <c r="A667" s="1149" t="s">
        <v>62</v>
      </c>
      <c r="B667" s="1179"/>
      <c r="C667" s="1151"/>
      <c r="D667" s="1151"/>
      <c r="E667" s="1152"/>
    </row>
    <row r="668" spans="1:5" x14ac:dyDescent="0.25">
      <c r="A668" s="1150"/>
      <c r="B668" s="1180"/>
      <c r="C668" s="1153"/>
      <c r="D668" s="1153"/>
      <c r="E668" s="1154"/>
    </row>
    <row r="669" spans="1:5" ht="16.5" thickBot="1" x14ac:dyDescent="0.3">
      <c r="A669" s="1175"/>
      <c r="B669" s="1181"/>
      <c r="C669" s="1155"/>
      <c r="D669" s="1155"/>
      <c r="E669" s="1156"/>
    </row>
    <row r="670" spans="1:5" ht="16.5" thickBot="1" x14ac:dyDescent="0.3">
      <c r="A670" s="86"/>
      <c r="B670" s="85"/>
      <c r="C670" s="85"/>
      <c r="D670" s="85"/>
      <c r="E670" s="85"/>
    </row>
    <row r="671" spans="1:5" ht="29.25" thickBot="1" x14ac:dyDescent="0.3">
      <c r="A671" s="97" t="s">
        <v>75</v>
      </c>
      <c r="B671" s="1157" t="s">
        <v>392</v>
      </c>
      <c r="C671" s="1158"/>
      <c r="D671" s="1158"/>
      <c r="E671" s="1159"/>
    </row>
    <row r="672" spans="1:5" ht="16.5" thickBot="1" x14ac:dyDescent="0.3">
      <c r="A672" s="1160" t="s">
        <v>76</v>
      </c>
      <c r="B672" s="1161"/>
      <c r="C672" s="1161"/>
      <c r="D672" s="1161"/>
      <c r="E672" s="1162"/>
    </row>
    <row r="673" spans="1:5" ht="30.75" thickBot="1" x14ac:dyDescent="0.3">
      <c r="A673" s="148" t="s">
        <v>391</v>
      </c>
      <c r="B673" s="96" t="s">
        <v>112</v>
      </c>
      <c r="C673" s="96" t="s">
        <v>113</v>
      </c>
      <c r="D673" s="96" t="s">
        <v>113</v>
      </c>
      <c r="E673" s="96" t="s">
        <v>113</v>
      </c>
    </row>
    <row r="674" spans="1:5" ht="30.75" thickBot="1" x14ac:dyDescent="0.3">
      <c r="A674" s="93" t="s">
        <v>390</v>
      </c>
      <c r="B674" s="96" t="s">
        <v>112</v>
      </c>
      <c r="C674" s="96" t="s">
        <v>113</v>
      </c>
      <c r="D674" s="96" t="s">
        <v>113</v>
      </c>
      <c r="E674" s="96" t="s">
        <v>113</v>
      </c>
    </row>
    <row r="675" spans="1:5" ht="16.5" thickBot="1" x14ac:dyDescent="0.3">
      <c r="A675" s="1163" t="s">
        <v>77</v>
      </c>
      <c r="B675" s="1164"/>
      <c r="C675" s="1164"/>
      <c r="D675" s="1164"/>
      <c r="E675" s="1165"/>
    </row>
    <row r="676" spans="1:5" ht="16.5" thickBot="1" x14ac:dyDescent="0.3">
      <c r="A676" s="1166" t="s">
        <v>70</v>
      </c>
      <c r="B676" s="1167"/>
      <c r="C676" s="1167"/>
      <c r="D676" s="1167"/>
      <c r="E676" s="1168"/>
    </row>
    <row r="677" spans="1:5" x14ac:dyDescent="0.25">
      <c r="A677" s="1144"/>
      <c r="B677" s="91">
        <v>2018</v>
      </c>
      <c r="C677" s="91">
        <v>2019</v>
      </c>
      <c r="D677" s="91">
        <v>2020</v>
      </c>
      <c r="E677" s="91">
        <v>2021</v>
      </c>
    </row>
    <row r="678" spans="1:5" ht="16.5" thickBot="1" x14ac:dyDescent="0.3">
      <c r="A678" s="1145"/>
      <c r="B678" s="90" t="s">
        <v>10</v>
      </c>
      <c r="C678" s="90" t="s">
        <v>11</v>
      </c>
      <c r="D678" s="90" t="s">
        <v>11</v>
      </c>
      <c r="E678" s="90" t="s">
        <v>11</v>
      </c>
    </row>
    <row r="679" spans="1:5" ht="16.5" thickBot="1" x14ac:dyDescent="0.3">
      <c r="A679" s="95" t="s">
        <v>16</v>
      </c>
      <c r="B679" s="1169" t="s">
        <v>389</v>
      </c>
      <c r="C679" s="1170"/>
      <c r="D679" s="1170"/>
      <c r="E679" s="1171"/>
    </row>
    <row r="680" spans="1:5" ht="16.5" thickBot="1" x14ac:dyDescent="0.3">
      <c r="A680" s="93" t="s">
        <v>17</v>
      </c>
      <c r="B680" s="1160" t="s">
        <v>388</v>
      </c>
      <c r="C680" s="1161"/>
      <c r="D680" s="1161"/>
      <c r="E680" s="1162"/>
    </row>
    <row r="681" spans="1:5" ht="16.5" thickBot="1" x14ac:dyDescent="0.3">
      <c r="A681" s="93" t="s">
        <v>18</v>
      </c>
      <c r="B681" s="1172"/>
      <c r="C681" s="1173"/>
      <c r="D681" s="1173"/>
      <c r="E681" s="1174"/>
    </row>
    <row r="682" spans="1:5" x14ac:dyDescent="0.25">
      <c r="A682" s="1144"/>
      <c r="B682" s="91">
        <v>2018</v>
      </c>
      <c r="C682" s="91">
        <v>2019</v>
      </c>
      <c r="D682" s="91">
        <v>2020</v>
      </c>
      <c r="E682" s="91">
        <v>2021</v>
      </c>
    </row>
    <row r="683" spans="1:5" ht="16.5" thickBot="1" x14ac:dyDescent="0.3">
      <c r="A683" s="1145"/>
      <c r="B683" s="90" t="s">
        <v>10</v>
      </c>
      <c r="C683" s="90" t="s">
        <v>11</v>
      </c>
      <c r="D683" s="90" t="s">
        <v>11</v>
      </c>
      <c r="E683" s="90" t="s">
        <v>11</v>
      </c>
    </row>
    <row r="684" spans="1:5" ht="16.5" thickBot="1" x14ac:dyDescent="0.3">
      <c r="A684" s="93" t="s">
        <v>19</v>
      </c>
      <c r="B684" s="94"/>
      <c r="C684" s="89"/>
      <c r="D684" s="89"/>
      <c r="E684" s="89"/>
    </row>
    <row r="685" spans="1:5" ht="16.5" thickBot="1" x14ac:dyDescent="0.3">
      <c r="A685" s="93" t="s">
        <v>20</v>
      </c>
      <c r="B685" s="94">
        <f>B716</f>
        <v>1940</v>
      </c>
      <c r="C685" s="94">
        <f>C716</f>
        <v>2750</v>
      </c>
      <c r="D685" s="94">
        <f>D716</f>
        <v>2750</v>
      </c>
      <c r="E685" s="94">
        <f>E716</f>
        <v>2312</v>
      </c>
    </row>
    <row r="686" spans="1:5" ht="16.5" thickBot="1" x14ac:dyDescent="0.3">
      <c r="A686" s="93" t="s">
        <v>21</v>
      </c>
      <c r="B686" s="94" t="e">
        <f>B685/B684</f>
        <v>#DIV/0!</v>
      </c>
      <c r="C686" s="94" t="e">
        <f>C685/C684</f>
        <v>#DIV/0!</v>
      </c>
      <c r="D686" s="94" t="e">
        <f>D685/D684</f>
        <v>#DIV/0!</v>
      </c>
      <c r="E686" s="94" t="e">
        <f>E685/E684</f>
        <v>#DIV/0!</v>
      </c>
    </row>
    <row r="687" spans="1:5" ht="16.5" thickBot="1" x14ac:dyDescent="0.3">
      <c r="A687" s="93" t="s">
        <v>22</v>
      </c>
      <c r="B687" s="147"/>
      <c r="C687" s="92" t="e">
        <f t="shared" ref="C687:E689" si="20">C684/B684-1</f>
        <v>#DIV/0!</v>
      </c>
      <c r="D687" s="92" t="e">
        <f t="shared" si="20"/>
        <v>#DIV/0!</v>
      </c>
      <c r="E687" s="92" t="e">
        <f t="shared" si="20"/>
        <v>#DIV/0!</v>
      </c>
    </row>
    <row r="688" spans="1:5" ht="16.5" thickBot="1" x14ac:dyDescent="0.3">
      <c r="A688" s="93" t="s">
        <v>24</v>
      </c>
      <c r="B688" s="147"/>
      <c r="C688" s="92">
        <f t="shared" si="20"/>
        <v>0.41752577319587636</v>
      </c>
      <c r="D688" s="92">
        <f t="shared" si="20"/>
        <v>0</v>
      </c>
      <c r="E688" s="92">
        <f t="shared" si="20"/>
        <v>-0.15927272727272723</v>
      </c>
    </row>
    <row r="689" spans="1:5" ht="30.75" thickBot="1" x14ac:dyDescent="0.3">
      <c r="A689" s="93" t="s">
        <v>25</v>
      </c>
      <c r="B689" s="147"/>
      <c r="C689" s="92" t="e">
        <f t="shared" si="20"/>
        <v>#DIV/0!</v>
      </c>
      <c r="D689" s="92" t="e">
        <f t="shared" si="20"/>
        <v>#DIV/0!</v>
      </c>
      <c r="E689" s="92" t="e">
        <f t="shared" si="20"/>
        <v>#DIV/0!</v>
      </c>
    </row>
    <row r="690" spans="1:5" x14ac:dyDescent="0.25">
      <c r="A690" s="1144"/>
      <c r="B690" s="91">
        <v>2018</v>
      </c>
      <c r="C690" s="91">
        <v>2019</v>
      </c>
      <c r="D690" s="91">
        <v>2020</v>
      </c>
      <c r="E690" s="91">
        <v>2021</v>
      </c>
    </row>
    <row r="691" spans="1:5" ht="16.5" thickBot="1" x14ac:dyDescent="0.3">
      <c r="A691" s="1145"/>
      <c r="B691" s="90" t="s">
        <v>10</v>
      </c>
      <c r="C691" s="90" t="s">
        <v>11</v>
      </c>
      <c r="D691" s="90" t="s">
        <v>11</v>
      </c>
      <c r="E691" s="90" t="s">
        <v>11</v>
      </c>
    </row>
    <row r="692" spans="1:5" ht="16.5" thickBot="1" x14ac:dyDescent="0.3">
      <c r="A692" s="1146" t="s">
        <v>378</v>
      </c>
      <c r="B692" s="1147"/>
      <c r="C692" s="1147"/>
      <c r="D692" s="1147"/>
      <c r="E692" s="1148"/>
    </row>
    <row r="693" spans="1:5" x14ac:dyDescent="0.25">
      <c r="A693" s="1144"/>
      <c r="B693" s="91">
        <v>2018</v>
      </c>
      <c r="C693" s="91">
        <v>2019</v>
      </c>
      <c r="D693" s="91">
        <v>2020</v>
      </c>
      <c r="E693" s="91">
        <v>2021</v>
      </c>
    </row>
    <row r="694" spans="1:5" ht="16.5" thickBot="1" x14ac:dyDescent="0.3">
      <c r="A694" s="1145"/>
      <c r="B694" s="90" t="s">
        <v>10</v>
      </c>
      <c r="C694" s="90" t="s">
        <v>11</v>
      </c>
      <c r="D694" s="90" t="s">
        <v>11</v>
      </c>
      <c r="E694" s="90" t="s">
        <v>11</v>
      </c>
    </row>
    <row r="695" spans="1:5" ht="16.5" thickBot="1" x14ac:dyDescent="0.3">
      <c r="A695" s="79" t="s">
        <v>26</v>
      </c>
      <c r="B695" s="72">
        <v>0</v>
      </c>
      <c r="C695" s="72">
        <v>0</v>
      </c>
      <c r="D695" s="72">
        <v>0</v>
      </c>
      <c r="E695" s="72">
        <v>0</v>
      </c>
    </row>
    <row r="696" spans="1:5" ht="45.75" thickBot="1" x14ac:dyDescent="0.3">
      <c r="A696" s="78" t="s">
        <v>27</v>
      </c>
      <c r="B696" s="77"/>
      <c r="C696" s="76"/>
      <c r="D696" s="76"/>
      <c r="E696" s="76"/>
    </row>
    <row r="697" spans="1:5" ht="45.75" thickBot="1" x14ac:dyDescent="0.3">
      <c r="A697" s="78" t="s">
        <v>45</v>
      </c>
      <c r="B697" s="77"/>
      <c r="C697" s="76"/>
      <c r="D697" s="76"/>
      <c r="E697" s="76"/>
    </row>
    <row r="698" spans="1:5" ht="30.75" thickBot="1" x14ac:dyDescent="0.3">
      <c r="A698" s="79" t="s">
        <v>28</v>
      </c>
      <c r="B698" s="72">
        <v>0</v>
      </c>
      <c r="C698" s="72">
        <v>0</v>
      </c>
      <c r="D698" s="72">
        <v>0</v>
      </c>
      <c r="E698" s="72">
        <v>0</v>
      </c>
    </row>
    <row r="699" spans="1:5" ht="75.75" thickBot="1" x14ac:dyDescent="0.3">
      <c r="A699" s="78" t="s">
        <v>29</v>
      </c>
      <c r="B699" s="77"/>
      <c r="C699" s="72"/>
      <c r="D699" s="72"/>
      <c r="E699" s="72"/>
    </row>
    <row r="700" spans="1:5" ht="75.75" thickBot="1" x14ac:dyDescent="0.3">
      <c r="A700" s="78" t="s">
        <v>46</v>
      </c>
      <c r="B700" s="77"/>
      <c r="C700" s="72"/>
      <c r="D700" s="72"/>
      <c r="E700" s="72"/>
    </row>
    <row r="701" spans="1:5" ht="16.5" thickBot="1" x14ac:dyDescent="0.3">
      <c r="A701" s="79" t="s">
        <v>30</v>
      </c>
      <c r="B701" s="89">
        <v>1940</v>
      </c>
      <c r="C701" s="72">
        <v>2750</v>
      </c>
      <c r="D701" s="72">
        <v>2750</v>
      </c>
      <c r="E701" s="72">
        <v>2312</v>
      </c>
    </row>
    <row r="702" spans="1:5" ht="60.75" thickBot="1" x14ac:dyDescent="0.3">
      <c r="A702" s="78" t="s">
        <v>31</v>
      </c>
      <c r="B702" s="77"/>
      <c r="C702" s="72"/>
      <c r="D702" s="72"/>
      <c r="E702" s="72"/>
    </row>
    <row r="703" spans="1:5" ht="60.75" thickBot="1" x14ac:dyDescent="0.3">
      <c r="A703" s="78" t="s">
        <v>47</v>
      </c>
      <c r="B703" s="77"/>
      <c r="C703" s="72"/>
      <c r="D703" s="72"/>
      <c r="E703" s="72"/>
    </row>
    <row r="704" spans="1:5" ht="16.5" thickBot="1" x14ac:dyDescent="0.3">
      <c r="A704" s="79" t="s">
        <v>32</v>
      </c>
      <c r="B704" s="77"/>
      <c r="C704" s="72"/>
      <c r="D704" s="72"/>
      <c r="E704" s="72"/>
    </row>
    <row r="705" spans="1:5" ht="60.75" thickBot="1" x14ac:dyDescent="0.3">
      <c r="A705" s="78" t="s">
        <v>33</v>
      </c>
      <c r="B705" s="77"/>
      <c r="C705" s="72"/>
      <c r="D705" s="72"/>
      <c r="E705" s="72"/>
    </row>
    <row r="706" spans="1:5" ht="60.75" thickBot="1" x14ac:dyDescent="0.3">
      <c r="A706" s="78" t="s">
        <v>48</v>
      </c>
      <c r="B706" s="77"/>
      <c r="C706" s="72"/>
      <c r="D706" s="72"/>
      <c r="E706" s="72"/>
    </row>
    <row r="707" spans="1:5" ht="16.5" thickBot="1" x14ac:dyDescent="0.3">
      <c r="A707" s="79" t="s">
        <v>34</v>
      </c>
      <c r="B707" s="77"/>
      <c r="C707" s="72"/>
      <c r="D707" s="72"/>
      <c r="E707" s="72"/>
    </row>
    <row r="708" spans="1:5" ht="60.75" thickBot="1" x14ac:dyDescent="0.3">
      <c r="A708" s="78" t="s">
        <v>35</v>
      </c>
      <c r="B708" s="77"/>
      <c r="C708" s="72"/>
      <c r="D708" s="72"/>
      <c r="E708" s="72"/>
    </row>
    <row r="709" spans="1:5" ht="60.75" thickBot="1" x14ac:dyDescent="0.3">
      <c r="A709" s="78" t="s">
        <v>49</v>
      </c>
      <c r="B709" s="77"/>
      <c r="C709" s="72"/>
      <c r="D709" s="72"/>
      <c r="E709" s="72"/>
    </row>
    <row r="710" spans="1:5" ht="16.5" thickBot="1" x14ac:dyDescent="0.3">
      <c r="A710" s="79" t="s">
        <v>36</v>
      </c>
      <c r="B710" s="77"/>
      <c r="C710" s="72"/>
      <c r="D710" s="72"/>
      <c r="E710" s="72"/>
    </row>
    <row r="711" spans="1:5" ht="60.75" thickBot="1" x14ac:dyDescent="0.3">
      <c r="A711" s="78" t="s">
        <v>37</v>
      </c>
      <c r="B711" s="77"/>
      <c r="C711" s="72"/>
      <c r="D711" s="72"/>
      <c r="E711" s="72"/>
    </row>
    <row r="712" spans="1:5" ht="60.75" thickBot="1" x14ac:dyDescent="0.3">
      <c r="A712" s="78" t="s">
        <v>50</v>
      </c>
      <c r="B712" s="77"/>
      <c r="C712" s="72"/>
      <c r="D712" s="72"/>
      <c r="E712" s="72"/>
    </row>
    <row r="713" spans="1:5" ht="30.75" thickBot="1" x14ac:dyDescent="0.3">
      <c r="A713" s="79" t="s">
        <v>38</v>
      </c>
      <c r="B713" s="77"/>
      <c r="C713" s="72"/>
      <c r="D713" s="72"/>
      <c r="E713" s="72"/>
    </row>
    <row r="714" spans="1:5" ht="75.75" thickBot="1" x14ac:dyDescent="0.3">
      <c r="A714" s="78" t="s">
        <v>39</v>
      </c>
      <c r="B714" s="77"/>
      <c r="C714" s="72"/>
      <c r="D714" s="72"/>
      <c r="E714" s="72"/>
    </row>
    <row r="715" spans="1:5" ht="75.75" thickBot="1" x14ac:dyDescent="0.3">
      <c r="A715" s="78" t="s">
        <v>51</v>
      </c>
      <c r="B715" s="77"/>
      <c r="C715" s="72"/>
      <c r="D715" s="72"/>
      <c r="E715" s="72"/>
    </row>
    <row r="716" spans="1:5" ht="29.25" thickBot="1" x14ac:dyDescent="0.3">
      <c r="A716" s="88" t="s">
        <v>71</v>
      </c>
      <c r="B716" s="87">
        <f>B713+B710+B707+B704+B701+B698+B695</f>
        <v>1940</v>
      </c>
      <c r="C716" s="87">
        <f>C713+C710+C707+C704+C701+C698+C695</f>
        <v>2750</v>
      </c>
      <c r="D716" s="87">
        <f>D713+D710+D707+D704+D701+D698+D695</f>
        <v>2750</v>
      </c>
      <c r="E716" s="87">
        <f>E713+E710+E707+E704+E701+E698+E695</f>
        <v>2312</v>
      </c>
    </row>
    <row r="717" spans="1:5" x14ac:dyDescent="0.25">
      <c r="A717" s="1149" t="s">
        <v>115</v>
      </c>
      <c r="B717" s="1151" t="s">
        <v>23</v>
      </c>
      <c r="C717" s="1151"/>
      <c r="D717" s="1151"/>
      <c r="E717" s="1152"/>
    </row>
    <row r="718" spans="1:5" x14ac:dyDescent="0.25">
      <c r="A718" s="1150"/>
      <c r="B718" s="1153"/>
      <c r="C718" s="1153"/>
      <c r="D718" s="1153"/>
      <c r="E718" s="1154"/>
    </row>
    <row r="719" spans="1:5" ht="16.5" thickBot="1" x14ac:dyDescent="0.3">
      <c r="A719" s="1175"/>
      <c r="B719" s="1155"/>
      <c r="C719" s="1155"/>
      <c r="D719" s="1155"/>
      <c r="E719" s="1156"/>
    </row>
    <row r="720" spans="1:5" ht="16.5" thickBot="1" x14ac:dyDescent="0.3">
      <c r="A720" s="75" t="s">
        <v>41</v>
      </c>
      <c r="B720" s="74">
        <f>IF(B716-B685=0,0,"Error")</f>
        <v>0</v>
      </c>
      <c r="C720" s="74">
        <f>IF(C716-C685=0,0,"Error")</f>
        <v>0</v>
      </c>
      <c r="D720" s="74">
        <f>IF(D716-D685=0,0,"Error")</f>
        <v>0</v>
      </c>
      <c r="E720" s="74">
        <f>IF(E716-E685=0,0,"Error")</f>
        <v>0</v>
      </c>
    </row>
    <row r="721" spans="1:5" ht="16.5" thickBot="1" x14ac:dyDescent="0.3">
      <c r="A721" s="86"/>
      <c r="B721" s="85"/>
      <c r="C721" s="85"/>
      <c r="D721" s="85"/>
      <c r="E721" s="85"/>
    </row>
    <row r="722" spans="1:5" ht="29.25" thickBot="1" x14ac:dyDescent="0.3">
      <c r="A722" s="97" t="s">
        <v>78</v>
      </c>
      <c r="B722" s="1157" t="s">
        <v>387</v>
      </c>
      <c r="C722" s="1158"/>
      <c r="D722" s="1158"/>
      <c r="E722" s="1159"/>
    </row>
    <row r="723" spans="1:5" ht="16.5" thickBot="1" x14ac:dyDescent="0.3">
      <c r="A723" s="1160" t="s">
        <v>158</v>
      </c>
      <c r="B723" s="1161"/>
      <c r="C723" s="1161"/>
      <c r="D723" s="1161"/>
      <c r="E723" s="1162"/>
    </row>
    <row r="724" spans="1:5" ht="45.75" thickBot="1" x14ac:dyDescent="0.3">
      <c r="A724" s="148" t="s">
        <v>386</v>
      </c>
      <c r="B724" s="96" t="s">
        <v>112</v>
      </c>
      <c r="C724" s="96" t="s">
        <v>113</v>
      </c>
      <c r="D724" s="96" t="s">
        <v>113</v>
      </c>
      <c r="E724" s="96" t="s">
        <v>113</v>
      </c>
    </row>
    <row r="725" spans="1:5" ht="16.5" thickBot="1" x14ac:dyDescent="0.3">
      <c r="A725" s="93"/>
      <c r="B725" s="96" t="s">
        <v>112</v>
      </c>
      <c r="C725" s="96" t="s">
        <v>113</v>
      </c>
      <c r="D725" s="96" t="s">
        <v>113</v>
      </c>
      <c r="E725" s="96" t="s">
        <v>113</v>
      </c>
    </row>
    <row r="726" spans="1:5" ht="16.5" thickBot="1" x14ac:dyDescent="0.3">
      <c r="A726" s="1163" t="s">
        <v>205</v>
      </c>
      <c r="B726" s="1164"/>
      <c r="C726" s="1164"/>
      <c r="D726" s="1164"/>
      <c r="E726" s="1165"/>
    </row>
    <row r="727" spans="1:5" ht="16.5" thickBot="1" x14ac:dyDescent="0.3">
      <c r="A727" s="1166" t="s">
        <v>70</v>
      </c>
      <c r="B727" s="1167"/>
      <c r="C727" s="1167"/>
      <c r="D727" s="1167"/>
      <c r="E727" s="1168"/>
    </row>
    <row r="728" spans="1:5" x14ac:dyDescent="0.25">
      <c r="A728" s="1144"/>
      <c r="B728" s="91">
        <v>2018</v>
      </c>
      <c r="C728" s="91">
        <v>2019</v>
      </c>
      <c r="D728" s="91">
        <v>2020</v>
      </c>
      <c r="E728" s="91">
        <v>2021</v>
      </c>
    </row>
    <row r="729" spans="1:5" ht="16.5" thickBot="1" x14ac:dyDescent="0.3">
      <c r="A729" s="1145"/>
      <c r="B729" s="90" t="s">
        <v>10</v>
      </c>
      <c r="C729" s="90" t="s">
        <v>11</v>
      </c>
      <c r="D729" s="90" t="s">
        <v>11</v>
      </c>
      <c r="E729" s="90" t="s">
        <v>11</v>
      </c>
    </row>
    <row r="730" spans="1:5" ht="16.5" thickBot="1" x14ac:dyDescent="0.3">
      <c r="A730" s="95" t="s">
        <v>16</v>
      </c>
      <c r="B730" s="1169" t="s">
        <v>385</v>
      </c>
      <c r="C730" s="1170"/>
      <c r="D730" s="1170"/>
      <c r="E730" s="1171"/>
    </row>
    <row r="731" spans="1:5" ht="16.5" thickBot="1" x14ac:dyDescent="0.3">
      <c r="A731" s="93" t="s">
        <v>17</v>
      </c>
      <c r="B731" s="1160" t="s">
        <v>900</v>
      </c>
      <c r="C731" s="1161"/>
      <c r="D731" s="1161"/>
      <c r="E731" s="1162"/>
    </row>
    <row r="732" spans="1:5" ht="16.5" thickBot="1" x14ac:dyDescent="0.3">
      <c r="A732" s="93" t="s">
        <v>18</v>
      </c>
      <c r="B732" s="1172" t="s">
        <v>384</v>
      </c>
      <c r="C732" s="1173"/>
      <c r="D732" s="1173"/>
      <c r="E732" s="1174"/>
    </row>
    <row r="733" spans="1:5" x14ac:dyDescent="0.25">
      <c r="A733" s="1144"/>
      <c r="B733" s="91">
        <v>2018</v>
      </c>
      <c r="C733" s="91">
        <v>2019</v>
      </c>
      <c r="D733" s="91">
        <v>2020</v>
      </c>
      <c r="E733" s="91">
        <v>2021</v>
      </c>
    </row>
    <row r="734" spans="1:5" ht="16.5" thickBot="1" x14ac:dyDescent="0.3">
      <c r="A734" s="1145"/>
      <c r="B734" s="90" t="s">
        <v>10</v>
      </c>
      <c r="C734" s="90" t="s">
        <v>11</v>
      </c>
      <c r="D734" s="90" t="s">
        <v>11</v>
      </c>
      <c r="E734" s="90" t="s">
        <v>11</v>
      </c>
    </row>
    <row r="735" spans="1:5" ht="16.5" thickBot="1" x14ac:dyDescent="0.3">
      <c r="A735" s="93" t="s">
        <v>19</v>
      </c>
      <c r="B735" s="94">
        <v>3400</v>
      </c>
      <c r="C735" s="89">
        <v>2590</v>
      </c>
      <c r="D735" s="89">
        <v>3400</v>
      </c>
      <c r="E735" s="89">
        <v>3400</v>
      </c>
    </row>
    <row r="736" spans="1:5" ht="16.5" thickBot="1" x14ac:dyDescent="0.3">
      <c r="A736" s="93" t="s">
        <v>20</v>
      </c>
      <c r="B736" s="94">
        <f>B767</f>
        <v>8660</v>
      </c>
      <c r="C736" s="94">
        <v>10320</v>
      </c>
      <c r="D736" s="94">
        <f>D767</f>
        <v>13000</v>
      </c>
      <c r="E736" s="94">
        <f>E767</f>
        <v>11800</v>
      </c>
    </row>
    <row r="737" spans="1:5" ht="16.5" thickBot="1" x14ac:dyDescent="0.3">
      <c r="A737" s="93" t="s">
        <v>21</v>
      </c>
      <c r="B737" s="94">
        <f>B736/B735</f>
        <v>2.5470588235294116</v>
      </c>
      <c r="C737" s="94">
        <f>C736/C735</f>
        <v>3.9845559845559846</v>
      </c>
      <c r="D737" s="94">
        <f>D736/D735</f>
        <v>3.8235294117647061</v>
      </c>
      <c r="E737" s="94">
        <f>E736/E735</f>
        <v>3.4705882352941178</v>
      </c>
    </row>
    <row r="738" spans="1:5" ht="16.5" thickBot="1" x14ac:dyDescent="0.3">
      <c r="A738" s="93" t="s">
        <v>22</v>
      </c>
      <c r="B738" s="147"/>
      <c r="C738" s="92">
        <f t="shared" ref="C738:E740" si="21">C735/B735-1</f>
        <v>-0.2382352941176471</v>
      </c>
      <c r="D738" s="92">
        <f t="shared" si="21"/>
        <v>0.31274131274131278</v>
      </c>
      <c r="E738" s="92">
        <f t="shared" si="21"/>
        <v>0</v>
      </c>
    </row>
    <row r="739" spans="1:5" ht="16.5" thickBot="1" x14ac:dyDescent="0.3">
      <c r="A739" s="93" t="s">
        <v>24</v>
      </c>
      <c r="B739" s="147"/>
      <c r="C739" s="92">
        <f t="shared" si="21"/>
        <v>0.19168591224018483</v>
      </c>
      <c r="D739" s="92">
        <f t="shared" si="21"/>
        <v>0.25968992248062017</v>
      </c>
      <c r="E739" s="92">
        <f t="shared" si="21"/>
        <v>-9.2307692307692313E-2</v>
      </c>
    </row>
    <row r="740" spans="1:5" ht="30.75" thickBot="1" x14ac:dyDescent="0.3">
      <c r="A740" s="93" t="s">
        <v>25</v>
      </c>
      <c r="B740" s="147"/>
      <c r="C740" s="92">
        <f t="shared" si="21"/>
        <v>0.56437532880950902</v>
      </c>
      <c r="D740" s="92">
        <f t="shared" si="21"/>
        <v>-4.0412676698586392E-2</v>
      </c>
      <c r="E740" s="92">
        <f t="shared" si="21"/>
        <v>-9.2307692307692313E-2</v>
      </c>
    </row>
    <row r="741" spans="1:5" x14ac:dyDescent="0.25">
      <c r="A741" s="1144"/>
      <c r="B741" s="91">
        <v>2018</v>
      </c>
      <c r="C741" s="91">
        <v>2019</v>
      </c>
      <c r="D741" s="91">
        <v>2020</v>
      </c>
      <c r="E741" s="91">
        <v>2021</v>
      </c>
    </row>
    <row r="742" spans="1:5" ht="16.5" thickBot="1" x14ac:dyDescent="0.3">
      <c r="A742" s="1145"/>
      <c r="B742" s="90" t="s">
        <v>10</v>
      </c>
      <c r="C742" s="90" t="s">
        <v>11</v>
      </c>
      <c r="D742" s="90" t="s">
        <v>11</v>
      </c>
      <c r="E742" s="90" t="s">
        <v>11</v>
      </c>
    </row>
    <row r="743" spans="1:5" ht="16.5" thickBot="1" x14ac:dyDescent="0.3">
      <c r="A743" s="1146" t="s">
        <v>378</v>
      </c>
      <c r="B743" s="1147"/>
      <c r="C743" s="1147"/>
      <c r="D743" s="1147"/>
      <c r="E743" s="1148"/>
    </row>
    <row r="744" spans="1:5" x14ac:dyDescent="0.25">
      <c r="A744" s="1144"/>
      <c r="B744" s="91">
        <v>2018</v>
      </c>
      <c r="C744" s="91">
        <v>2019</v>
      </c>
      <c r="D744" s="91">
        <v>2020</v>
      </c>
      <c r="E744" s="91">
        <v>2021</v>
      </c>
    </row>
    <row r="745" spans="1:5" ht="16.5" thickBot="1" x14ac:dyDescent="0.3">
      <c r="A745" s="1145"/>
      <c r="B745" s="90" t="s">
        <v>10</v>
      </c>
      <c r="C745" s="90" t="s">
        <v>11</v>
      </c>
      <c r="D745" s="90" t="s">
        <v>11</v>
      </c>
      <c r="E745" s="90" t="s">
        <v>11</v>
      </c>
    </row>
    <row r="746" spans="1:5" ht="16.5" thickBot="1" x14ac:dyDescent="0.3">
      <c r="A746" s="79" t="s">
        <v>26</v>
      </c>
      <c r="B746" s="72">
        <v>0</v>
      </c>
      <c r="C746" s="72">
        <v>0</v>
      </c>
      <c r="D746" s="72">
        <v>0</v>
      </c>
      <c r="E746" s="72">
        <v>0</v>
      </c>
    </row>
    <row r="747" spans="1:5" ht="45.75" thickBot="1" x14ac:dyDescent="0.3">
      <c r="A747" s="78" t="s">
        <v>27</v>
      </c>
      <c r="B747" s="77"/>
      <c r="C747" s="76"/>
      <c r="D747" s="76"/>
      <c r="E747" s="76"/>
    </row>
    <row r="748" spans="1:5" ht="45.75" thickBot="1" x14ac:dyDescent="0.3">
      <c r="A748" s="78" t="s">
        <v>45</v>
      </c>
      <c r="B748" s="77"/>
      <c r="C748" s="76"/>
      <c r="D748" s="76"/>
      <c r="E748" s="76"/>
    </row>
    <row r="749" spans="1:5" ht="30.75" thickBot="1" x14ac:dyDescent="0.3">
      <c r="A749" s="79" t="s">
        <v>28</v>
      </c>
      <c r="B749" s="72">
        <v>0</v>
      </c>
      <c r="C749" s="72">
        <v>0</v>
      </c>
      <c r="D749" s="72">
        <v>0</v>
      </c>
      <c r="E749" s="72">
        <v>0</v>
      </c>
    </row>
    <row r="750" spans="1:5" ht="75.75" thickBot="1" x14ac:dyDescent="0.3">
      <c r="A750" s="78" t="s">
        <v>29</v>
      </c>
      <c r="B750" s="77"/>
      <c r="C750" s="72"/>
      <c r="D750" s="72"/>
      <c r="E750" s="72"/>
    </row>
    <row r="751" spans="1:5" ht="75.75" thickBot="1" x14ac:dyDescent="0.3">
      <c r="A751" s="78" t="s">
        <v>46</v>
      </c>
      <c r="B751" s="77"/>
      <c r="C751" s="72"/>
      <c r="D751" s="72"/>
      <c r="E751" s="72"/>
    </row>
    <row r="752" spans="1:5" ht="16.5" thickBot="1" x14ac:dyDescent="0.3">
      <c r="A752" s="79" t="s">
        <v>30</v>
      </c>
      <c r="B752" s="89">
        <v>8660</v>
      </c>
      <c r="C752" s="89">
        <v>10320</v>
      </c>
      <c r="D752" s="89">
        <v>13000</v>
      </c>
      <c r="E752" s="89">
        <v>11800</v>
      </c>
    </row>
    <row r="753" spans="1:5" ht="60.75" thickBot="1" x14ac:dyDescent="0.3">
      <c r="A753" s="78" t="s">
        <v>31</v>
      </c>
      <c r="B753" s="77"/>
      <c r="C753" s="72"/>
      <c r="D753" s="72"/>
      <c r="E753" s="72"/>
    </row>
    <row r="754" spans="1:5" ht="60.75" thickBot="1" x14ac:dyDescent="0.3">
      <c r="A754" s="78" t="s">
        <v>47</v>
      </c>
      <c r="B754" s="77"/>
      <c r="C754" s="72"/>
      <c r="D754" s="72"/>
      <c r="E754" s="72"/>
    </row>
    <row r="755" spans="1:5" ht="16.5" thickBot="1" x14ac:dyDescent="0.3">
      <c r="A755" s="79" t="s">
        <v>32</v>
      </c>
      <c r="B755" s="77"/>
      <c r="C755" s="72"/>
      <c r="D755" s="72"/>
      <c r="E755" s="72"/>
    </row>
    <row r="756" spans="1:5" ht="60.75" thickBot="1" x14ac:dyDescent="0.3">
      <c r="A756" s="78" t="s">
        <v>33</v>
      </c>
      <c r="B756" s="77"/>
      <c r="C756" s="72"/>
      <c r="D756" s="72"/>
      <c r="E756" s="72"/>
    </row>
    <row r="757" spans="1:5" ht="60.75" thickBot="1" x14ac:dyDescent="0.3">
      <c r="A757" s="78" t="s">
        <v>48</v>
      </c>
      <c r="B757" s="77"/>
      <c r="C757" s="72"/>
      <c r="D757" s="72"/>
      <c r="E757" s="72"/>
    </row>
    <row r="758" spans="1:5" ht="16.5" thickBot="1" x14ac:dyDescent="0.3">
      <c r="A758" s="79" t="s">
        <v>34</v>
      </c>
      <c r="B758" s="77"/>
      <c r="C758" s="72"/>
      <c r="D758" s="72"/>
      <c r="E758" s="72"/>
    </row>
    <row r="759" spans="1:5" ht="60.75" thickBot="1" x14ac:dyDescent="0.3">
      <c r="A759" s="78" t="s">
        <v>35</v>
      </c>
      <c r="B759" s="77"/>
      <c r="C759" s="72"/>
      <c r="D759" s="72"/>
      <c r="E759" s="72"/>
    </row>
    <row r="760" spans="1:5" ht="60.75" thickBot="1" x14ac:dyDescent="0.3">
      <c r="A760" s="78" t="s">
        <v>49</v>
      </c>
      <c r="B760" s="77"/>
      <c r="C760" s="72"/>
      <c r="D760" s="72"/>
      <c r="E760" s="72"/>
    </row>
    <row r="761" spans="1:5" ht="16.5" thickBot="1" x14ac:dyDescent="0.3">
      <c r="A761" s="79" t="s">
        <v>36</v>
      </c>
      <c r="B761" s="77"/>
      <c r="C761" s="72"/>
      <c r="D761" s="72"/>
      <c r="E761" s="72"/>
    </row>
    <row r="762" spans="1:5" ht="60.75" thickBot="1" x14ac:dyDescent="0.3">
      <c r="A762" s="78" t="s">
        <v>37</v>
      </c>
      <c r="B762" s="77"/>
      <c r="C762" s="72"/>
      <c r="D762" s="72"/>
      <c r="E762" s="72"/>
    </row>
    <row r="763" spans="1:5" ht="60.75" thickBot="1" x14ac:dyDescent="0.3">
      <c r="A763" s="78" t="s">
        <v>50</v>
      </c>
      <c r="B763" s="77"/>
      <c r="C763" s="72"/>
      <c r="D763" s="72"/>
      <c r="E763" s="72"/>
    </row>
    <row r="764" spans="1:5" ht="30.75" thickBot="1" x14ac:dyDescent="0.3">
      <c r="A764" s="79" t="s">
        <v>38</v>
      </c>
      <c r="B764" s="77"/>
      <c r="C764" s="72"/>
      <c r="D764" s="72"/>
      <c r="E764" s="72"/>
    </row>
    <row r="765" spans="1:5" ht="75.75" thickBot="1" x14ac:dyDescent="0.3">
      <c r="A765" s="78" t="s">
        <v>39</v>
      </c>
      <c r="B765" s="77"/>
      <c r="C765" s="72"/>
      <c r="D765" s="72"/>
      <c r="E765" s="72"/>
    </row>
    <row r="766" spans="1:5" ht="75.75" thickBot="1" x14ac:dyDescent="0.3">
      <c r="A766" s="78" t="s">
        <v>51</v>
      </c>
      <c r="B766" s="77"/>
      <c r="C766" s="72"/>
      <c r="D766" s="72"/>
      <c r="E766" s="72"/>
    </row>
    <row r="767" spans="1:5" ht="29.25" thickBot="1" x14ac:dyDescent="0.3">
      <c r="A767" s="88" t="s">
        <v>71</v>
      </c>
      <c r="B767" s="87">
        <f>B764+B761+B758+B755+B752+B749+B746</f>
        <v>8660</v>
      </c>
      <c r="C767" s="87">
        <f>C764+C761+C758+C755+C752+C749+C746</f>
        <v>10320</v>
      </c>
      <c r="D767" s="87">
        <f>D764+D761+D758+D755+D752+D749+D746</f>
        <v>13000</v>
      </c>
      <c r="E767" s="87">
        <f>E764+E761+E758+E755+E752+E749+E746</f>
        <v>11800</v>
      </c>
    </row>
    <row r="768" spans="1:5" x14ac:dyDescent="0.25">
      <c r="A768" s="1149" t="s">
        <v>115</v>
      </c>
      <c r="B768" s="1151" t="s">
        <v>23</v>
      </c>
      <c r="C768" s="1151"/>
      <c r="D768" s="1151"/>
      <c r="E768" s="1152"/>
    </row>
    <row r="769" spans="1:5" x14ac:dyDescent="0.25">
      <c r="A769" s="1150"/>
      <c r="B769" s="1153"/>
      <c r="C769" s="1153"/>
      <c r="D769" s="1153"/>
      <c r="E769" s="1154"/>
    </row>
    <row r="770" spans="1:5" ht="16.5" thickBot="1" x14ac:dyDescent="0.3">
      <c r="A770" s="1175"/>
      <c r="B770" s="1155"/>
      <c r="C770" s="1155"/>
      <c r="D770" s="1155"/>
      <c r="E770" s="1156"/>
    </row>
    <row r="771" spans="1:5" ht="16.5" thickBot="1" x14ac:dyDescent="0.3">
      <c r="A771" s="75" t="s">
        <v>41</v>
      </c>
      <c r="B771" s="74">
        <f>IF(B767-B736=0,0,"Error")</f>
        <v>0</v>
      </c>
      <c r="C771" s="74">
        <f>IF(C767-C736=0,0,"Error")</f>
        <v>0</v>
      </c>
      <c r="D771" s="74">
        <f>IF(D767-D736=0,0,"Error")</f>
        <v>0</v>
      </c>
      <c r="E771" s="74">
        <f>IF(E767-E736=0,0,"Error")</f>
        <v>0</v>
      </c>
    </row>
    <row r="772" spans="1:5" ht="16.5" thickBot="1" x14ac:dyDescent="0.3">
      <c r="A772" s="86"/>
      <c r="B772" s="85"/>
      <c r="C772" s="85"/>
      <c r="D772" s="85"/>
      <c r="E772" s="85"/>
    </row>
    <row r="773" spans="1:5" ht="29.25" thickBot="1" x14ac:dyDescent="0.3">
      <c r="A773" s="97" t="s">
        <v>80</v>
      </c>
      <c r="B773" s="1157" t="s">
        <v>899</v>
      </c>
      <c r="C773" s="1158"/>
      <c r="D773" s="1158"/>
      <c r="E773" s="1159"/>
    </row>
    <row r="774" spans="1:5" ht="16.5" thickBot="1" x14ac:dyDescent="0.3">
      <c r="A774" s="1160" t="s">
        <v>81</v>
      </c>
      <c r="B774" s="1161"/>
      <c r="C774" s="1161"/>
      <c r="D774" s="1161"/>
      <c r="E774" s="1162"/>
    </row>
    <row r="775" spans="1:5" ht="30.75" thickBot="1" x14ac:dyDescent="0.3">
      <c r="A775" s="148" t="s">
        <v>383</v>
      </c>
      <c r="B775" s="96" t="s">
        <v>112</v>
      </c>
      <c r="C775" s="96" t="s">
        <v>113</v>
      </c>
      <c r="D775" s="96" t="s">
        <v>113</v>
      </c>
      <c r="E775" s="96" t="s">
        <v>113</v>
      </c>
    </row>
    <row r="776" spans="1:5" ht="16.5" thickBot="1" x14ac:dyDescent="0.3">
      <c r="A776" s="1163" t="s">
        <v>382</v>
      </c>
      <c r="B776" s="1164"/>
      <c r="C776" s="1164"/>
      <c r="D776" s="1164"/>
      <c r="E776" s="1165"/>
    </row>
    <row r="777" spans="1:5" ht="16.5" thickBot="1" x14ac:dyDescent="0.3">
      <c r="A777" s="1166" t="s">
        <v>70</v>
      </c>
      <c r="B777" s="1167"/>
      <c r="C777" s="1167"/>
      <c r="D777" s="1167"/>
      <c r="E777" s="1168"/>
    </row>
    <row r="778" spans="1:5" x14ac:dyDescent="0.25">
      <c r="A778" s="1144"/>
      <c r="B778" s="91">
        <v>2018</v>
      </c>
      <c r="C778" s="91">
        <v>2019</v>
      </c>
      <c r="D778" s="91">
        <v>2020</v>
      </c>
      <c r="E778" s="91">
        <v>2021</v>
      </c>
    </row>
    <row r="779" spans="1:5" ht="16.5" thickBot="1" x14ac:dyDescent="0.3">
      <c r="A779" s="1145"/>
      <c r="B779" s="90" t="s">
        <v>10</v>
      </c>
      <c r="C779" s="90" t="s">
        <v>11</v>
      </c>
      <c r="D779" s="90" t="s">
        <v>11</v>
      </c>
      <c r="E779" s="90" t="s">
        <v>11</v>
      </c>
    </row>
    <row r="780" spans="1:5" ht="16.5" thickBot="1" x14ac:dyDescent="0.3">
      <c r="A780" s="95" t="s">
        <v>16</v>
      </c>
      <c r="B780" s="1169" t="s">
        <v>381</v>
      </c>
      <c r="C780" s="1170"/>
      <c r="D780" s="1170"/>
      <c r="E780" s="1171"/>
    </row>
    <row r="781" spans="1:5" ht="16.5" thickBot="1" x14ac:dyDescent="0.3">
      <c r="A781" s="93" t="s">
        <v>17</v>
      </c>
      <c r="B781" s="1160" t="s">
        <v>380</v>
      </c>
      <c r="C781" s="1161"/>
      <c r="D781" s="1161"/>
      <c r="E781" s="1162"/>
    </row>
    <row r="782" spans="1:5" ht="16.5" thickBot="1" x14ac:dyDescent="0.3">
      <c r="A782" s="93" t="s">
        <v>18</v>
      </c>
      <c r="B782" s="1172" t="s">
        <v>379</v>
      </c>
      <c r="C782" s="1173"/>
      <c r="D782" s="1173"/>
      <c r="E782" s="1174"/>
    </row>
    <row r="783" spans="1:5" x14ac:dyDescent="0.25">
      <c r="A783" s="1144"/>
      <c r="B783" s="91">
        <v>2018</v>
      </c>
      <c r="C783" s="91">
        <v>2019</v>
      </c>
      <c r="D783" s="91">
        <v>2020</v>
      </c>
      <c r="E783" s="91">
        <v>2021</v>
      </c>
    </row>
    <row r="784" spans="1:5" ht="16.5" thickBot="1" x14ac:dyDescent="0.3">
      <c r="A784" s="1145"/>
      <c r="B784" s="90" t="s">
        <v>10</v>
      </c>
      <c r="C784" s="90" t="s">
        <v>11</v>
      </c>
      <c r="D784" s="90" t="s">
        <v>11</v>
      </c>
      <c r="E784" s="90" t="s">
        <v>11</v>
      </c>
    </row>
    <row r="785" spans="1:5" ht="16.5" thickBot="1" x14ac:dyDescent="0.3">
      <c r="A785" s="93" t="s">
        <v>19</v>
      </c>
      <c r="B785" s="94"/>
      <c r="C785" s="89"/>
      <c r="D785" s="89"/>
      <c r="E785" s="89"/>
    </row>
    <row r="786" spans="1:5" ht="16.5" thickBot="1" x14ac:dyDescent="0.3">
      <c r="A786" s="93" t="s">
        <v>20</v>
      </c>
      <c r="B786" s="94">
        <f>B817</f>
        <v>26594</v>
      </c>
      <c r="C786" s="94">
        <f>C817</f>
        <v>28218</v>
      </c>
      <c r="D786" s="94">
        <f>D817</f>
        <v>28218</v>
      </c>
      <c r="E786" s="94">
        <f>E817</f>
        <v>29864</v>
      </c>
    </row>
    <row r="787" spans="1:5" ht="16.5" thickBot="1" x14ac:dyDescent="0.3">
      <c r="A787" s="93" t="s">
        <v>21</v>
      </c>
      <c r="B787" s="94" t="e">
        <f>B786/B785</f>
        <v>#DIV/0!</v>
      </c>
      <c r="C787" s="94" t="e">
        <f>C786/C785</f>
        <v>#DIV/0!</v>
      </c>
      <c r="D787" s="94" t="e">
        <f>D786/D785</f>
        <v>#DIV/0!</v>
      </c>
      <c r="E787" s="94" t="e">
        <f>E786/E785</f>
        <v>#DIV/0!</v>
      </c>
    </row>
    <row r="788" spans="1:5" ht="16.5" thickBot="1" x14ac:dyDescent="0.3">
      <c r="A788" s="93" t="s">
        <v>22</v>
      </c>
      <c r="B788" s="147"/>
      <c r="C788" s="92" t="e">
        <f t="shared" ref="C788:E790" si="22">C785/B785-1</f>
        <v>#DIV/0!</v>
      </c>
      <c r="D788" s="92" t="e">
        <f t="shared" si="22"/>
        <v>#DIV/0!</v>
      </c>
      <c r="E788" s="92" t="e">
        <f t="shared" si="22"/>
        <v>#DIV/0!</v>
      </c>
    </row>
    <row r="789" spans="1:5" ht="16.5" thickBot="1" x14ac:dyDescent="0.3">
      <c r="A789" s="93" t="s">
        <v>24</v>
      </c>
      <c r="B789" s="147"/>
      <c r="C789" s="92">
        <f t="shared" si="22"/>
        <v>6.1066405956230696E-2</v>
      </c>
      <c r="D789" s="92">
        <f t="shared" si="22"/>
        <v>0</v>
      </c>
      <c r="E789" s="92">
        <f t="shared" si="22"/>
        <v>5.8331561414699751E-2</v>
      </c>
    </row>
    <row r="790" spans="1:5" ht="30.75" thickBot="1" x14ac:dyDescent="0.3">
      <c r="A790" s="93" t="s">
        <v>25</v>
      </c>
      <c r="B790" s="147"/>
      <c r="C790" s="92" t="e">
        <f t="shared" si="22"/>
        <v>#DIV/0!</v>
      </c>
      <c r="D790" s="92" t="e">
        <f t="shared" si="22"/>
        <v>#DIV/0!</v>
      </c>
      <c r="E790" s="92" t="e">
        <f t="shared" si="22"/>
        <v>#DIV/0!</v>
      </c>
    </row>
    <row r="791" spans="1:5" x14ac:dyDescent="0.25">
      <c r="A791" s="1144"/>
      <c r="B791" s="91">
        <v>2018</v>
      </c>
      <c r="C791" s="91">
        <v>2019</v>
      </c>
      <c r="D791" s="91">
        <v>2020</v>
      </c>
      <c r="E791" s="91">
        <v>2021</v>
      </c>
    </row>
    <row r="792" spans="1:5" ht="16.5" thickBot="1" x14ac:dyDescent="0.3">
      <c r="A792" s="1145"/>
      <c r="B792" s="90" t="s">
        <v>10</v>
      </c>
      <c r="C792" s="90" t="s">
        <v>11</v>
      </c>
      <c r="D792" s="90" t="s">
        <v>11</v>
      </c>
      <c r="E792" s="90" t="s">
        <v>11</v>
      </c>
    </row>
    <row r="793" spans="1:5" ht="16.5" thickBot="1" x14ac:dyDescent="0.3">
      <c r="A793" s="1146" t="s">
        <v>378</v>
      </c>
      <c r="B793" s="1147"/>
      <c r="C793" s="1147"/>
      <c r="D793" s="1147"/>
      <c r="E793" s="1148"/>
    </row>
    <row r="794" spans="1:5" x14ac:dyDescent="0.25">
      <c r="A794" s="1144"/>
      <c r="B794" s="91">
        <v>2018</v>
      </c>
      <c r="C794" s="91">
        <v>2019</v>
      </c>
      <c r="D794" s="91">
        <v>2020</v>
      </c>
      <c r="E794" s="91">
        <v>2021</v>
      </c>
    </row>
    <row r="795" spans="1:5" ht="16.5" thickBot="1" x14ac:dyDescent="0.3">
      <c r="A795" s="1145"/>
      <c r="B795" s="90" t="s">
        <v>10</v>
      </c>
      <c r="C795" s="90" t="s">
        <v>11</v>
      </c>
      <c r="D795" s="90" t="s">
        <v>11</v>
      </c>
      <c r="E795" s="90" t="s">
        <v>11</v>
      </c>
    </row>
    <row r="796" spans="1:5" ht="16.5" thickBot="1" x14ac:dyDescent="0.3">
      <c r="A796" s="79" t="s">
        <v>26</v>
      </c>
      <c r="B796" s="72">
        <v>22487</v>
      </c>
      <c r="C796" s="72">
        <v>23611</v>
      </c>
      <c r="D796" s="72">
        <v>23611</v>
      </c>
      <c r="E796" s="72">
        <v>25264</v>
      </c>
    </row>
    <row r="797" spans="1:5" ht="45.75" thickBot="1" x14ac:dyDescent="0.3">
      <c r="A797" s="78" t="s">
        <v>27</v>
      </c>
      <c r="B797" s="77"/>
      <c r="C797" s="76"/>
      <c r="D797" s="76"/>
      <c r="E797" s="76"/>
    </row>
    <row r="798" spans="1:5" ht="45.75" thickBot="1" x14ac:dyDescent="0.3">
      <c r="A798" s="78" t="s">
        <v>45</v>
      </c>
      <c r="B798" s="77"/>
      <c r="C798" s="76"/>
      <c r="D798" s="76"/>
      <c r="E798" s="76"/>
    </row>
    <row r="799" spans="1:5" ht="30.75" thickBot="1" x14ac:dyDescent="0.3">
      <c r="A799" s="79" t="s">
        <v>28</v>
      </c>
      <c r="B799" s="72">
        <v>3607</v>
      </c>
      <c r="C799" s="72">
        <v>3907</v>
      </c>
      <c r="D799" s="72">
        <v>3907</v>
      </c>
      <c r="E799" s="72">
        <v>4200</v>
      </c>
    </row>
    <row r="800" spans="1:5" ht="75.75" thickBot="1" x14ac:dyDescent="0.3">
      <c r="A800" s="78" t="s">
        <v>29</v>
      </c>
      <c r="B800" s="77"/>
      <c r="C800" s="72"/>
      <c r="D800" s="72"/>
      <c r="E800" s="72"/>
    </row>
    <row r="801" spans="1:5" ht="75.75" thickBot="1" x14ac:dyDescent="0.3">
      <c r="A801" s="78" t="s">
        <v>46</v>
      </c>
      <c r="B801" s="77"/>
      <c r="C801" s="72"/>
      <c r="D801" s="72"/>
      <c r="E801" s="72"/>
    </row>
    <row r="802" spans="1:5" ht="16.5" thickBot="1" x14ac:dyDescent="0.3">
      <c r="A802" s="79" t="s">
        <v>30</v>
      </c>
      <c r="B802" s="89">
        <v>500</v>
      </c>
      <c r="C802" s="89">
        <v>700</v>
      </c>
      <c r="D802" s="89">
        <v>700</v>
      </c>
      <c r="E802" s="89">
        <v>400</v>
      </c>
    </row>
    <row r="803" spans="1:5" ht="60.75" thickBot="1" x14ac:dyDescent="0.3">
      <c r="A803" s="78" t="s">
        <v>31</v>
      </c>
      <c r="B803" s="77"/>
      <c r="C803" s="72"/>
      <c r="D803" s="72"/>
      <c r="E803" s="72"/>
    </row>
    <row r="804" spans="1:5" ht="60.75" thickBot="1" x14ac:dyDescent="0.3">
      <c r="A804" s="78" t="s">
        <v>47</v>
      </c>
      <c r="B804" s="77"/>
      <c r="C804" s="72"/>
      <c r="D804" s="72"/>
      <c r="E804" s="72"/>
    </row>
    <row r="805" spans="1:5" ht="16.5" thickBot="1" x14ac:dyDescent="0.3">
      <c r="A805" s="79" t="s">
        <v>32</v>
      </c>
      <c r="B805" s="77"/>
      <c r="C805" s="72"/>
      <c r="D805" s="72"/>
      <c r="E805" s="72"/>
    </row>
    <row r="806" spans="1:5" ht="60.75" thickBot="1" x14ac:dyDescent="0.3">
      <c r="A806" s="78" t="s">
        <v>33</v>
      </c>
      <c r="B806" s="77"/>
      <c r="C806" s="72"/>
      <c r="D806" s="72"/>
      <c r="E806" s="72"/>
    </row>
    <row r="807" spans="1:5" ht="60.75" thickBot="1" x14ac:dyDescent="0.3">
      <c r="A807" s="78" t="s">
        <v>48</v>
      </c>
      <c r="B807" s="77"/>
      <c r="C807" s="72"/>
      <c r="D807" s="72"/>
      <c r="E807" s="72"/>
    </row>
    <row r="808" spans="1:5" ht="16.5" thickBot="1" x14ac:dyDescent="0.3">
      <c r="A808" s="79" t="s">
        <v>34</v>
      </c>
      <c r="B808" s="77"/>
      <c r="C808" s="72"/>
      <c r="D808" s="72"/>
      <c r="E808" s="72"/>
    </row>
    <row r="809" spans="1:5" ht="60.75" thickBot="1" x14ac:dyDescent="0.3">
      <c r="A809" s="78" t="s">
        <v>35</v>
      </c>
      <c r="B809" s="77"/>
      <c r="C809" s="72"/>
      <c r="D809" s="72"/>
      <c r="E809" s="72"/>
    </row>
    <row r="810" spans="1:5" ht="60.75" thickBot="1" x14ac:dyDescent="0.3">
      <c r="A810" s="78" t="s">
        <v>49</v>
      </c>
      <c r="B810" s="77"/>
      <c r="C810" s="72"/>
      <c r="D810" s="72"/>
      <c r="E810" s="72"/>
    </row>
    <row r="811" spans="1:5" ht="16.5" thickBot="1" x14ac:dyDescent="0.3">
      <c r="A811" s="79" t="s">
        <v>36</v>
      </c>
      <c r="B811" s="77"/>
      <c r="C811" s="72"/>
      <c r="D811" s="72"/>
      <c r="E811" s="72"/>
    </row>
    <row r="812" spans="1:5" ht="60.75" thickBot="1" x14ac:dyDescent="0.3">
      <c r="A812" s="78" t="s">
        <v>37</v>
      </c>
      <c r="B812" s="77"/>
      <c r="C812" s="72"/>
      <c r="D812" s="72"/>
      <c r="E812" s="72"/>
    </row>
    <row r="813" spans="1:5" ht="60.75" thickBot="1" x14ac:dyDescent="0.3">
      <c r="A813" s="78" t="s">
        <v>50</v>
      </c>
      <c r="B813" s="77"/>
      <c r="C813" s="72"/>
      <c r="D813" s="72"/>
      <c r="E813" s="72"/>
    </row>
    <row r="814" spans="1:5" ht="30.75" thickBot="1" x14ac:dyDescent="0.3">
      <c r="A814" s="79" t="s">
        <v>38</v>
      </c>
      <c r="B814" s="77"/>
      <c r="C814" s="72"/>
      <c r="D814" s="72"/>
      <c r="E814" s="72"/>
    </row>
    <row r="815" spans="1:5" ht="75.75" thickBot="1" x14ac:dyDescent="0.3">
      <c r="A815" s="78" t="s">
        <v>39</v>
      </c>
      <c r="B815" s="77"/>
      <c r="C815" s="72"/>
      <c r="D815" s="72"/>
      <c r="E815" s="72"/>
    </row>
    <row r="816" spans="1:5" ht="75.75" thickBot="1" x14ac:dyDescent="0.3">
      <c r="A816" s="78" t="s">
        <v>51</v>
      </c>
      <c r="B816" s="77"/>
      <c r="C816" s="72"/>
      <c r="D816" s="72"/>
      <c r="E816" s="72"/>
    </row>
    <row r="817" spans="1:5" ht="29.25" thickBot="1" x14ac:dyDescent="0.3">
      <c r="A817" s="88" t="s">
        <v>71</v>
      </c>
      <c r="B817" s="87">
        <f>B814+B811+B808+B805+B802+B799+B796</f>
        <v>26594</v>
      </c>
      <c r="C817" s="87">
        <f>C814+C811+C808+C805+C802+C799+C796</f>
        <v>28218</v>
      </c>
      <c r="D817" s="87">
        <f>D814+D811+D808+D805+D802+D799+D796</f>
        <v>28218</v>
      </c>
      <c r="E817" s="87">
        <f>E814+E811+E808+E805+E802+E799+E796</f>
        <v>29864</v>
      </c>
    </row>
    <row r="818" spans="1:5" x14ac:dyDescent="0.25">
      <c r="A818" s="1149" t="s">
        <v>115</v>
      </c>
      <c r="B818" s="1151" t="s">
        <v>23</v>
      </c>
      <c r="C818" s="1151"/>
      <c r="D818" s="1151"/>
      <c r="E818" s="1152"/>
    </row>
    <row r="819" spans="1:5" x14ac:dyDescent="0.25">
      <c r="A819" s="1150"/>
      <c r="B819" s="1153"/>
      <c r="C819" s="1153"/>
      <c r="D819" s="1153"/>
      <c r="E819" s="1154"/>
    </row>
    <row r="820" spans="1:5" ht="16.5" thickBot="1" x14ac:dyDescent="0.3">
      <c r="A820" s="1150"/>
      <c r="B820" s="1155"/>
      <c r="C820" s="1155"/>
      <c r="D820" s="1155"/>
      <c r="E820" s="1156"/>
    </row>
    <row r="821" spans="1:5" ht="16.5" thickBot="1" x14ac:dyDescent="0.3">
      <c r="A821" s="174" t="s">
        <v>41</v>
      </c>
      <c r="B821" s="74">
        <f>IF(B817-B786=0,0,"Error")</f>
        <v>0</v>
      </c>
      <c r="C821" s="74">
        <f>IF(C817-C786=0,0,"Error")</f>
        <v>0</v>
      </c>
      <c r="D821" s="74">
        <f>IF(D817-D786=0,0,"Error")</f>
        <v>0</v>
      </c>
      <c r="E821" s="74">
        <f>IF(E817-E786=0,0,"Error")</f>
        <v>0</v>
      </c>
    </row>
    <row r="822" spans="1:5" ht="16.5" thickBot="1" x14ac:dyDescent="0.3">
      <c r="A822" s="86"/>
      <c r="B822" s="85"/>
      <c r="C822" s="85"/>
      <c r="D822" s="85"/>
      <c r="E822" s="85"/>
    </row>
    <row r="823" spans="1:5" ht="43.5" thickBot="1" x14ac:dyDescent="0.3">
      <c r="A823" s="84" t="s">
        <v>82</v>
      </c>
      <c r="B823" s="83">
        <f>B410+B506+B548+B685+B736+B786</f>
        <v>685800</v>
      </c>
      <c r="C823" s="83">
        <f>C410+C506+C548+C685+C736+C786</f>
        <v>691160</v>
      </c>
      <c r="D823" s="83">
        <f>D410+D506+D548+D685+D736+D786</f>
        <v>691160</v>
      </c>
      <c r="E823" s="83">
        <f>E410+E506+E548+E685+E736+E786</f>
        <v>691160</v>
      </c>
    </row>
    <row r="824" spans="1:5" ht="43.5" thickBot="1" x14ac:dyDescent="0.3">
      <c r="A824" s="84" t="s">
        <v>83</v>
      </c>
      <c r="B824" s="83">
        <f>B826+B828+B830+B836</f>
        <v>685800</v>
      </c>
      <c r="C824" s="83">
        <f>C826+C828+C830+C836</f>
        <v>691160</v>
      </c>
      <c r="D824" s="83">
        <f>D826+D828+D830+D836</f>
        <v>691160</v>
      </c>
      <c r="E824" s="83">
        <f>E826+E828+E830+E836</f>
        <v>691160</v>
      </c>
    </row>
    <row r="825" spans="1:5" ht="30.75" thickBot="1" x14ac:dyDescent="0.3">
      <c r="A825" s="82" t="s">
        <v>84</v>
      </c>
      <c r="B825" s="81"/>
      <c r="C825" s="80">
        <f>C824/B824-1</f>
        <v>7.8156897054535435E-3</v>
      </c>
      <c r="D825" s="80">
        <f>D824/C824-1</f>
        <v>0</v>
      </c>
      <c r="E825" s="80">
        <f>E824/D824-1</f>
        <v>0</v>
      </c>
    </row>
    <row r="826" spans="1:5" ht="16.5" thickBot="1" x14ac:dyDescent="0.3">
      <c r="A826" s="79" t="s">
        <v>26</v>
      </c>
      <c r="B826" s="72">
        <f>B418+B516+B556+B695+B746+B796</f>
        <v>332000</v>
      </c>
      <c r="C826" s="72">
        <f>C418+C516+C556+C695+C746+C796</f>
        <v>332000</v>
      </c>
      <c r="D826" s="72">
        <f>D418+D516+D556+D695+D746+D796</f>
        <v>332000</v>
      </c>
      <c r="E826" s="72">
        <f>E418+E516+E556+E695+E746+E796</f>
        <v>332000</v>
      </c>
    </row>
    <row r="827" spans="1:5" ht="16.5" thickBot="1" x14ac:dyDescent="0.3">
      <c r="A827" s="78" t="s">
        <v>85</v>
      </c>
      <c r="B827" s="77"/>
      <c r="C827" s="76">
        <f>C826/B826-1</f>
        <v>0</v>
      </c>
      <c r="D827" s="76">
        <f>D826/C826-1</f>
        <v>0</v>
      </c>
      <c r="E827" s="76">
        <f>E826/D826-1</f>
        <v>0</v>
      </c>
    </row>
    <row r="828" spans="1:5" ht="30.75" thickBot="1" x14ac:dyDescent="0.3">
      <c r="A828" s="79" t="s">
        <v>28</v>
      </c>
      <c r="B828" s="72">
        <f>B421+B799</f>
        <v>47000</v>
      </c>
      <c r="C828" s="72">
        <f>C421+C799</f>
        <v>47000</v>
      </c>
      <c r="D828" s="72">
        <f>D421+D799</f>
        <v>47000</v>
      </c>
      <c r="E828" s="72">
        <f>E421+E799</f>
        <v>47000</v>
      </c>
    </row>
    <row r="829" spans="1:5" ht="45.75" thickBot="1" x14ac:dyDescent="0.3">
      <c r="A829" s="78" t="s">
        <v>86</v>
      </c>
      <c r="B829" s="77"/>
      <c r="C829" s="76">
        <f>C828/B828-1</f>
        <v>0</v>
      </c>
      <c r="D829" s="76">
        <f>D828/C828-1</f>
        <v>0</v>
      </c>
      <c r="E829" s="76">
        <f>E828/D828-1</f>
        <v>0</v>
      </c>
    </row>
    <row r="830" spans="1:5" ht="16.5" thickBot="1" x14ac:dyDescent="0.3">
      <c r="A830" s="79" t="s">
        <v>30</v>
      </c>
      <c r="B830" s="72">
        <f>B424+B522+B562+B701+B752+B802</f>
        <v>292000</v>
      </c>
      <c r="C830" s="72">
        <f>C424+C522+C562+C701+C752+C802</f>
        <v>297160</v>
      </c>
      <c r="D830" s="72">
        <f>D424+D522+D562+D701+D752+D802</f>
        <v>297160</v>
      </c>
      <c r="E830" s="72">
        <f>E424+E522+E562+E701+E752+E802</f>
        <v>297160</v>
      </c>
    </row>
    <row r="831" spans="1:5" ht="30.75" thickBot="1" x14ac:dyDescent="0.3">
      <c r="A831" s="78" t="s">
        <v>87</v>
      </c>
      <c r="B831" s="77"/>
      <c r="C831" s="76">
        <f>C830/B830-1</f>
        <v>1.7671232876712351E-2</v>
      </c>
      <c r="D831" s="76">
        <f>D830/C830-1</f>
        <v>0</v>
      </c>
      <c r="E831" s="76">
        <v>0</v>
      </c>
    </row>
    <row r="832" spans="1:5" ht="16.5" thickBot="1" x14ac:dyDescent="0.3">
      <c r="A832" s="79" t="s">
        <v>32</v>
      </c>
      <c r="B832" s="72"/>
      <c r="C832" s="72"/>
      <c r="D832" s="72"/>
      <c r="E832" s="72"/>
    </row>
    <row r="833" spans="1:5" ht="30.75" thickBot="1" x14ac:dyDescent="0.3">
      <c r="A833" s="78" t="s">
        <v>88</v>
      </c>
      <c r="B833" s="77"/>
      <c r="C833" s="76"/>
      <c r="D833" s="76"/>
      <c r="E833" s="76"/>
    </row>
    <row r="834" spans="1:5" ht="16.5" thickBot="1" x14ac:dyDescent="0.3">
      <c r="A834" s="79" t="s">
        <v>34</v>
      </c>
      <c r="B834" s="72"/>
      <c r="C834" s="72"/>
      <c r="D834" s="72"/>
      <c r="E834" s="72"/>
    </row>
    <row r="835" spans="1:5" ht="30.75" thickBot="1" x14ac:dyDescent="0.3">
      <c r="A835" s="78" t="s">
        <v>89</v>
      </c>
      <c r="B835" s="77"/>
      <c r="C835" s="76"/>
      <c r="D835" s="76"/>
      <c r="E835" s="76"/>
    </row>
    <row r="836" spans="1:5" ht="16.5" thickBot="1" x14ac:dyDescent="0.3">
      <c r="A836" s="79" t="s">
        <v>36</v>
      </c>
      <c r="B836" s="72">
        <f>B531</f>
        <v>14800</v>
      </c>
      <c r="C836" s="72">
        <f>C531</f>
        <v>15000</v>
      </c>
      <c r="D836" s="72">
        <f>D531</f>
        <v>15000</v>
      </c>
      <c r="E836" s="72">
        <f>E531</f>
        <v>15000</v>
      </c>
    </row>
    <row r="837" spans="1:5" ht="30.75" thickBot="1" x14ac:dyDescent="0.3">
      <c r="A837" s="78" t="s">
        <v>90</v>
      </c>
      <c r="B837" s="77"/>
      <c r="C837" s="76">
        <f>C836/B836-1</f>
        <v>1.3513513513513598E-2</v>
      </c>
      <c r="D837" s="76">
        <f>D836/C836-1</f>
        <v>0</v>
      </c>
      <c r="E837" s="76">
        <f>E836/D836-1</f>
        <v>0</v>
      </c>
    </row>
    <row r="838" spans="1:5" ht="30.75" thickBot="1" x14ac:dyDescent="0.3">
      <c r="A838" s="79" t="s">
        <v>38</v>
      </c>
      <c r="B838" s="72"/>
      <c r="C838" s="72"/>
      <c r="D838" s="72"/>
      <c r="E838" s="72"/>
    </row>
    <row r="839" spans="1:5" ht="45.75" thickBot="1" x14ac:dyDescent="0.3">
      <c r="A839" s="78" t="s">
        <v>91</v>
      </c>
      <c r="B839" s="77"/>
      <c r="C839" s="76"/>
      <c r="D839" s="76"/>
      <c r="E839" s="76"/>
    </row>
    <row r="840" spans="1:5" ht="16.5" thickBot="1" x14ac:dyDescent="0.3">
      <c r="A840" s="79" t="s">
        <v>92</v>
      </c>
      <c r="B840" s="72"/>
      <c r="C840" s="72"/>
      <c r="D840" s="72"/>
      <c r="E840" s="72"/>
    </row>
    <row r="841" spans="1:5" ht="30.75" thickBot="1" x14ac:dyDescent="0.3">
      <c r="A841" s="78" t="s">
        <v>93</v>
      </c>
      <c r="B841" s="77"/>
      <c r="C841" s="76"/>
      <c r="D841" s="76"/>
      <c r="E841" s="76"/>
    </row>
    <row r="842" spans="1:5" ht="16.5" thickBot="1" x14ac:dyDescent="0.3">
      <c r="A842" s="79" t="s">
        <v>94</v>
      </c>
      <c r="B842" s="72"/>
      <c r="C842" s="72"/>
      <c r="D842" s="72"/>
      <c r="E842" s="72"/>
    </row>
    <row r="843" spans="1:5" ht="30.75" thickBot="1" x14ac:dyDescent="0.3">
      <c r="A843" s="78" t="s">
        <v>95</v>
      </c>
      <c r="B843" s="77"/>
      <c r="C843" s="76"/>
      <c r="D843" s="76"/>
      <c r="E843" s="76"/>
    </row>
    <row r="844" spans="1:5" ht="16.5" thickBot="1" x14ac:dyDescent="0.3">
      <c r="A844" s="75" t="s">
        <v>41</v>
      </c>
      <c r="B844" s="74">
        <f>IF(B824-B823=0,0,"Error")</f>
        <v>0</v>
      </c>
      <c r="C844" s="74">
        <f>IF(C824-C823=0,0,"Error")</f>
        <v>0</v>
      </c>
      <c r="D844" s="74">
        <f>IF(D824-D823=0,0,"Error")</f>
        <v>0</v>
      </c>
      <c r="E844" s="74">
        <f>IF(E824-E823=0,0,"Error")</f>
        <v>0</v>
      </c>
    </row>
    <row r="845" spans="1:5" ht="43.5" thickBot="1" x14ac:dyDescent="0.3">
      <c r="A845" s="73" t="s">
        <v>96</v>
      </c>
      <c r="B845" s="72">
        <v>193</v>
      </c>
      <c r="C845" s="72">
        <v>193</v>
      </c>
      <c r="D845" s="72">
        <v>193</v>
      </c>
      <c r="E845" s="72">
        <v>193</v>
      </c>
    </row>
    <row r="846" spans="1:5" ht="43.5" thickBot="1" x14ac:dyDescent="0.3">
      <c r="A846" s="73" t="s">
        <v>97</v>
      </c>
      <c r="B846" s="72">
        <v>0</v>
      </c>
      <c r="C846" s="72">
        <v>0</v>
      </c>
      <c r="D846" s="72">
        <v>0</v>
      </c>
      <c r="E846" s="72">
        <v>0</v>
      </c>
    </row>
  </sheetData>
  <mergeCells count="281">
    <mergeCell ref="C8:E8"/>
    <mergeCell ref="A2:E2"/>
    <mergeCell ref="B9:E9"/>
    <mergeCell ref="B10:E10"/>
    <mergeCell ref="B11:E11"/>
    <mergeCell ref="A12:E12"/>
    <mergeCell ref="B3:E3"/>
    <mergeCell ref="B4:E4"/>
    <mergeCell ref="B5:E5"/>
    <mergeCell ref="C6:E6"/>
    <mergeCell ref="C7:E7"/>
    <mergeCell ref="A13:E15"/>
    <mergeCell ref="B16:E16"/>
    <mergeCell ref="A17:A18"/>
    <mergeCell ref="B24:E24"/>
    <mergeCell ref="A25:E25"/>
    <mergeCell ref="A29:E29"/>
    <mergeCell ref="A30:E30"/>
    <mergeCell ref="B31:E31"/>
    <mergeCell ref="B32:E32"/>
    <mergeCell ref="B33:E33"/>
    <mergeCell ref="A34:A35"/>
    <mergeCell ref="A42:E42"/>
    <mergeCell ref="A43:A44"/>
    <mergeCell ref="B54:E54"/>
    <mergeCell ref="B55:E55"/>
    <mergeCell ref="B56:E56"/>
    <mergeCell ref="A58:A59"/>
    <mergeCell ref="A65:E65"/>
    <mergeCell ref="A66:A67"/>
    <mergeCell ref="B77:E77"/>
    <mergeCell ref="B78:E78"/>
    <mergeCell ref="B79:E79"/>
    <mergeCell ref="A80:A81"/>
    <mergeCell ref="A88:E88"/>
    <mergeCell ref="A89:A90"/>
    <mergeCell ref="A101:E101"/>
    <mergeCell ref="A102:E102"/>
    <mergeCell ref="B103:E103"/>
    <mergeCell ref="B104:E104"/>
    <mergeCell ref="B105:E105"/>
    <mergeCell ref="B106:E106"/>
    <mergeCell ref="A107:A108"/>
    <mergeCell ref="A115:E115"/>
    <mergeCell ref="A116:A117"/>
    <mergeCell ref="A121:A123"/>
    <mergeCell ref="B121:E123"/>
    <mergeCell ref="B124:E124"/>
    <mergeCell ref="B125:E125"/>
    <mergeCell ref="B126:E126"/>
    <mergeCell ref="B127:E127"/>
    <mergeCell ref="A128:A129"/>
    <mergeCell ref="A136:E136"/>
    <mergeCell ref="A137:A138"/>
    <mergeCell ref="A142:E142"/>
    <mergeCell ref="A143:E143"/>
    <mergeCell ref="B144:E144"/>
    <mergeCell ref="B145:E145"/>
    <mergeCell ref="B146:E146"/>
    <mergeCell ref="B147:E147"/>
    <mergeCell ref="A148:A149"/>
    <mergeCell ref="A156:E156"/>
    <mergeCell ref="A157:A158"/>
    <mergeCell ref="B162:E162"/>
    <mergeCell ref="B163:E163"/>
    <mergeCell ref="B164:E164"/>
    <mergeCell ref="B165:E165"/>
    <mergeCell ref="A166:A167"/>
    <mergeCell ref="A174:E174"/>
    <mergeCell ref="A175:A176"/>
    <mergeCell ref="B180:E180"/>
    <mergeCell ref="A181:E181"/>
    <mergeCell ref="A184:E184"/>
    <mergeCell ref="A185:E185"/>
    <mergeCell ref="A186:A187"/>
    <mergeCell ref="B188:E188"/>
    <mergeCell ref="B189:E189"/>
    <mergeCell ref="B190:E190"/>
    <mergeCell ref="A191:A192"/>
    <mergeCell ref="A199:A200"/>
    <mergeCell ref="A201:E201"/>
    <mergeCell ref="A202:A203"/>
    <mergeCell ref="A213:E213"/>
    <mergeCell ref="A214:E214"/>
    <mergeCell ref="B215:E215"/>
    <mergeCell ref="B216:E216"/>
    <mergeCell ref="B217:E217"/>
    <mergeCell ref="B218:E218"/>
    <mergeCell ref="A219:A220"/>
    <mergeCell ref="A227:E227"/>
    <mergeCell ref="A228:A229"/>
    <mergeCell ref="B234:E234"/>
    <mergeCell ref="A235:E235"/>
    <mergeCell ref="A238:E238"/>
    <mergeCell ref="A239:E239"/>
    <mergeCell ref="B240:E240"/>
    <mergeCell ref="B241:E241"/>
    <mergeCell ref="B242:E242"/>
    <mergeCell ref="A243:A244"/>
    <mergeCell ref="A251:E251"/>
    <mergeCell ref="A252:A253"/>
    <mergeCell ref="B263:E263"/>
    <mergeCell ref="B264:E264"/>
    <mergeCell ref="B265:E265"/>
    <mergeCell ref="A267:A268"/>
    <mergeCell ref="A274:E274"/>
    <mergeCell ref="A275:A276"/>
    <mergeCell ref="A287:E287"/>
    <mergeCell ref="A288:E288"/>
    <mergeCell ref="B289:E289"/>
    <mergeCell ref="B330:E330"/>
    <mergeCell ref="A331:E331"/>
    <mergeCell ref="A333:E333"/>
    <mergeCell ref="A334:E334"/>
    <mergeCell ref="B335:E335"/>
    <mergeCell ref="B290:E290"/>
    <mergeCell ref="B291:E291"/>
    <mergeCell ref="B292:E292"/>
    <mergeCell ref="A293:A294"/>
    <mergeCell ref="A301:E301"/>
    <mergeCell ref="A302:A303"/>
    <mergeCell ref="A307:A309"/>
    <mergeCell ref="B307:E309"/>
    <mergeCell ref="B310:E310"/>
    <mergeCell ref="B451:E451"/>
    <mergeCell ref="B452:E452"/>
    <mergeCell ref="A453:A454"/>
    <mergeCell ref="A461:E461"/>
    <mergeCell ref="A462:A463"/>
    <mergeCell ref="B311:E311"/>
    <mergeCell ref="B312:E312"/>
    <mergeCell ref="B313:E313"/>
    <mergeCell ref="A314:A315"/>
    <mergeCell ref="A322:E322"/>
    <mergeCell ref="A323:A324"/>
    <mergeCell ref="B406:E406"/>
    <mergeCell ref="A407:A408"/>
    <mergeCell ref="A415:E415"/>
    <mergeCell ref="B398:E398"/>
    <mergeCell ref="A399:E399"/>
    <mergeCell ref="A402:E402"/>
    <mergeCell ref="A403:E403"/>
    <mergeCell ref="B404:E404"/>
    <mergeCell ref="B405:E405"/>
    <mergeCell ref="A387:E389"/>
    <mergeCell ref="B390:E390"/>
    <mergeCell ref="A391:A392"/>
    <mergeCell ref="B329:E329"/>
    <mergeCell ref="A444:A446"/>
    <mergeCell ref="B444:E446"/>
    <mergeCell ref="A447:E447"/>
    <mergeCell ref="A416:A417"/>
    <mergeCell ref="A440:A442"/>
    <mergeCell ref="B440:E442"/>
    <mergeCell ref="A448:E448"/>
    <mergeCell ref="B449:E449"/>
    <mergeCell ref="B450:E450"/>
    <mergeCell ref="B336:E336"/>
    <mergeCell ref="B337:E337"/>
    <mergeCell ref="A338:A339"/>
    <mergeCell ref="A346:E346"/>
    <mergeCell ref="A347:A348"/>
    <mergeCell ref="B383:E383"/>
    <mergeCell ref="B384:E384"/>
    <mergeCell ref="B385:E385"/>
    <mergeCell ref="A386:E386"/>
    <mergeCell ref="A467:A469"/>
    <mergeCell ref="B470:E470"/>
    <mergeCell ref="B471:E471"/>
    <mergeCell ref="B472:E472"/>
    <mergeCell ref="B473:E473"/>
    <mergeCell ref="A474:A475"/>
    <mergeCell ref="A482:E482"/>
    <mergeCell ref="A483:A484"/>
    <mergeCell ref="A488:A490"/>
    <mergeCell ref="B488:E490"/>
    <mergeCell ref="B467:E469"/>
    <mergeCell ref="B543:E543"/>
    <mergeCell ref="B544:E544"/>
    <mergeCell ref="A545:A546"/>
    <mergeCell ref="B491:E491"/>
    <mergeCell ref="A492:E492"/>
    <mergeCell ref="A496:E496"/>
    <mergeCell ref="A497:E497"/>
    <mergeCell ref="A498:A499"/>
    <mergeCell ref="B500:E500"/>
    <mergeCell ref="B501:E501"/>
    <mergeCell ref="A511:A512"/>
    <mergeCell ref="A513:E513"/>
    <mergeCell ref="A514:A515"/>
    <mergeCell ref="A538:A540"/>
    <mergeCell ref="B538:E540"/>
    <mergeCell ref="B542:E542"/>
    <mergeCell ref="B502:E502"/>
    <mergeCell ref="A503:A504"/>
    <mergeCell ref="A553:E553"/>
    <mergeCell ref="A554:A555"/>
    <mergeCell ref="A578:A580"/>
    <mergeCell ref="B578:E580"/>
    <mergeCell ref="A582:E582"/>
    <mergeCell ref="A583:E583"/>
    <mergeCell ref="B584:E584"/>
    <mergeCell ref="B585:E585"/>
    <mergeCell ref="B586:E586"/>
    <mergeCell ref="B587:E587"/>
    <mergeCell ref="A588:A589"/>
    <mergeCell ref="A596:E596"/>
    <mergeCell ref="A597:A598"/>
    <mergeCell ref="A602:A604"/>
    <mergeCell ref="B602:E604"/>
    <mergeCell ref="B605:E605"/>
    <mergeCell ref="B606:E606"/>
    <mergeCell ref="B607:E607"/>
    <mergeCell ref="A646:A648"/>
    <mergeCell ref="B646:E648"/>
    <mergeCell ref="B649:E649"/>
    <mergeCell ref="B608:E608"/>
    <mergeCell ref="A609:A610"/>
    <mergeCell ref="A617:E617"/>
    <mergeCell ref="A618:A619"/>
    <mergeCell ref="A623:A625"/>
    <mergeCell ref="B623:E625"/>
    <mergeCell ref="A626:E626"/>
    <mergeCell ref="B629:E629"/>
    <mergeCell ref="B630:E630"/>
    <mergeCell ref="B631:E631"/>
    <mergeCell ref="A632:A633"/>
    <mergeCell ref="A640:E640"/>
    <mergeCell ref="A641:A642"/>
    <mergeCell ref="A627:E627"/>
    <mergeCell ref="B628:E628"/>
    <mergeCell ref="B650:E650"/>
    <mergeCell ref="B651:E651"/>
    <mergeCell ref="B652:E652"/>
    <mergeCell ref="A653:A654"/>
    <mergeCell ref="A661:E661"/>
    <mergeCell ref="A662:A663"/>
    <mergeCell ref="A667:A669"/>
    <mergeCell ref="B667:E669"/>
    <mergeCell ref="B671:E671"/>
    <mergeCell ref="A672:E672"/>
    <mergeCell ref="A675:E675"/>
    <mergeCell ref="A676:E676"/>
    <mergeCell ref="A677:A678"/>
    <mergeCell ref="B679:E679"/>
    <mergeCell ref="B680:E680"/>
    <mergeCell ref="B681:E681"/>
    <mergeCell ref="A682:A683"/>
    <mergeCell ref="A690:A691"/>
    <mergeCell ref="A692:E692"/>
    <mergeCell ref="A693:A694"/>
    <mergeCell ref="A717:A719"/>
    <mergeCell ref="B717:E719"/>
    <mergeCell ref="B722:E722"/>
    <mergeCell ref="A723:E723"/>
    <mergeCell ref="A726:E726"/>
    <mergeCell ref="A727:E727"/>
    <mergeCell ref="A728:A729"/>
    <mergeCell ref="B730:E730"/>
    <mergeCell ref="B731:E731"/>
    <mergeCell ref="B732:E732"/>
    <mergeCell ref="A733:A734"/>
    <mergeCell ref="A741:A742"/>
    <mergeCell ref="A743:E743"/>
    <mergeCell ref="A744:A745"/>
    <mergeCell ref="A768:A770"/>
    <mergeCell ref="B768:E770"/>
    <mergeCell ref="A791:A792"/>
    <mergeCell ref="A793:E793"/>
    <mergeCell ref="A794:A795"/>
    <mergeCell ref="A818:A820"/>
    <mergeCell ref="B818:E820"/>
    <mergeCell ref="B773:E773"/>
    <mergeCell ref="A774:E774"/>
    <mergeCell ref="A776:E776"/>
    <mergeCell ref="A777:E777"/>
    <mergeCell ref="A778:A779"/>
    <mergeCell ref="B780:E780"/>
    <mergeCell ref="B781:E781"/>
    <mergeCell ref="B782:E782"/>
    <mergeCell ref="A783:A784"/>
  </mergeCells>
  <pageMargins left="0.70866141732283472" right="0.70866141732283472" top="0.74803149606299213" bottom="0.74803149606299213" header="0.31496062992125984" footer="0.31496062992125984"/>
  <pageSetup paperSize="256" scale="57" fitToHeight="0" orientation="landscape"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344"/>
  <sheetViews>
    <sheetView view="pageBreakPreview" topLeftCell="A319" zoomScale="60" zoomScaleNormal="130" workbookViewId="0">
      <selection activeCell="I345" sqref="I345"/>
    </sheetView>
  </sheetViews>
  <sheetFormatPr defaultRowHeight="15" x14ac:dyDescent="0.25"/>
  <cols>
    <col min="1" max="1" width="21.42578125" customWidth="1"/>
    <col min="2" max="2" width="17.42578125" customWidth="1"/>
    <col min="3" max="3" width="18.5703125" customWidth="1"/>
    <col min="4" max="4" width="21.42578125" customWidth="1"/>
    <col min="5" max="5" width="16.85546875" customWidth="1"/>
    <col min="6" max="6" width="12.7109375" customWidth="1"/>
    <col min="7" max="7" width="11" bestFit="1" customWidth="1"/>
  </cols>
  <sheetData>
    <row r="1" spans="1:5" x14ac:dyDescent="0.25">
      <c r="A1" s="189" t="s">
        <v>898</v>
      </c>
      <c r="B1" s="188"/>
      <c r="C1" s="188"/>
      <c r="D1" s="188"/>
    </row>
    <row r="3" spans="1:5" ht="15.75" thickBot="1" x14ac:dyDescent="0.3"/>
    <row r="4" spans="1:5" ht="48" thickBot="1" x14ac:dyDescent="0.3">
      <c r="A4" s="168" t="s">
        <v>897</v>
      </c>
      <c r="B4" s="1084" t="s">
        <v>1647</v>
      </c>
      <c r="C4" s="1085"/>
      <c r="D4" s="1085"/>
      <c r="E4" s="1085"/>
    </row>
    <row r="5" spans="1:5" ht="48" thickBot="1" x14ac:dyDescent="0.3">
      <c r="A5" s="36" t="s">
        <v>895</v>
      </c>
      <c r="B5" s="1087" t="s">
        <v>1648</v>
      </c>
      <c r="C5" s="1088"/>
      <c r="D5" s="1088"/>
      <c r="E5" s="1088"/>
    </row>
    <row r="6" spans="1:5" ht="102" customHeight="1" thickBot="1" x14ac:dyDescent="0.3">
      <c r="A6" s="36" t="s">
        <v>914</v>
      </c>
      <c r="B6" s="1090" t="s">
        <v>1649</v>
      </c>
      <c r="C6" s="1091"/>
      <c r="D6" s="1091"/>
      <c r="E6" s="1091"/>
    </row>
    <row r="7" spans="1:5" ht="32.25" thickBot="1" x14ac:dyDescent="0.3">
      <c r="A7" s="36" t="s">
        <v>891</v>
      </c>
      <c r="B7" s="167" t="s">
        <v>912</v>
      </c>
      <c r="C7" s="1093" t="s">
        <v>7</v>
      </c>
      <c r="D7" s="1093"/>
      <c r="E7" s="1093"/>
    </row>
    <row r="8" spans="1:5" ht="208.5" customHeight="1" thickBot="1" x14ac:dyDescent="0.3">
      <c r="A8" s="36" t="s">
        <v>1459</v>
      </c>
      <c r="B8" s="219" t="s">
        <v>741</v>
      </c>
      <c r="C8" s="2578" t="s">
        <v>1650</v>
      </c>
      <c r="D8" s="2579"/>
      <c r="E8" s="2579"/>
    </row>
    <row r="9" spans="1:5" ht="33.75" customHeight="1" x14ac:dyDescent="0.25">
      <c r="A9" s="2580" t="s">
        <v>0</v>
      </c>
      <c r="B9" s="2580"/>
      <c r="C9" s="2580"/>
      <c r="D9" s="2580"/>
      <c r="E9" s="2580"/>
    </row>
    <row r="10" spans="1:5" ht="18" customHeight="1" thickBot="1" x14ac:dyDescent="0.3">
      <c r="A10" s="2581" t="s">
        <v>1</v>
      </c>
      <c r="B10" s="2581"/>
      <c r="C10" s="2581"/>
      <c r="D10" s="2581"/>
      <c r="E10" s="2581"/>
    </row>
    <row r="11" spans="1:5" ht="26.25" thickBot="1" x14ac:dyDescent="0.3">
      <c r="A11" s="2" t="s">
        <v>2</v>
      </c>
      <c r="B11" s="1263" t="str">
        <f>+'[5]Formati 1 Misioni'!C9</f>
        <v>Menaxhimi dhe Zhvillimi i Administratës Publike</v>
      </c>
      <c r="C11" s="1263"/>
      <c r="D11" s="1263"/>
      <c r="E11" s="1263"/>
    </row>
    <row r="12" spans="1:5" ht="15.75" thickBot="1" x14ac:dyDescent="0.3">
      <c r="A12" s="2" t="s">
        <v>3</v>
      </c>
      <c r="B12" s="1087" t="str">
        <f>+'[5]Formati 1 Misioni'!D9</f>
        <v>01330</v>
      </c>
      <c r="C12" s="2582"/>
      <c r="D12" s="2582"/>
      <c r="E12" s="2583"/>
    </row>
    <row r="13" spans="1:5" ht="26.25" thickBot="1" x14ac:dyDescent="0.3">
      <c r="A13" s="2" t="s">
        <v>5</v>
      </c>
      <c r="B13" s="1265" t="s">
        <v>6</v>
      </c>
      <c r="C13" s="1095"/>
      <c r="D13" s="1095"/>
      <c r="E13" s="1096"/>
    </row>
    <row r="14" spans="1:5" ht="15.75" thickBot="1" x14ac:dyDescent="0.3">
      <c r="A14" s="2584" t="s">
        <v>7</v>
      </c>
      <c r="B14" s="2585"/>
      <c r="C14" s="2585"/>
      <c r="D14" s="2585"/>
      <c r="E14" s="2586"/>
    </row>
    <row r="15" spans="1:5" x14ac:dyDescent="0.25">
      <c r="A15" s="2587" t="s">
        <v>1651</v>
      </c>
      <c r="B15" s="2588"/>
      <c r="C15" s="2588"/>
      <c r="D15" s="2588"/>
      <c r="E15" s="2589"/>
    </row>
    <row r="16" spans="1:5" ht="36.75" customHeight="1" x14ac:dyDescent="0.25">
      <c r="A16" s="2590"/>
      <c r="B16" s="2591"/>
      <c r="C16" s="2591"/>
      <c r="D16" s="2591"/>
      <c r="E16" s="2592"/>
    </row>
    <row r="17" spans="1:8" ht="67.5" customHeight="1" thickBot="1" x14ac:dyDescent="0.3">
      <c r="A17" s="2593"/>
      <c r="B17" s="2594"/>
      <c r="C17" s="2594"/>
      <c r="D17" s="2594"/>
      <c r="E17" s="2595"/>
    </row>
    <row r="18" spans="1:8" ht="126.75" customHeight="1" thickBot="1" x14ac:dyDescent="0.3">
      <c r="A18" s="259" t="s">
        <v>8</v>
      </c>
      <c r="B18" s="1095" t="e">
        <f>+'[5]Formati 2 Politika Ekzistuese'!D12:G12</f>
        <v>#VALUE!</v>
      </c>
      <c r="C18" s="1349"/>
      <c r="D18" s="1349"/>
      <c r="E18" s="1350"/>
    </row>
    <row r="19" spans="1:8" ht="24.75" thickBot="1" x14ac:dyDescent="0.3">
      <c r="A19" s="987" t="s">
        <v>12</v>
      </c>
      <c r="B19" s="1797" t="e">
        <f>+'[5]Formati 2 Politika Ekzistuese'!D13:G13</f>
        <v>#VALUE!</v>
      </c>
      <c r="C19" s="1798"/>
      <c r="D19" s="1798"/>
      <c r="E19" s="1799"/>
    </row>
    <row r="20" spans="1:8" ht="23.25" customHeight="1" thickBot="1" x14ac:dyDescent="0.3">
      <c r="A20" s="1245" t="s">
        <v>103</v>
      </c>
      <c r="B20" s="1246"/>
      <c r="C20" s="1246"/>
      <c r="D20" s="1246"/>
      <c r="E20" s="1298"/>
      <c r="F20" s="35"/>
      <c r="H20" s="35"/>
    </row>
    <row r="21" spans="1:8" ht="39.75" customHeight="1" thickBot="1" x14ac:dyDescent="0.3">
      <c r="A21" s="1078" t="str">
        <f>+'[5]Formati 2 Politika Ekzistuese'!C15</f>
        <v xml:space="preserve">Numri i procedurave të konkurimit të zhvilluara në institucionet e administratës publike
</v>
      </c>
      <c r="B21" s="4" t="s">
        <v>112</v>
      </c>
      <c r="C21" s="4" t="s">
        <v>113</v>
      </c>
      <c r="D21" s="4" t="s">
        <v>113</v>
      </c>
      <c r="E21" s="4" t="s">
        <v>113</v>
      </c>
    </row>
    <row r="22" spans="1:8" ht="42.75" customHeight="1" thickBot="1" x14ac:dyDescent="0.3">
      <c r="A22" s="1078" t="str">
        <f>+'[5]Formati 2 Politika Ekzistuese'!C16</f>
        <v>Raporte për menaxhimin e burimeve njerëzore në sistemin e shërbimit civil</v>
      </c>
      <c r="B22" s="4" t="s">
        <v>112</v>
      </c>
      <c r="C22" s="4" t="s">
        <v>113</v>
      </c>
      <c r="D22" s="4" t="s">
        <v>113</v>
      </c>
      <c r="E22" s="4" t="s">
        <v>113</v>
      </c>
    </row>
    <row r="23" spans="1:8" ht="34.5" customHeight="1" thickBot="1" x14ac:dyDescent="0.3">
      <c r="A23" s="1078" t="str">
        <f>+'[5]Formati 2 Politika Ekzistuese'!C17</f>
        <v>Evente informuese mbi procedurat e aplikimit në shërbimin civil</v>
      </c>
      <c r="B23" s="4" t="s">
        <v>112</v>
      </c>
      <c r="C23" s="4" t="s">
        <v>113</v>
      </c>
      <c r="D23" s="4" t="s">
        <v>113</v>
      </c>
      <c r="E23" s="4" t="s">
        <v>113</v>
      </c>
    </row>
    <row r="24" spans="1:8" ht="15.75" thickBot="1" x14ac:dyDescent="0.3">
      <c r="A24" s="1396" t="s">
        <v>14</v>
      </c>
      <c r="B24" s="1397"/>
      <c r="C24" s="1397"/>
      <c r="D24" s="1397"/>
      <c r="E24" s="1398"/>
    </row>
    <row r="25" spans="1:8" ht="15.75" thickBot="1" x14ac:dyDescent="0.3">
      <c r="A25" s="2596" t="s">
        <v>104</v>
      </c>
      <c r="B25" s="2597"/>
      <c r="C25" s="2597"/>
      <c r="D25" s="2597"/>
      <c r="E25" s="2598"/>
    </row>
    <row r="26" spans="1:8" ht="15.75" thickBot="1" x14ac:dyDescent="0.3">
      <c r="A26" s="247" t="s">
        <v>105</v>
      </c>
      <c r="B26" s="1248" t="e">
        <f>+'[5]Formati 2 Politika Ekzistuese'!D20:G20</f>
        <v>#VALUE!</v>
      </c>
      <c r="C26" s="1249"/>
      <c r="D26" s="1249"/>
      <c r="E26" s="1316"/>
    </row>
    <row r="27" spans="1:8" ht="17.25" customHeight="1" thickBot="1" x14ac:dyDescent="0.3">
      <c r="A27" s="5" t="s">
        <v>17</v>
      </c>
      <c r="B27" s="1245" t="e">
        <f>+'[5]Formati 2 Politika Ekzistuese'!D21:G21</f>
        <v>#VALUE!</v>
      </c>
      <c r="C27" s="1246"/>
      <c r="D27" s="1246"/>
      <c r="E27" s="1298"/>
    </row>
    <row r="28" spans="1:8" ht="15.75" thickBot="1" x14ac:dyDescent="0.3">
      <c r="A28" s="5" t="s">
        <v>18</v>
      </c>
      <c r="B28" s="1248" t="e">
        <f>+'[5]Formati 2 Politika Ekzistuese'!D22:G22</f>
        <v>#VALUE!</v>
      </c>
      <c r="C28" s="1249"/>
      <c r="D28" s="1249"/>
      <c r="E28" s="1316"/>
    </row>
    <row r="29" spans="1:8" ht="12.75" customHeight="1" x14ac:dyDescent="0.25">
      <c r="A29" s="1250"/>
      <c r="B29" s="8">
        <v>2018</v>
      </c>
      <c r="C29" s="8">
        <v>2019</v>
      </c>
      <c r="D29" s="8">
        <v>2020</v>
      </c>
      <c r="E29" s="8">
        <v>2021</v>
      </c>
    </row>
    <row r="30" spans="1:8" ht="9" customHeight="1" thickBot="1" x14ac:dyDescent="0.3">
      <c r="A30" s="1251"/>
      <c r="B30" s="9" t="s">
        <v>10</v>
      </c>
      <c r="C30" s="9" t="s">
        <v>11</v>
      </c>
      <c r="D30" s="9" t="s">
        <v>11</v>
      </c>
      <c r="E30" s="9" t="s">
        <v>11</v>
      </c>
    </row>
    <row r="31" spans="1:8" ht="15.75" thickBot="1" x14ac:dyDescent="0.3">
      <c r="A31" s="5" t="s">
        <v>19</v>
      </c>
      <c r="B31" s="10">
        <v>700</v>
      </c>
      <c r="C31" s="10">
        <v>720</v>
      </c>
      <c r="D31" s="10">
        <v>725</v>
      </c>
      <c r="E31" s="10">
        <v>730</v>
      </c>
    </row>
    <row r="32" spans="1:8" ht="15.75" thickBot="1" x14ac:dyDescent="0.3">
      <c r="A32" s="5" t="s">
        <v>20</v>
      </c>
      <c r="B32" s="10">
        <v>26968283</v>
      </c>
      <c r="C32" s="10">
        <v>31958223</v>
      </c>
      <c r="D32" s="10">
        <v>30952183</v>
      </c>
      <c r="E32" s="10">
        <v>30952183</v>
      </c>
    </row>
    <row r="33" spans="1:9" ht="15.75" thickBot="1" x14ac:dyDescent="0.3">
      <c r="A33" s="5" t="s">
        <v>21</v>
      </c>
      <c r="B33" s="10">
        <f>B32/B31</f>
        <v>38526.118571428575</v>
      </c>
      <c r="C33" s="10">
        <f t="shared" ref="C33:E33" si="0">C32/C31</f>
        <v>44386.42083333333</v>
      </c>
      <c r="D33" s="10">
        <f t="shared" si="0"/>
        <v>42692.666206896552</v>
      </c>
      <c r="E33" s="10">
        <f t="shared" si="0"/>
        <v>42400.25068493151</v>
      </c>
    </row>
    <row r="34" spans="1:9" ht="15.75" thickBot="1" x14ac:dyDescent="0.3">
      <c r="A34" s="5" t="s">
        <v>22</v>
      </c>
      <c r="B34" s="1076" t="s">
        <v>23</v>
      </c>
      <c r="C34" s="11">
        <f>C31/B31-1</f>
        <v>2.857142857142847E-2</v>
      </c>
      <c r="D34" s="11">
        <f t="shared" ref="D34:E36" si="1">D31/C31-1</f>
        <v>6.9444444444444198E-3</v>
      </c>
      <c r="E34" s="11">
        <f t="shared" si="1"/>
        <v>6.8965517241379448E-3</v>
      </c>
      <c r="F34" s="12"/>
      <c r="G34" s="12"/>
      <c r="H34" s="12"/>
      <c r="I34" s="12"/>
    </row>
    <row r="35" spans="1:9" ht="15.75" thickBot="1" x14ac:dyDescent="0.3">
      <c r="A35" s="5" t="s">
        <v>24</v>
      </c>
      <c r="B35" s="1076" t="s">
        <v>23</v>
      </c>
      <c r="C35" s="11">
        <f>C32/B32-1</f>
        <v>0.18502994795775463</v>
      </c>
      <c r="D35" s="11">
        <f t="shared" si="1"/>
        <v>-3.1479847925211635E-2</v>
      </c>
      <c r="E35" s="11">
        <f t="shared" si="1"/>
        <v>0</v>
      </c>
    </row>
    <row r="36" spans="1:9" ht="23.25" thickBot="1" x14ac:dyDescent="0.3">
      <c r="A36" s="5" t="s">
        <v>25</v>
      </c>
      <c r="B36" s="1076" t="s">
        <v>23</v>
      </c>
      <c r="C36" s="11">
        <f>C33/B33-1</f>
        <v>0.15211244940337232</v>
      </c>
      <c r="D36" s="11">
        <f t="shared" si="1"/>
        <v>-3.8159297249865221E-2</v>
      </c>
      <c r="E36" s="11">
        <f t="shared" si="1"/>
        <v>-6.849315068493067E-3</v>
      </c>
    </row>
    <row r="37" spans="1:9" ht="15.75" thickBot="1" x14ac:dyDescent="0.3">
      <c r="A37" s="1278" t="s">
        <v>633</v>
      </c>
      <c r="B37" s="1279"/>
      <c r="C37" s="1279"/>
      <c r="D37" s="1279"/>
      <c r="E37" s="1355"/>
    </row>
    <row r="38" spans="1:9" ht="12.75" customHeight="1" x14ac:dyDescent="0.25">
      <c r="A38" s="1250"/>
      <c r="B38" s="8">
        <v>2018</v>
      </c>
      <c r="C38" s="8">
        <v>2019</v>
      </c>
      <c r="D38" s="8">
        <v>2020</v>
      </c>
      <c r="E38" s="8">
        <v>2021</v>
      </c>
    </row>
    <row r="39" spans="1:9" ht="9" customHeight="1" thickBot="1" x14ac:dyDescent="0.3">
      <c r="A39" s="1251"/>
      <c r="B39" s="9" t="s">
        <v>10</v>
      </c>
      <c r="C39" s="9" t="s">
        <v>11</v>
      </c>
      <c r="D39" s="9" t="s">
        <v>11</v>
      </c>
      <c r="E39" s="9" t="s">
        <v>11</v>
      </c>
    </row>
    <row r="40" spans="1:9" ht="15.75" thickBot="1" x14ac:dyDescent="0.3">
      <c r="A40" s="237" t="s">
        <v>26</v>
      </c>
      <c r="B40" s="60">
        <v>11916667</v>
      </c>
      <c r="C40" s="60">
        <v>15628785</v>
      </c>
      <c r="D40" s="60">
        <v>15628785</v>
      </c>
      <c r="E40" s="60">
        <v>15628785</v>
      </c>
    </row>
    <row r="41" spans="1:9" ht="24.75" thickBot="1" x14ac:dyDescent="0.3">
      <c r="A41" s="237" t="s">
        <v>28</v>
      </c>
      <c r="B41" s="60">
        <v>1939383</v>
      </c>
      <c r="C41" s="60">
        <v>2526126</v>
      </c>
      <c r="D41" s="60">
        <v>2526126</v>
      </c>
      <c r="E41" s="60">
        <v>2526126</v>
      </c>
    </row>
    <row r="42" spans="1:9" ht="15.75" thickBot="1" x14ac:dyDescent="0.3">
      <c r="A42" s="237" t="s">
        <v>30</v>
      </c>
      <c r="B42" s="60">
        <v>8367233</v>
      </c>
      <c r="C42" s="60">
        <v>8151818</v>
      </c>
      <c r="D42" s="60">
        <v>8151818</v>
      </c>
      <c r="E42" s="60">
        <v>8151818</v>
      </c>
    </row>
    <row r="43" spans="1:9" ht="15.75" thickBot="1" x14ac:dyDescent="0.3">
      <c r="A43" s="237" t="s">
        <v>32</v>
      </c>
      <c r="B43" s="60">
        <v>0</v>
      </c>
      <c r="C43" s="60">
        <v>0</v>
      </c>
      <c r="D43" s="60">
        <v>0</v>
      </c>
      <c r="E43" s="60">
        <v>0</v>
      </c>
    </row>
    <row r="44" spans="1:9" ht="24.75" thickBot="1" x14ac:dyDescent="0.3">
      <c r="A44" s="237" t="s">
        <v>34</v>
      </c>
      <c r="B44" s="60">
        <v>0</v>
      </c>
      <c r="C44" s="60">
        <v>0</v>
      </c>
      <c r="D44" s="60">
        <v>0</v>
      </c>
      <c r="E44" s="60">
        <v>0</v>
      </c>
    </row>
    <row r="45" spans="1:9" ht="15.75" thickBot="1" x14ac:dyDescent="0.3">
      <c r="A45" s="237" t="s">
        <v>36</v>
      </c>
      <c r="B45" s="60">
        <v>4745000</v>
      </c>
      <c r="C45" s="60">
        <v>4645454</v>
      </c>
      <c r="D45" s="60">
        <v>4645454</v>
      </c>
      <c r="E45" s="60">
        <v>4645454</v>
      </c>
    </row>
    <row r="46" spans="1:9" ht="24.75" thickBot="1" x14ac:dyDescent="0.3">
      <c r="A46" s="237" t="s">
        <v>38</v>
      </c>
      <c r="B46" s="60">
        <v>0</v>
      </c>
      <c r="C46" s="60">
        <v>1006040</v>
      </c>
      <c r="D46" s="60">
        <v>0</v>
      </c>
      <c r="E46" s="60">
        <v>0</v>
      </c>
    </row>
    <row r="47" spans="1:9" ht="24.75" thickBot="1" x14ac:dyDescent="0.3">
      <c r="A47" s="367" t="s">
        <v>1652</v>
      </c>
      <c r="B47" s="60">
        <f>SUM(B40:B46)</f>
        <v>26968283</v>
      </c>
      <c r="C47" s="60">
        <f>SUM(C40:C46)</f>
        <v>31958223</v>
      </c>
      <c r="D47" s="60">
        <f t="shared" ref="D47:E47" si="2">SUM(D40:D46)</f>
        <v>30952183</v>
      </c>
      <c r="E47" s="60">
        <f t="shared" si="2"/>
        <v>30952183</v>
      </c>
    </row>
    <row r="48" spans="1:9" ht="15.75" thickBot="1" x14ac:dyDescent="0.3">
      <c r="A48" s="315" t="s">
        <v>41</v>
      </c>
      <c r="B48" s="238">
        <f>IF(B47-B32=0,0,"Error")</f>
        <v>0</v>
      </c>
      <c r="C48" s="238">
        <f>IF(C47-C32=0,0,"Error")</f>
        <v>0</v>
      </c>
      <c r="D48" s="238">
        <f>IF(D47-D32=0,0,"Error")</f>
        <v>0</v>
      </c>
      <c r="E48" s="238">
        <f>IF(E47-E32=0,0,"Error")</f>
        <v>0</v>
      </c>
    </row>
    <row r="49" spans="1:5" ht="15.75" thickBot="1" x14ac:dyDescent="0.3">
      <c r="A49" s="2599" t="s">
        <v>42</v>
      </c>
      <c r="B49" s="1248" t="s">
        <v>1653</v>
      </c>
      <c r="C49" s="1249"/>
      <c r="D49" s="1249"/>
      <c r="E49" s="1316"/>
    </row>
    <row r="50" spans="1:5" ht="15.75" thickBot="1" x14ac:dyDescent="0.3">
      <c r="A50" s="5" t="s">
        <v>17</v>
      </c>
      <c r="B50" s="1245" t="s">
        <v>1654</v>
      </c>
      <c r="C50" s="1246"/>
      <c r="D50" s="1246"/>
      <c r="E50" s="1298"/>
    </row>
    <row r="51" spans="1:5" ht="15.75" thickBot="1" x14ac:dyDescent="0.3">
      <c r="A51" s="5" t="s">
        <v>18</v>
      </c>
      <c r="B51" s="1248" t="s">
        <v>1655</v>
      </c>
      <c r="C51" s="1249"/>
      <c r="D51" s="1249"/>
      <c r="E51" s="1316"/>
    </row>
    <row r="52" spans="1:5" ht="15.75" thickBot="1" x14ac:dyDescent="0.3">
      <c r="A52" s="5" t="s">
        <v>19</v>
      </c>
      <c r="B52" s="10">
        <v>2480</v>
      </c>
      <c r="C52" s="10">
        <v>2530</v>
      </c>
      <c r="D52" s="10">
        <v>2550</v>
      </c>
      <c r="E52" s="10">
        <v>2550</v>
      </c>
    </row>
    <row r="53" spans="1:5" ht="12.75" customHeight="1" x14ac:dyDescent="0.25">
      <c r="A53" s="1250"/>
      <c r="B53" s="8">
        <v>2018</v>
      </c>
      <c r="C53" s="8">
        <v>2019</v>
      </c>
      <c r="D53" s="8">
        <v>2020</v>
      </c>
      <c r="E53" s="8">
        <v>2021</v>
      </c>
    </row>
    <row r="54" spans="1:5" ht="9" customHeight="1" thickBot="1" x14ac:dyDescent="0.3">
      <c r="A54" s="1251"/>
      <c r="B54" s="9" t="s">
        <v>10</v>
      </c>
      <c r="C54" s="9" t="s">
        <v>11</v>
      </c>
      <c r="D54" s="9" t="s">
        <v>11</v>
      </c>
      <c r="E54" s="9" t="s">
        <v>11</v>
      </c>
    </row>
    <row r="55" spans="1:5" ht="15.75" thickBot="1" x14ac:dyDescent="0.3">
      <c r="A55" s="5" t="s">
        <v>20</v>
      </c>
      <c r="B55" s="10">
        <v>16595867</v>
      </c>
      <c r="C55" s="10">
        <v>18261842</v>
      </c>
      <c r="D55" s="10">
        <v>17686962</v>
      </c>
      <c r="E55" s="10">
        <v>17686962</v>
      </c>
    </row>
    <row r="56" spans="1:5" ht="15.75" thickBot="1" x14ac:dyDescent="0.3">
      <c r="A56" s="5" t="s">
        <v>21</v>
      </c>
      <c r="B56" s="10">
        <f>B55/B52</f>
        <v>6691.8818548387098</v>
      </c>
      <c r="C56" s="10">
        <f>C55/C52</f>
        <v>7218.1193675889326</v>
      </c>
      <c r="D56" s="10">
        <f>D55/D52</f>
        <v>6936.0635294117646</v>
      </c>
      <c r="E56" s="10">
        <f>E55/E52</f>
        <v>6936.0635294117646</v>
      </c>
    </row>
    <row r="57" spans="1:5" ht="15.75" thickBot="1" x14ac:dyDescent="0.3">
      <c r="A57" s="5" t="s">
        <v>22</v>
      </c>
      <c r="B57" s="1076"/>
      <c r="C57" s="11">
        <f>C52/B52-1</f>
        <v>2.0161290322580738E-2</v>
      </c>
      <c r="D57" s="11">
        <f>D52/C52-1</f>
        <v>7.905138339920903E-3</v>
      </c>
      <c r="E57" s="11">
        <f>E52/D52-1</f>
        <v>0</v>
      </c>
    </row>
    <row r="58" spans="1:5" ht="15.75" thickBot="1" x14ac:dyDescent="0.3">
      <c r="A58" s="5" t="s">
        <v>24</v>
      </c>
      <c r="B58" s="1076"/>
      <c r="C58" s="11">
        <f>C55/B55-1</f>
        <v>0.10038493318848607</v>
      </c>
      <c r="D58" s="11">
        <f t="shared" ref="D58:E59" si="3">D55/C55-1</f>
        <v>-3.1479847432696051E-2</v>
      </c>
      <c r="E58" s="11">
        <f t="shared" si="3"/>
        <v>0</v>
      </c>
    </row>
    <row r="59" spans="1:5" ht="23.25" thickBot="1" x14ac:dyDescent="0.3">
      <c r="A59" s="5" t="s">
        <v>25</v>
      </c>
      <c r="B59" s="1076"/>
      <c r="C59" s="11">
        <f>C56/B56-1</f>
        <v>7.8638195378436748E-2</v>
      </c>
      <c r="D59" s="11">
        <f t="shared" si="3"/>
        <v>-3.9076083923419991E-2</v>
      </c>
      <c r="E59" s="11">
        <f t="shared" si="3"/>
        <v>0</v>
      </c>
    </row>
    <row r="60" spans="1:5" ht="24.75" customHeight="1" thickBot="1" x14ac:dyDescent="0.3">
      <c r="A60" s="1278" t="s">
        <v>634</v>
      </c>
      <c r="B60" s="1279"/>
      <c r="C60" s="1279"/>
      <c r="D60" s="1279"/>
      <c r="E60" s="1355"/>
    </row>
    <row r="61" spans="1:5" ht="12.75" customHeight="1" x14ac:dyDescent="0.25">
      <c r="A61" s="1250"/>
      <c r="B61" s="8">
        <v>2018</v>
      </c>
      <c r="C61" s="8">
        <v>2019</v>
      </c>
      <c r="D61" s="8">
        <v>2020</v>
      </c>
      <c r="E61" s="8">
        <v>2021</v>
      </c>
    </row>
    <row r="62" spans="1:5" ht="9" customHeight="1" thickBot="1" x14ac:dyDescent="0.3">
      <c r="A62" s="1251"/>
      <c r="B62" s="9" t="s">
        <v>10</v>
      </c>
      <c r="C62" s="9" t="s">
        <v>11</v>
      </c>
      <c r="D62" s="9" t="s">
        <v>11</v>
      </c>
      <c r="E62" s="9" t="s">
        <v>11</v>
      </c>
    </row>
    <row r="63" spans="1:5" ht="24.75" customHeight="1" thickBot="1" x14ac:dyDescent="0.3">
      <c r="A63" s="237" t="s">
        <v>26</v>
      </c>
      <c r="B63" s="60">
        <v>7333333</v>
      </c>
      <c r="C63" s="60">
        <v>8930735</v>
      </c>
      <c r="D63" s="60">
        <v>8930735</v>
      </c>
      <c r="E63" s="60">
        <v>8930735</v>
      </c>
    </row>
    <row r="64" spans="1:5" ht="24.75" customHeight="1" thickBot="1" x14ac:dyDescent="0.3">
      <c r="A64" s="237" t="s">
        <v>28</v>
      </c>
      <c r="B64" s="60">
        <v>1193467</v>
      </c>
      <c r="C64" s="60">
        <v>1443500</v>
      </c>
      <c r="D64" s="60">
        <v>1443500</v>
      </c>
      <c r="E64" s="60">
        <v>1443500</v>
      </c>
    </row>
    <row r="65" spans="1:5" ht="24.75" customHeight="1" thickBot="1" x14ac:dyDescent="0.3">
      <c r="A65" s="237" t="s">
        <v>30</v>
      </c>
      <c r="B65" s="191">
        <v>5149067</v>
      </c>
      <c r="C65" s="60">
        <v>4658182</v>
      </c>
      <c r="D65" s="60">
        <v>4658182</v>
      </c>
      <c r="E65" s="60">
        <v>4658182</v>
      </c>
    </row>
    <row r="66" spans="1:5" ht="15.75" thickBot="1" x14ac:dyDescent="0.3">
      <c r="A66" s="237" t="s">
        <v>32</v>
      </c>
      <c r="B66" s="191">
        <v>0</v>
      </c>
      <c r="C66" s="60">
        <v>0</v>
      </c>
      <c r="D66" s="60">
        <v>0</v>
      </c>
      <c r="E66" s="60">
        <v>0</v>
      </c>
    </row>
    <row r="67" spans="1:5" ht="24.75" thickBot="1" x14ac:dyDescent="0.3">
      <c r="A67" s="237" t="s">
        <v>34</v>
      </c>
      <c r="B67" s="191">
        <v>0</v>
      </c>
      <c r="C67" s="60">
        <v>0</v>
      </c>
      <c r="D67" s="60">
        <v>0</v>
      </c>
      <c r="E67" s="60">
        <v>0</v>
      </c>
    </row>
    <row r="68" spans="1:5" ht="15.75" thickBot="1" x14ac:dyDescent="0.3">
      <c r="A68" s="237" t="s">
        <v>36</v>
      </c>
      <c r="B68" s="191">
        <v>2920000</v>
      </c>
      <c r="C68" s="60">
        <v>2654545</v>
      </c>
      <c r="D68" s="60">
        <v>2654545</v>
      </c>
      <c r="E68" s="60">
        <v>2654545</v>
      </c>
    </row>
    <row r="69" spans="1:5" ht="24.75" thickBot="1" x14ac:dyDescent="0.3">
      <c r="A69" s="237" t="s">
        <v>38</v>
      </c>
      <c r="B69" s="191">
        <v>0</v>
      </c>
      <c r="C69" s="60">
        <v>574880</v>
      </c>
      <c r="D69" s="60">
        <v>0</v>
      </c>
      <c r="E69" s="60">
        <v>0</v>
      </c>
    </row>
    <row r="70" spans="1:5" ht="24.75" thickBot="1" x14ac:dyDescent="0.3">
      <c r="A70" s="367" t="s">
        <v>1652</v>
      </c>
      <c r="B70" s="191">
        <f>B69+B68+B67+B66+B65+B64+B63</f>
        <v>16595867</v>
      </c>
      <c r="C70" s="191">
        <f>C69+C68+C67+C66+C65+C64+C63</f>
        <v>18261842</v>
      </c>
      <c r="D70" s="191">
        <f>D69+D68+D67+D66+D65+D64+D63</f>
        <v>17686962</v>
      </c>
      <c r="E70" s="191">
        <f>E69+E68+E67+E66+E65+E64+E63</f>
        <v>17686962</v>
      </c>
    </row>
    <row r="71" spans="1:5" ht="17.25" customHeight="1" thickBot="1" x14ac:dyDescent="0.3">
      <c r="A71" s="315" t="s">
        <v>41</v>
      </c>
      <c r="B71" s="238">
        <f>IF(B70-B55=0,0,"Error")</f>
        <v>0</v>
      </c>
      <c r="C71" s="238">
        <f>IF(C70-C55=0,0,"Error")</f>
        <v>0</v>
      </c>
      <c r="D71" s="238">
        <f>IF(D70-D55=0,0,"Error")</f>
        <v>0</v>
      </c>
      <c r="E71" s="238">
        <f>IF(E70-E55=0,0,"Error")</f>
        <v>0</v>
      </c>
    </row>
    <row r="72" spans="1:5" ht="15.75" thickBot="1" x14ac:dyDescent="0.3">
      <c r="A72" s="2599" t="s">
        <v>44</v>
      </c>
      <c r="B72" s="1248" t="s">
        <v>1656</v>
      </c>
      <c r="C72" s="1249"/>
      <c r="D72" s="1249"/>
      <c r="E72" s="1316"/>
    </row>
    <row r="73" spans="1:5" ht="15.75" thickBot="1" x14ac:dyDescent="0.3">
      <c r="A73" s="5" t="s">
        <v>17</v>
      </c>
      <c r="B73" s="1245" t="s">
        <v>1657</v>
      </c>
      <c r="C73" s="1246"/>
      <c r="D73" s="1246"/>
      <c r="E73" s="1298"/>
    </row>
    <row r="74" spans="1:5" ht="15.75" thickBot="1" x14ac:dyDescent="0.3">
      <c r="A74" s="5" t="s">
        <v>18</v>
      </c>
      <c r="B74" s="1248" t="s">
        <v>1658</v>
      </c>
      <c r="C74" s="1249"/>
      <c r="D74" s="1249"/>
      <c r="E74" s="1316"/>
    </row>
    <row r="75" spans="1:5" ht="15.75" thickBot="1" x14ac:dyDescent="0.3">
      <c r="A75" s="5" t="s">
        <v>19</v>
      </c>
      <c r="B75" s="10">
        <v>5</v>
      </c>
      <c r="C75" s="10">
        <v>5</v>
      </c>
      <c r="D75" s="10">
        <v>5</v>
      </c>
      <c r="E75" s="10">
        <v>5</v>
      </c>
    </row>
    <row r="76" spans="1:5" ht="12.75" customHeight="1" x14ac:dyDescent="0.25">
      <c r="A76" s="1250"/>
      <c r="B76" s="8">
        <v>2018</v>
      </c>
      <c r="C76" s="8">
        <v>2019</v>
      </c>
      <c r="D76" s="8">
        <v>2020</v>
      </c>
      <c r="E76" s="8">
        <v>2021</v>
      </c>
    </row>
    <row r="77" spans="1:5" ht="9" customHeight="1" thickBot="1" x14ac:dyDescent="0.3">
      <c r="A77" s="1251"/>
      <c r="B77" s="9" t="s">
        <v>10</v>
      </c>
      <c r="C77" s="9" t="s">
        <v>11</v>
      </c>
      <c r="D77" s="9" t="s">
        <v>11</v>
      </c>
      <c r="E77" s="9" t="s">
        <v>11</v>
      </c>
    </row>
    <row r="78" spans="1:5" ht="15.75" thickBot="1" x14ac:dyDescent="0.3">
      <c r="A78" s="5" t="s">
        <v>20</v>
      </c>
      <c r="B78" s="10">
        <v>8297933</v>
      </c>
      <c r="C78" s="10">
        <v>11413652</v>
      </c>
      <c r="D78" s="10">
        <v>11054352</v>
      </c>
      <c r="E78" s="10">
        <v>11054352</v>
      </c>
    </row>
    <row r="79" spans="1:5" ht="15.75" thickBot="1" x14ac:dyDescent="0.3">
      <c r="A79" s="5" t="s">
        <v>21</v>
      </c>
      <c r="B79" s="10">
        <f>B78/B75</f>
        <v>1659586.6</v>
      </c>
      <c r="C79" s="10">
        <f>C78/C75</f>
        <v>2282730.4</v>
      </c>
      <c r="D79" s="10">
        <f>D78/D75</f>
        <v>2210870.4</v>
      </c>
      <c r="E79" s="10">
        <f>E78/E75</f>
        <v>2210870.4</v>
      </c>
    </row>
    <row r="80" spans="1:5" ht="15.75" thickBot="1" x14ac:dyDescent="0.3">
      <c r="A80" s="5" t="s">
        <v>22</v>
      </c>
      <c r="B80" s="1076"/>
      <c r="C80" s="11">
        <f>C75/B75-1</f>
        <v>0</v>
      </c>
      <c r="D80" s="11">
        <f>D75/C75-1</f>
        <v>0</v>
      </c>
      <c r="E80" s="11">
        <f>E75/D75-1</f>
        <v>0</v>
      </c>
    </row>
    <row r="81" spans="1:5" ht="15.75" thickBot="1" x14ac:dyDescent="0.3">
      <c r="A81" s="5" t="s">
        <v>24</v>
      </c>
      <c r="B81" s="1076"/>
      <c r="C81" s="11">
        <f>C78/B78-1</f>
        <v>0.37548133975051368</v>
      </c>
      <c r="D81" s="11">
        <f t="shared" ref="D81:E82" si="4">D78/C78-1</f>
        <v>-3.1479845364130621E-2</v>
      </c>
      <c r="E81" s="11">
        <f t="shared" si="4"/>
        <v>0</v>
      </c>
    </row>
    <row r="82" spans="1:5" ht="23.25" thickBot="1" x14ac:dyDescent="0.3">
      <c r="A82" s="5" t="s">
        <v>25</v>
      </c>
      <c r="B82" s="1076"/>
      <c r="C82" s="11">
        <f>C79/B79-1</f>
        <v>0.37548133975051368</v>
      </c>
      <c r="D82" s="11">
        <f t="shared" si="4"/>
        <v>-3.1479845364130621E-2</v>
      </c>
      <c r="E82" s="11">
        <f t="shared" si="4"/>
        <v>0</v>
      </c>
    </row>
    <row r="83" spans="1:5" ht="24.75" customHeight="1" thickBot="1" x14ac:dyDescent="0.3">
      <c r="A83" s="1278" t="s">
        <v>1408</v>
      </c>
      <c r="B83" s="1279"/>
      <c r="C83" s="1279"/>
      <c r="D83" s="1279"/>
      <c r="E83" s="1355"/>
    </row>
    <row r="84" spans="1:5" ht="12.75" customHeight="1" x14ac:dyDescent="0.25">
      <c r="A84" s="1250"/>
      <c r="B84" s="8">
        <v>2018</v>
      </c>
      <c r="C84" s="8">
        <v>2019</v>
      </c>
      <c r="D84" s="8">
        <v>2020</v>
      </c>
      <c r="E84" s="8">
        <v>2021</v>
      </c>
    </row>
    <row r="85" spans="1:5" ht="9" customHeight="1" thickBot="1" x14ac:dyDescent="0.3">
      <c r="A85" s="1251"/>
      <c r="B85" s="9" t="s">
        <v>10</v>
      </c>
      <c r="C85" s="9" t="s">
        <v>11</v>
      </c>
      <c r="D85" s="9" t="s">
        <v>11</v>
      </c>
      <c r="E85" s="9" t="s">
        <v>11</v>
      </c>
    </row>
    <row r="86" spans="1:5" ht="24.75" customHeight="1" thickBot="1" x14ac:dyDescent="0.3">
      <c r="A86" s="237" t="s">
        <v>26</v>
      </c>
      <c r="B86" s="60">
        <v>3666667</v>
      </c>
      <c r="C86" s="60">
        <v>5581709</v>
      </c>
      <c r="D86" s="60">
        <v>5581709</v>
      </c>
      <c r="E86" s="60">
        <v>5581709</v>
      </c>
    </row>
    <row r="87" spans="1:5" ht="24.75" customHeight="1" thickBot="1" x14ac:dyDescent="0.3">
      <c r="A87" s="237" t="s">
        <v>28</v>
      </c>
      <c r="B87" s="60">
        <v>596733</v>
      </c>
      <c r="C87" s="60">
        <v>902188</v>
      </c>
      <c r="D87" s="60">
        <v>902188</v>
      </c>
      <c r="E87" s="60">
        <v>902188</v>
      </c>
    </row>
    <row r="88" spans="1:5" ht="24.75" customHeight="1" thickBot="1" x14ac:dyDescent="0.3">
      <c r="A88" s="237" t="s">
        <v>30</v>
      </c>
      <c r="B88" s="191">
        <v>2574533</v>
      </c>
      <c r="C88" s="60">
        <v>2911364</v>
      </c>
      <c r="D88" s="60">
        <v>2911364</v>
      </c>
      <c r="E88" s="60">
        <v>2911364</v>
      </c>
    </row>
    <row r="89" spans="1:5" ht="15.75" thickBot="1" x14ac:dyDescent="0.3">
      <c r="A89" s="237" t="s">
        <v>32</v>
      </c>
      <c r="B89" s="191">
        <v>0</v>
      </c>
      <c r="C89" s="60">
        <v>0</v>
      </c>
      <c r="D89" s="60">
        <v>0</v>
      </c>
      <c r="E89" s="60">
        <v>0</v>
      </c>
    </row>
    <row r="90" spans="1:5" ht="24.75" thickBot="1" x14ac:dyDescent="0.3">
      <c r="A90" s="237" t="s">
        <v>34</v>
      </c>
      <c r="B90" s="191">
        <v>0</v>
      </c>
      <c r="C90" s="60">
        <v>0</v>
      </c>
      <c r="D90" s="60">
        <v>0</v>
      </c>
      <c r="E90" s="60">
        <v>0</v>
      </c>
    </row>
    <row r="91" spans="1:5" ht="15.75" thickBot="1" x14ac:dyDescent="0.3">
      <c r="A91" s="237" t="s">
        <v>36</v>
      </c>
      <c r="B91" s="191">
        <v>1460000</v>
      </c>
      <c r="C91" s="60">
        <v>1659091</v>
      </c>
      <c r="D91" s="60">
        <v>1659091</v>
      </c>
      <c r="E91" s="60">
        <v>1659091</v>
      </c>
    </row>
    <row r="92" spans="1:5" ht="24.75" thickBot="1" x14ac:dyDescent="0.3">
      <c r="A92" s="237" t="s">
        <v>38</v>
      </c>
      <c r="B92" s="191">
        <v>0</v>
      </c>
      <c r="C92" s="60">
        <v>359300</v>
      </c>
      <c r="D92" s="60">
        <v>0</v>
      </c>
      <c r="E92" s="60">
        <v>0</v>
      </c>
    </row>
    <row r="93" spans="1:5" ht="24.75" thickBot="1" x14ac:dyDescent="0.3">
      <c r="A93" s="367" t="s">
        <v>1652</v>
      </c>
      <c r="B93" s="191">
        <f>B92+B91+B90+B89+B88+B87+B86</f>
        <v>8297933</v>
      </c>
      <c r="C93" s="191">
        <f>C92+C91+C90+C89+C88+C87+C86</f>
        <v>11413652</v>
      </c>
      <c r="D93" s="191">
        <f t="shared" ref="D93:E93" si="5">D92+D91+D90+D89+D88+D87+D86</f>
        <v>11054352</v>
      </c>
      <c r="E93" s="191">
        <f t="shared" si="5"/>
        <v>11054352</v>
      </c>
    </row>
    <row r="94" spans="1:5" ht="17.25" customHeight="1" thickBot="1" x14ac:dyDescent="0.3">
      <c r="A94" s="315" t="s">
        <v>41</v>
      </c>
      <c r="B94" s="238">
        <f>IF(B93-B78=0,0,"Error")</f>
        <v>0</v>
      </c>
      <c r="C94" s="238">
        <f>IF(C93-C78=0,0,"Error")</f>
        <v>0</v>
      </c>
      <c r="D94" s="238">
        <f>IF(D93-D78=0,0,"Error")</f>
        <v>0</v>
      </c>
      <c r="E94" s="238">
        <f>IF(E93-E78=0,0,"Error")</f>
        <v>0</v>
      </c>
    </row>
    <row r="95" spans="1:5" ht="23.25" customHeight="1" thickBot="1" x14ac:dyDescent="0.3">
      <c r="A95" s="1278" t="s">
        <v>69</v>
      </c>
      <c r="B95" s="1279"/>
      <c r="C95" s="1279"/>
      <c r="D95" s="1279"/>
      <c r="E95" s="1355"/>
    </row>
    <row r="96" spans="1:5" ht="23.25" customHeight="1" thickBot="1" x14ac:dyDescent="0.3">
      <c r="A96" s="2600" t="s">
        <v>70</v>
      </c>
      <c r="B96" s="2601"/>
      <c r="C96" s="2601"/>
      <c r="D96" s="2601"/>
      <c r="E96" s="2602"/>
    </row>
    <row r="97" spans="1:5" ht="12.75" customHeight="1" x14ac:dyDescent="0.25">
      <c r="A97" s="1250"/>
      <c r="B97" s="8">
        <v>2018</v>
      </c>
      <c r="C97" s="8">
        <v>2019</v>
      </c>
      <c r="D97" s="8">
        <v>2020</v>
      </c>
      <c r="E97" s="8">
        <v>2021</v>
      </c>
    </row>
    <row r="98" spans="1:5" ht="9" customHeight="1" thickBot="1" x14ac:dyDescent="0.3">
      <c r="A98" s="1251"/>
      <c r="B98" s="9" t="s">
        <v>10</v>
      </c>
      <c r="C98" s="9" t="s">
        <v>11</v>
      </c>
      <c r="D98" s="9" t="s">
        <v>11</v>
      </c>
      <c r="E98" s="9" t="s">
        <v>11</v>
      </c>
    </row>
    <row r="99" spans="1:5" ht="26.25" customHeight="1" thickBot="1" x14ac:dyDescent="0.3">
      <c r="A99" s="247" t="s">
        <v>16</v>
      </c>
      <c r="B99" s="1248" t="s">
        <v>1659</v>
      </c>
      <c r="C99" s="1249"/>
      <c r="D99" s="1249"/>
      <c r="E99" s="1316"/>
    </row>
    <row r="100" spans="1:5" ht="16.5" customHeight="1" thickBot="1" x14ac:dyDescent="0.3">
      <c r="A100" s="5" t="s">
        <v>17</v>
      </c>
      <c r="B100" s="1245" t="s">
        <v>1660</v>
      </c>
      <c r="C100" s="1246"/>
      <c r="D100" s="1246"/>
      <c r="E100" s="1298"/>
    </row>
    <row r="101" spans="1:5" ht="15.75" customHeight="1" thickBot="1" x14ac:dyDescent="0.3">
      <c r="A101" s="5" t="s">
        <v>18</v>
      </c>
      <c r="B101" s="1248" t="s">
        <v>1655</v>
      </c>
      <c r="C101" s="1249"/>
      <c r="D101" s="1249"/>
      <c r="E101" s="1316"/>
    </row>
    <row r="102" spans="1:5" ht="12.75" customHeight="1" x14ac:dyDescent="0.25">
      <c r="A102" s="1250"/>
      <c r="B102" s="8">
        <v>2018</v>
      </c>
      <c r="C102" s="8">
        <v>2019</v>
      </c>
      <c r="D102" s="8">
        <v>2020</v>
      </c>
      <c r="E102" s="8">
        <v>2021</v>
      </c>
    </row>
    <row r="103" spans="1:5" ht="9" customHeight="1" thickBot="1" x14ac:dyDescent="0.3">
      <c r="A103" s="1251"/>
      <c r="B103" s="9" t="s">
        <v>10</v>
      </c>
      <c r="C103" s="9" t="s">
        <v>11</v>
      </c>
      <c r="D103" s="9" t="s">
        <v>11</v>
      </c>
      <c r="E103" s="9" t="s">
        <v>11</v>
      </c>
    </row>
    <row r="104" spans="1:5" ht="15.75" customHeight="1" thickBot="1" x14ac:dyDescent="0.3">
      <c r="A104" s="5" t="s">
        <v>19</v>
      </c>
      <c r="B104" s="10">
        <v>12</v>
      </c>
      <c r="C104" s="60">
        <v>12</v>
      </c>
      <c r="D104" s="60">
        <v>12</v>
      </c>
      <c r="E104" s="60">
        <v>12</v>
      </c>
    </row>
    <row r="105" spans="1:5" ht="15.75" thickBot="1" x14ac:dyDescent="0.3">
      <c r="A105" s="5" t="s">
        <v>20</v>
      </c>
      <c r="B105" s="10">
        <v>12446900</v>
      </c>
      <c r="C105" s="10">
        <v>13696381</v>
      </c>
      <c r="D105" s="10">
        <v>13265221</v>
      </c>
      <c r="E105" s="10">
        <v>13265221</v>
      </c>
    </row>
    <row r="106" spans="1:5" ht="15.75" thickBot="1" x14ac:dyDescent="0.3">
      <c r="A106" s="5" t="s">
        <v>21</v>
      </c>
      <c r="B106" s="10">
        <f>B105/B104</f>
        <v>1037241.6666666666</v>
      </c>
      <c r="C106" s="10">
        <f t="shared" ref="C106:E106" si="6">C105/C104</f>
        <v>1141365.0833333333</v>
      </c>
      <c r="D106" s="10">
        <f t="shared" si="6"/>
        <v>1105435.0833333333</v>
      </c>
      <c r="E106" s="10">
        <f t="shared" si="6"/>
        <v>1105435.0833333333</v>
      </c>
    </row>
    <row r="107" spans="1:5" ht="15.75" thickBot="1" x14ac:dyDescent="0.3">
      <c r="A107" s="5" t="s">
        <v>22</v>
      </c>
      <c r="B107" s="1076"/>
      <c r="C107" s="11">
        <f>C104/B104-1</f>
        <v>0</v>
      </c>
      <c r="D107" s="11">
        <f t="shared" ref="D107:E109" si="7">D104/C104-1</f>
        <v>0</v>
      </c>
      <c r="E107" s="11">
        <f t="shared" si="7"/>
        <v>0</v>
      </c>
    </row>
    <row r="108" spans="1:5" ht="15.75" thickBot="1" x14ac:dyDescent="0.3">
      <c r="A108" s="5" t="s">
        <v>24</v>
      </c>
      <c r="B108" s="1076"/>
      <c r="C108" s="11">
        <f>C105/B105-1</f>
        <v>0.10038491511942738</v>
      </c>
      <c r="D108" s="11">
        <f t="shared" si="7"/>
        <v>-3.1479848581899117E-2</v>
      </c>
      <c r="E108" s="11">
        <f t="shared" si="7"/>
        <v>0</v>
      </c>
    </row>
    <row r="109" spans="1:5" ht="23.25" thickBot="1" x14ac:dyDescent="0.3">
      <c r="A109" s="5" t="s">
        <v>25</v>
      </c>
      <c r="B109" s="1076"/>
      <c r="C109" s="11">
        <f>C106/B106-1</f>
        <v>0.10038491511942738</v>
      </c>
      <c r="D109" s="11">
        <f t="shared" si="7"/>
        <v>-3.1479848581899117E-2</v>
      </c>
      <c r="E109" s="11">
        <f t="shared" si="7"/>
        <v>0</v>
      </c>
    </row>
    <row r="110" spans="1:5" ht="12.75" customHeight="1" x14ac:dyDescent="0.25">
      <c r="A110" s="1250"/>
      <c r="B110" s="8">
        <v>2018</v>
      </c>
      <c r="C110" s="8">
        <v>2019</v>
      </c>
      <c r="D110" s="8">
        <v>2020</v>
      </c>
      <c r="E110" s="8">
        <v>2021</v>
      </c>
    </row>
    <row r="111" spans="1:5" ht="9" customHeight="1" thickBot="1" x14ac:dyDescent="0.3">
      <c r="A111" s="1251"/>
      <c r="B111" s="9" t="s">
        <v>10</v>
      </c>
      <c r="C111" s="9" t="s">
        <v>11</v>
      </c>
      <c r="D111" s="9" t="s">
        <v>11</v>
      </c>
      <c r="E111" s="9" t="s">
        <v>11</v>
      </c>
    </row>
    <row r="112" spans="1:5" ht="15.75" thickBot="1" x14ac:dyDescent="0.3">
      <c r="A112" s="1278" t="s">
        <v>636</v>
      </c>
      <c r="B112" s="1279"/>
      <c r="C112" s="1279"/>
      <c r="D112" s="1279"/>
      <c r="E112" s="1355"/>
    </row>
    <row r="113" spans="1:5" ht="12.75" customHeight="1" x14ac:dyDescent="0.25">
      <c r="A113" s="1250"/>
      <c r="B113" s="8">
        <v>2018</v>
      </c>
      <c r="C113" s="8">
        <v>2019</v>
      </c>
      <c r="D113" s="8">
        <v>2020</v>
      </c>
      <c r="E113" s="8">
        <v>2021</v>
      </c>
    </row>
    <row r="114" spans="1:5" ht="9" customHeight="1" thickBot="1" x14ac:dyDescent="0.3">
      <c r="A114" s="1251"/>
      <c r="B114" s="9" t="s">
        <v>10</v>
      </c>
      <c r="C114" s="9" t="s">
        <v>11</v>
      </c>
      <c r="D114" s="9" t="s">
        <v>11</v>
      </c>
      <c r="E114" s="9" t="s">
        <v>11</v>
      </c>
    </row>
    <row r="115" spans="1:5" ht="15.75" thickBot="1" x14ac:dyDescent="0.3">
      <c r="A115" s="237" t="s">
        <v>26</v>
      </c>
      <c r="B115" s="60">
        <v>5500000</v>
      </c>
      <c r="C115" s="60">
        <v>6698051</v>
      </c>
      <c r="D115" s="60">
        <v>6698051</v>
      </c>
      <c r="E115" s="60">
        <v>6698051</v>
      </c>
    </row>
    <row r="116" spans="1:5" ht="24.75" thickBot="1" x14ac:dyDescent="0.3">
      <c r="A116" s="237" t="s">
        <v>28</v>
      </c>
      <c r="B116" s="60">
        <v>895100</v>
      </c>
      <c r="C116" s="60">
        <v>1082625</v>
      </c>
      <c r="D116" s="60">
        <v>1082625</v>
      </c>
      <c r="E116" s="60">
        <v>1082625</v>
      </c>
    </row>
    <row r="117" spans="1:5" ht="15.75" thickBot="1" x14ac:dyDescent="0.3">
      <c r="A117" s="237" t="s">
        <v>30</v>
      </c>
      <c r="B117" s="191">
        <v>3861800</v>
      </c>
      <c r="C117" s="60">
        <v>3493636</v>
      </c>
      <c r="D117" s="60">
        <v>3493636</v>
      </c>
      <c r="E117" s="60">
        <v>3493636</v>
      </c>
    </row>
    <row r="118" spans="1:5" ht="15.75" thickBot="1" x14ac:dyDescent="0.3">
      <c r="A118" s="237" t="s">
        <v>32</v>
      </c>
      <c r="B118" s="191">
        <v>0</v>
      </c>
      <c r="C118" s="60">
        <v>0</v>
      </c>
      <c r="D118" s="60">
        <v>0</v>
      </c>
      <c r="E118" s="60">
        <v>0</v>
      </c>
    </row>
    <row r="119" spans="1:5" ht="24.75" thickBot="1" x14ac:dyDescent="0.3">
      <c r="A119" s="237" t="s">
        <v>34</v>
      </c>
      <c r="B119" s="191">
        <v>0</v>
      </c>
      <c r="C119" s="60">
        <v>0</v>
      </c>
      <c r="D119" s="60">
        <v>0</v>
      </c>
      <c r="E119" s="60">
        <v>0</v>
      </c>
    </row>
    <row r="120" spans="1:5" ht="15.75" thickBot="1" x14ac:dyDescent="0.3">
      <c r="A120" s="237" t="s">
        <v>36</v>
      </c>
      <c r="B120" s="191">
        <v>2190000</v>
      </c>
      <c r="C120" s="60">
        <v>1990909</v>
      </c>
      <c r="D120" s="60">
        <v>1990909</v>
      </c>
      <c r="E120" s="60">
        <v>1990909</v>
      </c>
    </row>
    <row r="121" spans="1:5" ht="24.75" thickBot="1" x14ac:dyDescent="0.3">
      <c r="A121" s="237" t="s">
        <v>38</v>
      </c>
      <c r="B121" s="191">
        <v>0</v>
      </c>
      <c r="C121" s="60">
        <v>431160</v>
      </c>
      <c r="D121" s="60">
        <v>0</v>
      </c>
      <c r="E121" s="60">
        <v>0</v>
      </c>
    </row>
    <row r="122" spans="1:5" ht="24.75" thickBot="1" x14ac:dyDescent="0.3">
      <c r="A122" s="367" t="s">
        <v>1652</v>
      </c>
      <c r="B122" s="238">
        <f>B121+B120+B119+B118+B117+B116+B115</f>
        <v>12446900</v>
      </c>
      <c r="C122" s="238">
        <f>C121+C120+C119+C118+C117+C116+C115</f>
        <v>13696381</v>
      </c>
      <c r="D122" s="238">
        <f>D121+D120+D119+D118+D117+D116+D115</f>
        <v>13265221</v>
      </c>
      <c r="E122" s="238">
        <f>E121+E120+E119+E118+E117+E116+E115</f>
        <v>13265221</v>
      </c>
    </row>
    <row r="123" spans="1:5" ht="15.75" thickBot="1" x14ac:dyDescent="0.3">
      <c r="A123" s="315" t="s">
        <v>41</v>
      </c>
      <c r="B123" s="238">
        <f>IF(B122-B105=0,0,"Error")</f>
        <v>0</v>
      </c>
      <c r="C123" s="238">
        <f>IF(C122-C105=0,0,"Error")</f>
        <v>0</v>
      </c>
      <c r="D123" s="238">
        <f>IF(D122-D105=0,0,"Error")</f>
        <v>0</v>
      </c>
      <c r="E123" s="238">
        <f>IF(E122-E105=0,0,"Error")</f>
        <v>0</v>
      </c>
    </row>
    <row r="124" spans="1:5" ht="23.25" customHeight="1" thickBot="1" x14ac:dyDescent="0.3">
      <c r="A124" s="1278" t="s">
        <v>77</v>
      </c>
      <c r="B124" s="1279"/>
      <c r="C124" s="1279"/>
      <c r="D124" s="1279"/>
      <c r="E124" s="1355"/>
    </row>
    <row r="125" spans="1:5" ht="23.25" customHeight="1" thickBot="1" x14ac:dyDescent="0.3">
      <c r="A125" s="2600" t="s">
        <v>70</v>
      </c>
      <c r="B125" s="2601"/>
      <c r="C125" s="2601"/>
      <c r="D125" s="2601"/>
      <c r="E125" s="2602"/>
    </row>
    <row r="126" spans="1:5" ht="12.75" customHeight="1" x14ac:dyDescent="0.25">
      <c r="A126" s="1250"/>
      <c r="B126" s="8">
        <v>2018</v>
      </c>
      <c r="C126" s="8">
        <v>2019</v>
      </c>
      <c r="D126" s="8">
        <v>2020</v>
      </c>
      <c r="E126" s="8">
        <v>2021</v>
      </c>
    </row>
    <row r="127" spans="1:5" ht="9" customHeight="1" thickBot="1" x14ac:dyDescent="0.3">
      <c r="A127" s="1251"/>
      <c r="B127" s="9" t="s">
        <v>10</v>
      </c>
      <c r="C127" s="9" t="s">
        <v>11</v>
      </c>
      <c r="D127" s="9" t="s">
        <v>11</v>
      </c>
      <c r="E127" s="9" t="s">
        <v>11</v>
      </c>
    </row>
    <row r="128" spans="1:5" ht="26.25" customHeight="1" thickBot="1" x14ac:dyDescent="0.3">
      <c r="A128" s="247" t="s">
        <v>16</v>
      </c>
      <c r="B128" s="1248" t="s">
        <v>1661</v>
      </c>
      <c r="C128" s="1249"/>
      <c r="D128" s="1249"/>
      <c r="E128" s="1316"/>
    </row>
    <row r="129" spans="1:5" ht="16.5" customHeight="1" thickBot="1" x14ac:dyDescent="0.3">
      <c r="A129" s="5" t="s">
        <v>17</v>
      </c>
      <c r="B129" s="1245" t="s">
        <v>1662</v>
      </c>
      <c r="C129" s="1246"/>
      <c r="D129" s="1246"/>
      <c r="E129" s="1298"/>
    </row>
    <row r="130" spans="1:5" ht="15.75" customHeight="1" thickBot="1" x14ac:dyDescent="0.3">
      <c r="A130" s="5" t="s">
        <v>18</v>
      </c>
      <c r="B130" s="1248" t="s">
        <v>1658</v>
      </c>
      <c r="C130" s="1249"/>
      <c r="D130" s="1249"/>
      <c r="E130" s="1316"/>
    </row>
    <row r="131" spans="1:5" ht="12.75" customHeight="1" x14ac:dyDescent="0.25">
      <c r="A131" s="1250"/>
      <c r="B131" s="8">
        <v>2018</v>
      </c>
      <c r="C131" s="8">
        <v>2019</v>
      </c>
      <c r="D131" s="8">
        <v>2020</v>
      </c>
      <c r="E131" s="8">
        <v>2021</v>
      </c>
    </row>
    <row r="132" spans="1:5" ht="9" customHeight="1" thickBot="1" x14ac:dyDescent="0.3">
      <c r="A132" s="1251"/>
      <c r="B132" s="9" t="s">
        <v>10</v>
      </c>
      <c r="C132" s="9" t="s">
        <v>11</v>
      </c>
      <c r="D132" s="9" t="s">
        <v>11</v>
      </c>
      <c r="E132" s="9" t="s">
        <v>11</v>
      </c>
    </row>
    <row r="133" spans="1:5" ht="15.75" customHeight="1" thickBot="1" x14ac:dyDescent="0.3">
      <c r="A133" s="5" t="s">
        <v>19</v>
      </c>
      <c r="B133" s="10">
        <v>10</v>
      </c>
      <c r="C133" s="60">
        <v>15</v>
      </c>
      <c r="D133" s="60">
        <v>15</v>
      </c>
      <c r="E133" s="60">
        <v>15</v>
      </c>
    </row>
    <row r="134" spans="1:5" ht="15.75" thickBot="1" x14ac:dyDescent="0.3">
      <c r="A134" s="5" t="s">
        <v>20</v>
      </c>
      <c r="B134" s="10">
        <v>6223450</v>
      </c>
      <c r="C134" s="10">
        <v>6848191</v>
      </c>
      <c r="D134" s="10">
        <v>6632611</v>
      </c>
      <c r="E134" s="10">
        <v>6632611</v>
      </c>
    </row>
    <row r="135" spans="1:5" ht="15.75" thickBot="1" x14ac:dyDescent="0.3">
      <c r="A135" s="5" t="s">
        <v>21</v>
      </c>
      <c r="B135" s="10">
        <f>B134/B133</f>
        <v>622345</v>
      </c>
      <c r="C135" s="10">
        <f t="shared" ref="C135:E135" si="8">C134/C133</f>
        <v>456546.06666666665</v>
      </c>
      <c r="D135" s="10">
        <f t="shared" si="8"/>
        <v>442174.06666666665</v>
      </c>
      <c r="E135" s="10">
        <f t="shared" si="8"/>
        <v>442174.06666666665</v>
      </c>
    </row>
    <row r="136" spans="1:5" ht="15.75" thickBot="1" x14ac:dyDescent="0.3">
      <c r="A136" s="5" t="s">
        <v>22</v>
      </c>
      <c r="B136" s="1076"/>
      <c r="C136" s="11">
        <f>C133/B133-1</f>
        <v>0.5</v>
      </c>
      <c r="D136" s="11">
        <f t="shared" ref="D136:E138" si="9">D133/C133-1</f>
        <v>0</v>
      </c>
      <c r="E136" s="11">
        <f t="shared" si="9"/>
        <v>0</v>
      </c>
    </row>
    <row r="137" spans="1:5" ht="15.75" thickBot="1" x14ac:dyDescent="0.3">
      <c r="A137" s="5" t="s">
        <v>24</v>
      </c>
      <c r="B137" s="1076"/>
      <c r="C137" s="11">
        <f>C134/B134-1</f>
        <v>0.10038499546071722</v>
      </c>
      <c r="D137" s="11">
        <f t="shared" si="9"/>
        <v>-3.1479846283492985E-2</v>
      </c>
      <c r="E137" s="11">
        <f t="shared" si="9"/>
        <v>0</v>
      </c>
    </row>
    <row r="138" spans="1:5" ht="23.25" thickBot="1" x14ac:dyDescent="0.3">
      <c r="A138" s="5" t="s">
        <v>25</v>
      </c>
      <c r="B138" s="1076"/>
      <c r="C138" s="11">
        <f>C135/B135-1</f>
        <v>-0.26641000302618856</v>
      </c>
      <c r="D138" s="11">
        <f t="shared" si="9"/>
        <v>-3.1479846283492985E-2</v>
      </c>
      <c r="E138" s="11">
        <f t="shared" si="9"/>
        <v>0</v>
      </c>
    </row>
    <row r="139" spans="1:5" ht="12.75" customHeight="1" x14ac:dyDescent="0.25">
      <c r="A139" s="1250"/>
      <c r="B139" s="8">
        <v>2018</v>
      </c>
      <c r="C139" s="8">
        <v>2019</v>
      </c>
      <c r="D139" s="8">
        <v>2020</v>
      </c>
      <c r="E139" s="8">
        <v>2021</v>
      </c>
    </row>
    <row r="140" spans="1:5" ht="9" customHeight="1" thickBot="1" x14ac:dyDescent="0.3">
      <c r="A140" s="1251"/>
      <c r="B140" s="9" t="s">
        <v>10</v>
      </c>
      <c r="C140" s="9" t="s">
        <v>11</v>
      </c>
      <c r="D140" s="9" t="s">
        <v>11</v>
      </c>
      <c r="E140" s="9" t="s">
        <v>11</v>
      </c>
    </row>
    <row r="141" spans="1:5" ht="15.75" thickBot="1" x14ac:dyDescent="0.3">
      <c r="A141" s="1278" t="s">
        <v>636</v>
      </c>
      <c r="B141" s="1279"/>
      <c r="C141" s="1279"/>
      <c r="D141" s="1279"/>
      <c r="E141" s="1355"/>
    </row>
    <row r="142" spans="1:5" ht="12.75" customHeight="1" x14ac:dyDescent="0.25">
      <c r="A142" s="1250"/>
      <c r="B142" s="8">
        <v>2018</v>
      </c>
      <c r="C142" s="8">
        <v>2019</v>
      </c>
      <c r="D142" s="8">
        <v>2020</v>
      </c>
      <c r="E142" s="8">
        <v>2021</v>
      </c>
    </row>
    <row r="143" spans="1:5" ht="9" customHeight="1" thickBot="1" x14ac:dyDescent="0.3">
      <c r="A143" s="1251"/>
      <c r="B143" s="9" t="s">
        <v>10</v>
      </c>
      <c r="C143" s="9" t="s">
        <v>11</v>
      </c>
      <c r="D143" s="9" t="s">
        <v>11</v>
      </c>
      <c r="E143" s="9" t="s">
        <v>11</v>
      </c>
    </row>
    <row r="144" spans="1:5" ht="15.75" thickBot="1" x14ac:dyDescent="0.3">
      <c r="A144" s="237" t="s">
        <v>26</v>
      </c>
      <c r="B144" s="60">
        <v>2750000</v>
      </c>
      <c r="C144" s="60">
        <v>3349025</v>
      </c>
      <c r="D144" s="60">
        <v>3349025</v>
      </c>
      <c r="E144" s="60">
        <v>3349025</v>
      </c>
    </row>
    <row r="145" spans="1:5" ht="24.75" thickBot="1" x14ac:dyDescent="0.3">
      <c r="A145" s="237" t="s">
        <v>28</v>
      </c>
      <c r="B145" s="60">
        <v>447550</v>
      </c>
      <c r="C145" s="60">
        <v>541313</v>
      </c>
      <c r="D145" s="60">
        <v>541313</v>
      </c>
      <c r="E145" s="60">
        <v>541313</v>
      </c>
    </row>
    <row r="146" spans="1:5" ht="15.75" thickBot="1" x14ac:dyDescent="0.3">
      <c r="A146" s="237" t="s">
        <v>30</v>
      </c>
      <c r="B146" s="191">
        <v>1930900</v>
      </c>
      <c r="C146" s="60">
        <v>1746818</v>
      </c>
      <c r="D146" s="60">
        <v>1746818</v>
      </c>
      <c r="E146" s="60">
        <v>1746818</v>
      </c>
    </row>
    <row r="147" spans="1:5" ht="15.75" thickBot="1" x14ac:dyDescent="0.3">
      <c r="A147" s="237" t="s">
        <v>32</v>
      </c>
      <c r="B147" s="191">
        <v>0</v>
      </c>
      <c r="C147" s="60">
        <v>0</v>
      </c>
      <c r="D147" s="60">
        <v>0</v>
      </c>
      <c r="E147" s="60">
        <v>0</v>
      </c>
    </row>
    <row r="148" spans="1:5" ht="24.75" thickBot="1" x14ac:dyDescent="0.3">
      <c r="A148" s="237" t="s">
        <v>34</v>
      </c>
      <c r="B148" s="191">
        <v>0</v>
      </c>
      <c r="C148" s="60">
        <v>0</v>
      </c>
      <c r="D148" s="60">
        <v>0</v>
      </c>
      <c r="E148" s="60">
        <v>0</v>
      </c>
    </row>
    <row r="149" spans="1:5" ht="15.75" thickBot="1" x14ac:dyDescent="0.3">
      <c r="A149" s="237" t="s">
        <v>36</v>
      </c>
      <c r="B149" s="191">
        <v>1095000</v>
      </c>
      <c r="C149" s="60">
        <v>995455</v>
      </c>
      <c r="D149" s="60">
        <v>995455</v>
      </c>
      <c r="E149" s="60">
        <v>995455</v>
      </c>
    </row>
    <row r="150" spans="1:5" ht="24.75" thickBot="1" x14ac:dyDescent="0.3">
      <c r="A150" s="237" t="s">
        <v>38</v>
      </c>
      <c r="B150" s="191">
        <v>0</v>
      </c>
      <c r="C150" s="60">
        <v>215580</v>
      </c>
      <c r="D150" s="60">
        <v>0</v>
      </c>
      <c r="E150" s="60">
        <v>0</v>
      </c>
    </row>
    <row r="151" spans="1:5" ht="24.75" thickBot="1" x14ac:dyDescent="0.3">
      <c r="A151" s="367" t="s">
        <v>1652</v>
      </c>
      <c r="B151" s="238">
        <f>B150+B149+B148+B147+B146+B145+B144</f>
        <v>6223450</v>
      </c>
      <c r="C151" s="238">
        <f>C150+C149+C148+C147+C146+C145+C144</f>
        <v>6848191</v>
      </c>
      <c r="D151" s="238">
        <f>D150+D149+D148+D147+D146+D145+D144</f>
        <v>6632611</v>
      </c>
      <c r="E151" s="238">
        <f>E150+E149+E148+E147+E146+E145+E144</f>
        <v>6632611</v>
      </c>
    </row>
    <row r="152" spans="1:5" ht="15.75" thickBot="1" x14ac:dyDescent="0.3">
      <c r="A152" s="315" t="s">
        <v>41</v>
      </c>
      <c r="B152" s="238">
        <f>IF(B151-B134=0,0,"Error")</f>
        <v>0</v>
      </c>
      <c r="C152" s="238">
        <f>IF(C151-C134=0,0,"Error")</f>
        <v>0</v>
      </c>
      <c r="D152" s="238">
        <f>IF(D151-D134=0,0,"Error")</f>
        <v>0</v>
      </c>
      <c r="E152" s="238">
        <f>IF(E151-E134=0,0,"Error")</f>
        <v>0</v>
      </c>
    </row>
    <row r="153" spans="1:5" ht="15.75" thickBot="1" x14ac:dyDescent="0.3">
      <c r="A153" s="1078" t="s">
        <v>1560</v>
      </c>
      <c r="B153" s="1248" t="s">
        <v>1663</v>
      </c>
      <c r="C153" s="1249"/>
      <c r="D153" s="1249"/>
      <c r="E153" s="1316"/>
    </row>
    <row r="154" spans="1:5" ht="30.75" customHeight="1" thickBot="1" x14ac:dyDescent="0.3">
      <c r="A154" s="5" t="s">
        <v>17</v>
      </c>
      <c r="B154" s="1245" t="s">
        <v>1664</v>
      </c>
      <c r="C154" s="1246"/>
      <c r="D154" s="1246"/>
      <c r="E154" s="1298"/>
    </row>
    <row r="155" spans="1:5" ht="15.75" thickBot="1" x14ac:dyDescent="0.3">
      <c r="A155" s="5" t="s">
        <v>18</v>
      </c>
      <c r="B155" s="1248" t="s">
        <v>1658</v>
      </c>
      <c r="C155" s="1249"/>
      <c r="D155" s="1249"/>
      <c r="E155" s="1316"/>
    </row>
    <row r="156" spans="1:5" ht="12.75" customHeight="1" x14ac:dyDescent="0.25">
      <c r="A156" s="1250"/>
      <c r="B156" s="8">
        <v>2018</v>
      </c>
      <c r="C156" s="8">
        <v>2019</v>
      </c>
      <c r="D156" s="8">
        <v>2020</v>
      </c>
      <c r="E156" s="8">
        <v>2021</v>
      </c>
    </row>
    <row r="157" spans="1:5" ht="9" customHeight="1" thickBot="1" x14ac:dyDescent="0.3">
      <c r="A157" s="1251"/>
      <c r="B157" s="9" t="s">
        <v>10</v>
      </c>
      <c r="C157" s="9" t="s">
        <v>11</v>
      </c>
      <c r="D157" s="9" t="s">
        <v>11</v>
      </c>
      <c r="E157" s="9" t="s">
        <v>11</v>
      </c>
    </row>
    <row r="158" spans="1:5" ht="15.75" thickBot="1" x14ac:dyDescent="0.3">
      <c r="A158" s="5" t="s">
        <v>19</v>
      </c>
      <c r="B158" s="10">
        <v>7</v>
      </c>
      <c r="C158" s="10">
        <v>7</v>
      </c>
      <c r="D158" s="10">
        <v>7</v>
      </c>
      <c r="E158" s="10">
        <v>7</v>
      </c>
    </row>
    <row r="159" spans="1:5" ht="15.75" thickBot="1" x14ac:dyDescent="0.3">
      <c r="A159" s="5" t="s">
        <v>20</v>
      </c>
      <c r="B159" s="10">
        <v>6223450</v>
      </c>
      <c r="C159" s="10">
        <v>6848191</v>
      </c>
      <c r="D159" s="10">
        <v>6632611</v>
      </c>
      <c r="E159" s="10">
        <v>6632611</v>
      </c>
    </row>
    <row r="160" spans="1:5" ht="15.75" thickBot="1" x14ac:dyDescent="0.3">
      <c r="A160" s="5" t="s">
        <v>21</v>
      </c>
      <c r="B160" s="10">
        <f>B159/B158</f>
        <v>889064.28571428568</v>
      </c>
      <c r="C160" s="10">
        <f t="shared" ref="C160:E160" si="10">C159/C158</f>
        <v>978313</v>
      </c>
      <c r="D160" s="10">
        <f t="shared" si="10"/>
        <v>947515.85714285716</v>
      </c>
      <c r="E160" s="10">
        <f t="shared" si="10"/>
        <v>947515.85714285716</v>
      </c>
    </row>
    <row r="161" spans="1:5" ht="15.75" thickBot="1" x14ac:dyDescent="0.3">
      <c r="A161" s="5" t="s">
        <v>22</v>
      </c>
      <c r="B161" s="1076"/>
      <c r="C161" s="11">
        <f>C158/B158-1</f>
        <v>0</v>
      </c>
      <c r="D161" s="11">
        <f t="shared" ref="D161:E163" si="11">D158/C158-1</f>
        <v>0</v>
      </c>
      <c r="E161" s="11">
        <f t="shared" si="11"/>
        <v>0</v>
      </c>
    </row>
    <row r="162" spans="1:5" ht="15.75" thickBot="1" x14ac:dyDescent="0.3">
      <c r="A162" s="5" t="s">
        <v>24</v>
      </c>
      <c r="B162" s="1076"/>
      <c r="C162" s="11">
        <f>C159/B159-1</f>
        <v>0.10038499546071722</v>
      </c>
      <c r="D162" s="11">
        <f t="shared" si="11"/>
        <v>-3.1479846283492985E-2</v>
      </c>
      <c r="E162" s="11">
        <f t="shared" si="11"/>
        <v>0</v>
      </c>
    </row>
    <row r="163" spans="1:5" ht="23.25" thickBot="1" x14ac:dyDescent="0.3">
      <c r="A163" s="5" t="s">
        <v>25</v>
      </c>
      <c r="B163" s="1076"/>
      <c r="C163" s="11">
        <f>C160/B160-1</f>
        <v>0.10038499546071722</v>
      </c>
      <c r="D163" s="11">
        <f t="shared" si="11"/>
        <v>-3.1479846283492985E-2</v>
      </c>
      <c r="E163" s="11">
        <f t="shared" si="11"/>
        <v>0</v>
      </c>
    </row>
    <row r="164" spans="1:5" ht="15.75" thickBot="1" x14ac:dyDescent="0.3">
      <c r="A164" s="1278" t="s">
        <v>884</v>
      </c>
      <c r="B164" s="1279"/>
      <c r="C164" s="1279"/>
      <c r="D164" s="1279"/>
      <c r="E164" s="1355"/>
    </row>
    <row r="165" spans="1:5" ht="12.75" customHeight="1" x14ac:dyDescent="0.25">
      <c r="A165" s="1250"/>
      <c r="B165" s="8">
        <v>2018</v>
      </c>
      <c r="C165" s="8">
        <v>2019</v>
      </c>
      <c r="D165" s="8">
        <v>2020</v>
      </c>
      <c r="E165" s="8">
        <v>2021</v>
      </c>
    </row>
    <row r="166" spans="1:5" ht="9" customHeight="1" thickBot="1" x14ac:dyDescent="0.3">
      <c r="A166" s="1251"/>
      <c r="B166" s="9" t="s">
        <v>10</v>
      </c>
      <c r="C166" s="9" t="s">
        <v>11</v>
      </c>
      <c r="D166" s="9" t="s">
        <v>11</v>
      </c>
      <c r="E166" s="9" t="s">
        <v>11</v>
      </c>
    </row>
    <row r="167" spans="1:5" ht="15.75" thickBot="1" x14ac:dyDescent="0.3">
      <c r="A167" s="237" t="s">
        <v>26</v>
      </c>
      <c r="B167" s="60">
        <v>2750000</v>
      </c>
      <c r="C167" s="60">
        <v>3349025</v>
      </c>
      <c r="D167" s="60">
        <v>3349025</v>
      </c>
      <c r="E167" s="60">
        <v>3349025</v>
      </c>
    </row>
    <row r="168" spans="1:5" ht="24.75" thickBot="1" x14ac:dyDescent="0.3">
      <c r="A168" s="237" t="s">
        <v>28</v>
      </c>
      <c r="B168" s="60">
        <v>447550</v>
      </c>
      <c r="C168" s="60">
        <v>541313</v>
      </c>
      <c r="D168" s="60">
        <v>541313</v>
      </c>
      <c r="E168" s="60">
        <v>541313</v>
      </c>
    </row>
    <row r="169" spans="1:5" ht="15.75" thickBot="1" x14ac:dyDescent="0.3">
      <c r="A169" s="237" t="s">
        <v>30</v>
      </c>
      <c r="B169" s="191">
        <v>1930900</v>
      </c>
      <c r="C169" s="60">
        <v>1746818</v>
      </c>
      <c r="D169" s="60">
        <v>1746818</v>
      </c>
      <c r="E169" s="60">
        <v>1746818</v>
      </c>
    </row>
    <row r="170" spans="1:5" ht="15.75" thickBot="1" x14ac:dyDescent="0.3">
      <c r="A170" s="237" t="s">
        <v>32</v>
      </c>
      <c r="B170" s="191">
        <v>0</v>
      </c>
      <c r="C170" s="60">
        <v>0</v>
      </c>
      <c r="D170" s="60">
        <v>0</v>
      </c>
      <c r="E170" s="60">
        <v>0</v>
      </c>
    </row>
    <row r="171" spans="1:5" ht="24.75" thickBot="1" x14ac:dyDescent="0.3">
      <c r="A171" s="237" t="s">
        <v>34</v>
      </c>
      <c r="B171" s="191">
        <v>0</v>
      </c>
      <c r="C171" s="60">
        <v>0</v>
      </c>
      <c r="D171" s="60">
        <v>0</v>
      </c>
      <c r="E171" s="60">
        <v>0</v>
      </c>
    </row>
    <row r="172" spans="1:5" ht="15.75" thickBot="1" x14ac:dyDescent="0.3">
      <c r="A172" s="237" t="s">
        <v>36</v>
      </c>
      <c r="B172" s="191">
        <v>1095000</v>
      </c>
      <c r="C172" s="60">
        <v>995455</v>
      </c>
      <c r="D172" s="60">
        <v>995455</v>
      </c>
      <c r="E172" s="60">
        <v>995455</v>
      </c>
    </row>
    <row r="173" spans="1:5" ht="24.75" thickBot="1" x14ac:dyDescent="0.3">
      <c r="A173" s="237" t="s">
        <v>38</v>
      </c>
      <c r="B173" s="191">
        <v>0</v>
      </c>
      <c r="C173" s="60">
        <v>215580</v>
      </c>
      <c r="D173" s="60">
        <v>0</v>
      </c>
      <c r="E173" s="60">
        <v>0</v>
      </c>
    </row>
    <row r="174" spans="1:5" ht="24.75" thickBot="1" x14ac:dyDescent="0.3">
      <c r="A174" s="367" t="s">
        <v>1652</v>
      </c>
      <c r="B174" s="26">
        <f>B173+B171+B172+B170+B169+B168+B167</f>
        <v>6223450</v>
      </c>
      <c r="C174" s="26">
        <f>C173+C171+C172+C170+C169+C168+C167</f>
        <v>6848191</v>
      </c>
      <c r="D174" s="26">
        <f>D173+D171+D172+D170+D169+D168+D167</f>
        <v>6632611</v>
      </c>
      <c r="E174" s="26">
        <f>E173+E171+E172+E170+E169+E168+E167</f>
        <v>6632611</v>
      </c>
    </row>
    <row r="175" spans="1:5" ht="15.75" thickBot="1" x14ac:dyDescent="0.3">
      <c r="A175" s="315" t="s">
        <v>41</v>
      </c>
      <c r="B175" s="238">
        <f>IF(B174-B159=0,0,"Error")</f>
        <v>0</v>
      </c>
      <c r="C175" s="238">
        <f>IF(C174-C159=0,0,"Error")</f>
        <v>0</v>
      </c>
      <c r="D175" s="238">
        <f>IF(D174-D159=0,0,"Error")</f>
        <v>0</v>
      </c>
      <c r="E175" s="238">
        <f>IF(E174-E159=0,0,"Error")</f>
        <v>0</v>
      </c>
    </row>
    <row r="176" spans="1:5" ht="15.75" thickBot="1" x14ac:dyDescent="0.3">
      <c r="A176" s="1078" t="s">
        <v>1558</v>
      </c>
      <c r="B176" s="1248" t="s">
        <v>1665</v>
      </c>
      <c r="C176" s="1249"/>
      <c r="D176" s="1249"/>
      <c r="E176" s="1316"/>
    </row>
    <row r="177" spans="1:5" ht="25.5" customHeight="1" thickBot="1" x14ac:dyDescent="0.3">
      <c r="A177" s="5" t="s">
        <v>17</v>
      </c>
      <c r="B177" s="1245" t="s">
        <v>1664</v>
      </c>
      <c r="C177" s="1246"/>
      <c r="D177" s="1246"/>
      <c r="E177" s="1298"/>
    </row>
    <row r="178" spans="1:5" ht="15.75" thickBot="1" x14ac:dyDescent="0.3">
      <c r="A178" s="5" t="s">
        <v>18</v>
      </c>
      <c r="B178" s="1248" t="s">
        <v>1658</v>
      </c>
      <c r="C178" s="1249"/>
      <c r="D178" s="1249"/>
      <c r="E178" s="1316"/>
    </row>
    <row r="179" spans="1:5" ht="12.75" customHeight="1" x14ac:dyDescent="0.25">
      <c r="A179" s="1250"/>
      <c r="B179" s="8">
        <v>2018</v>
      </c>
      <c r="C179" s="8">
        <v>2019</v>
      </c>
      <c r="D179" s="8">
        <v>2020</v>
      </c>
      <c r="E179" s="8">
        <v>2021</v>
      </c>
    </row>
    <row r="180" spans="1:5" ht="9" customHeight="1" thickBot="1" x14ac:dyDescent="0.3">
      <c r="A180" s="1251"/>
      <c r="B180" s="9" t="s">
        <v>10</v>
      </c>
      <c r="C180" s="9" t="s">
        <v>11</v>
      </c>
      <c r="D180" s="9" t="s">
        <v>11</v>
      </c>
      <c r="E180" s="9" t="s">
        <v>11</v>
      </c>
    </row>
    <row r="181" spans="1:5" ht="15.75" thickBot="1" x14ac:dyDescent="0.3">
      <c r="A181" s="5" t="s">
        <v>19</v>
      </c>
      <c r="B181" s="10">
        <v>100</v>
      </c>
      <c r="C181" s="10">
        <v>100</v>
      </c>
      <c r="D181" s="10">
        <v>50</v>
      </c>
      <c r="E181" s="10">
        <v>50</v>
      </c>
    </row>
    <row r="182" spans="1:5" ht="15.75" thickBot="1" x14ac:dyDescent="0.3">
      <c r="A182" s="5" t="s">
        <v>20</v>
      </c>
      <c r="B182" s="10">
        <v>4148967</v>
      </c>
      <c r="C182" s="10">
        <v>4565460</v>
      </c>
      <c r="D182" s="10">
        <v>4421740</v>
      </c>
      <c r="E182" s="10">
        <v>4421740</v>
      </c>
    </row>
    <row r="183" spans="1:5" ht="15.75" thickBot="1" x14ac:dyDescent="0.3">
      <c r="A183" s="5" t="s">
        <v>21</v>
      </c>
      <c r="B183" s="10">
        <f>B182/B181</f>
        <v>41489.67</v>
      </c>
      <c r="C183" s="10">
        <f t="shared" ref="C183:E183" si="12">C182/C181</f>
        <v>45654.6</v>
      </c>
      <c r="D183" s="10">
        <f t="shared" si="12"/>
        <v>88434.8</v>
      </c>
      <c r="E183" s="10">
        <f t="shared" si="12"/>
        <v>88434.8</v>
      </c>
    </row>
    <row r="184" spans="1:5" ht="15.75" thickBot="1" x14ac:dyDescent="0.3">
      <c r="A184" s="5" t="s">
        <v>22</v>
      </c>
      <c r="B184" s="1076"/>
      <c r="C184" s="11">
        <f>C181/B181-1</f>
        <v>0</v>
      </c>
      <c r="D184" s="11">
        <f t="shared" ref="D184:E186" si="13">D181/C181-1</f>
        <v>-0.5</v>
      </c>
      <c r="E184" s="11">
        <f t="shared" si="13"/>
        <v>0</v>
      </c>
    </row>
    <row r="185" spans="1:5" ht="15.75" thickBot="1" x14ac:dyDescent="0.3">
      <c r="A185" s="5" t="s">
        <v>24</v>
      </c>
      <c r="B185" s="1076"/>
      <c r="C185" s="11">
        <f>C182/B182-1</f>
        <v>0.10038474637180772</v>
      </c>
      <c r="D185" s="11">
        <f t="shared" si="13"/>
        <v>-3.1479850880305582E-2</v>
      </c>
      <c r="E185" s="11">
        <f t="shared" si="13"/>
        <v>0</v>
      </c>
    </row>
    <row r="186" spans="1:5" ht="23.25" thickBot="1" x14ac:dyDescent="0.3">
      <c r="A186" s="5" t="s">
        <v>25</v>
      </c>
      <c r="B186" s="1076"/>
      <c r="C186" s="11">
        <f>C183/B183-1</f>
        <v>0.10038474637180772</v>
      </c>
      <c r="D186" s="11">
        <f t="shared" si="13"/>
        <v>0.93704029823938884</v>
      </c>
      <c r="E186" s="11">
        <f t="shared" si="13"/>
        <v>0</v>
      </c>
    </row>
    <row r="187" spans="1:5" ht="15.75" thickBot="1" x14ac:dyDescent="0.3">
      <c r="A187" s="1278" t="s">
        <v>872</v>
      </c>
      <c r="B187" s="1279"/>
      <c r="C187" s="1279"/>
      <c r="D187" s="1279"/>
      <c r="E187" s="1355"/>
    </row>
    <row r="188" spans="1:5" ht="12.75" customHeight="1" x14ac:dyDescent="0.25">
      <c r="A188" s="1250"/>
      <c r="B188" s="8">
        <v>2018</v>
      </c>
      <c r="C188" s="8">
        <v>2019</v>
      </c>
      <c r="D188" s="8">
        <v>2020</v>
      </c>
      <c r="E188" s="8">
        <v>2021</v>
      </c>
    </row>
    <row r="189" spans="1:5" ht="9" customHeight="1" thickBot="1" x14ac:dyDescent="0.3">
      <c r="A189" s="1251"/>
      <c r="B189" s="9" t="s">
        <v>10</v>
      </c>
      <c r="C189" s="9" t="s">
        <v>11</v>
      </c>
      <c r="D189" s="9" t="s">
        <v>11</v>
      </c>
      <c r="E189" s="9" t="s">
        <v>11</v>
      </c>
    </row>
    <row r="190" spans="1:5" ht="15.75" thickBot="1" x14ac:dyDescent="0.3">
      <c r="A190" s="237" t="s">
        <v>26</v>
      </c>
      <c r="B190" s="60">
        <v>1833333</v>
      </c>
      <c r="C190" s="60">
        <v>2232684</v>
      </c>
      <c r="D190" s="60">
        <v>2232684</v>
      </c>
      <c r="E190" s="60">
        <v>2232684</v>
      </c>
    </row>
    <row r="191" spans="1:5" ht="24.75" thickBot="1" x14ac:dyDescent="0.3">
      <c r="A191" s="237" t="s">
        <v>28</v>
      </c>
      <c r="B191" s="60">
        <v>298367</v>
      </c>
      <c r="C191" s="60">
        <v>360875</v>
      </c>
      <c r="D191" s="60">
        <v>360875</v>
      </c>
      <c r="E191" s="60">
        <v>360875</v>
      </c>
    </row>
    <row r="192" spans="1:5" ht="15.75" thickBot="1" x14ac:dyDescent="0.3">
      <c r="A192" s="237" t="s">
        <v>30</v>
      </c>
      <c r="B192" s="191">
        <v>1287267</v>
      </c>
      <c r="C192" s="60">
        <v>1164545</v>
      </c>
      <c r="D192" s="60">
        <v>1164545</v>
      </c>
      <c r="E192" s="60">
        <v>1164545</v>
      </c>
    </row>
    <row r="193" spans="1:5" ht="15.75" thickBot="1" x14ac:dyDescent="0.3">
      <c r="A193" s="237" t="s">
        <v>32</v>
      </c>
      <c r="B193" s="191">
        <v>0</v>
      </c>
      <c r="C193" s="60">
        <v>0</v>
      </c>
      <c r="D193" s="60">
        <v>0</v>
      </c>
      <c r="E193" s="60">
        <v>0</v>
      </c>
    </row>
    <row r="194" spans="1:5" ht="24.75" thickBot="1" x14ac:dyDescent="0.3">
      <c r="A194" s="237" t="s">
        <v>34</v>
      </c>
      <c r="B194" s="191">
        <v>0</v>
      </c>
      <c r="C194" s="60">
        <v>0</v>
      </c>
      <c r="D194" s="60">
        <v>0</v>
      </c>
      <c r="E194" s="60">
        <v>0</v>
      </c>
    </row>
    <row r="195" spans="1:5" ht="15.75" thickBot="1" x14ac:dyDescent="0.3">
      <c r="A195" s="237" t="s">
        <v>36</v>
      </c>
      <c r="B195" s="191">
        <v>730000</v>
      </c>
      <c r="C195" s="60">
        <v>663636</v>
      </c>
      <c r="D195" s="60">
        <v>663636</v>
      </c>
      <c r="E195" s="60">
        <v>663636</v>
      </c>
    </row>
    <row r="196" spans="1:5" ht="24.75" thickBot="1" x14ac:dyDescent="0.3">
      <c r="A196" s="237" t="s">
        <v>38</v>
      </c>
      <c r="B196" s="191">
        <v>0</v>
      </c>
      <c r="C196" s="60">
        <v>143720</v>
      </c>
      <c r="D196" s="60">
        <v>0</v>
      </c>
      <c r="E196" s="60">
        <v>0</v>
      </c>
    </row>
    <row r="197" spans="1:5" ht="24.75" thickBot="1" x14ac:dyDescent="0.3">
      <c r="A197" s="367" t="s">
        <v>1652</v>
      </c>
      <c r="B197" s="26">
        <f>B196+B194+B195+B193+B192+B191+B190</f>
        <v>4148967</v>
      </c>
      <c r="C197" s="26">
        <f>C196+C194+C195+C193+C192+C191+C190</f>
        <v>4565460</v>
      </c>
      <c r="D197" s="26">
        <f>D196+D194+D195+D193+D192+D191+D190</f>
        <v>4421740</v>
      </c>
      <c r="E197" s="26">
        <f>E196+E194+E195+E193+E192+E191+E190</f>
        <v>4421740</v>
      </c>
    </row>
    <row r="198" spans="1:5" ht="15.75" thickBot="1" x14ac:dyDescent="0.3">
      <c r="A198" s="315" t="s">
        <v>41</v>
      </c>
      <c r="B198" s="238">
        <f>IF(B197-B182=0,0,"Error")</f>
        <v>0</v>
      </c>
      <c r="C198" s="238">
        <f>IF(C197-C182=0,0,"Error")</f>
        <v>0</v>
      </c>
      <c r="D198" s="238">
        <f>IF(D197-D182=0,0,"Error")</f>
        <v>0</v>
      </c>
      <c r="E198" s="238">
        <f>IF(E197-E182=0,0,"Error")</f>
        <v>0</v>
      </c>
    </row>
    <row r="199" spans="1:5" ht="23.25" customHeight="1" thickBot="1" x14ac:dyDescent="0.3">
      <c r="A199" s="1278" t="s">
        <v>205</v>
      </c>
      <c r="B199" s="1279"/>
      <c r="C199" s="1279"/>
      <c r="D199" s="1279"/>
      <c r="E199" s="1355"/>
    </row>
    <row r="200" spans="1:5" ht="23.25" customHeight="1" thickBot="1" x14ac:dyDescent="0.3">
      <c r="A200" s="2600" t="s">
        <v>70</v>
      </c>
      <c r="B200" s="2601"/>
      <c r="C200" s="2601"/>
      <c r="D200" s="2601"/>
      <c r="E200" s="2602"/>
    </row>
    <row r="201" spans="1:5" ht="12.75" customHeight="1" x14ac:dyDescent="0.25">
      <c r="A201" s="1250"/>
      <c r="B201" s="8">
        <v>2018</v>
      </c>
      <c r="C201" s="8">
        <v>2019</v>
      </c>
      <c r="D201" s="8">
        <v>2020</v>
      </c>
      <c r="E201" s="8">
        <v>2021</v>
      </c>
    </row>
    <row r="202" spans="1:5" ht="9" customHeight="1" thickBot="1" x14ac:dyDescent="0.3">
      <c r="A202" s="1251"/>
      <c r="B202" s="9" t="s">
        <v>10</v>
      </c>
      <c r="C202" s="9" t="s">
        <v>11</v>
      </c>
      <c r="D202" s="9" t="s">
        <v>11</v>
      </c>
      <c r="E202" s="9" t="s">
        <v>11</v>
      </c>
    </row>
    <row r="203" spans="1:5" ht="26.25" customHeight="1" thickBot="1" x14ac:dyDescent="0.3">
      <c r="A203" s="247" t="s">
        <v>16</v>
      </c>
      <c r="B203" s="1248" t="s">
        <v>1666</v>
      </c>
      <c r="C203" s="1249"/>
      <c r="D203" s="1249"/>
      <c r="E203" s="1316"/>
    </row>
    <row r="204" spans="1:5" ht="25.5" customHeight="1" thickBot="1" x14ac:dyDescent="0.3">
      <c r="A204" s="5" t="s">
        <v>17</v>
      </c>
      <c r="B204" s="1245" t="s">
        <v>1667</v>
      </c>
      <c r="C204" s="1246"/>
      <c r="D204" s="1246"/>
      <c r="E204" s="1298"/>
    </row>
    <row r="205" spans="1:5" ht="15.75" customHeight="1" thickBot="1" x14ac:dyDescent="0.3">
      <c r="A205" s="5" t="s">
        <v>18</v>
      </c>
      <c r="B205" s="1248" t="s">
        <v>1658</v>
      </c>
      <c r="C205" s="1249"/>
      <c r="D205" s="1249"/>
      <c r="E205" s="1316"/>
    </row>
    <row r="206" spans="1:5" ht="12.75" customHeight="1" x14ac:dyDescent="0.25">
      <c r="A206" s="1250"/>
      <c r="B206" s="8">
        <v>2018</v>
      </c>
      <c r="C206" s="8">
        <v>2019</v>
      </c>
      <c r="D206" s="8">
        <v>2020</v>
      </c>
      <c r="E206" s="8">
        <v>2021</v>
      </c>
    </row>
    <row r="207" spans="1:5" ht="9" customHeight="1" thickBot="1" x14ac:dyDescent="0.3">
      <c r="A207" s="1251"/>
      <c r="B207" s="9" t="s">
        <v>10</v>
      </c>
      <c r="C207" s="9" t="s">
        <v>11</v>
      </c>
      <c r="D207" s="9" t="s">
        <v>11</v>
      </c>
      <c r="E207" s="9" t="s">
        <v>11</v>
      </c>
    </row>
    <row r="208" spans="1:5" ht="15.75" customHeight="1" thickBot="1" x14ac:dyDescent="0.3">
      <c r="A208" s="5" t="s">
        <v>19</v>
      </c>
      <c r="B208" s="10">
        <v>25</v>
      </c>
      <c r="C208" s="60">
        <v>20</v>
      </c>
      <c r="D208" s="60">
        <v>20</v>
      </c>
      <c r="E208" s="60">
        <v>20</v>
      </c>
    </row>
    <row r="209" spans="1:5" ht="15.75" thickBot="1" x14ac:dyDescent="0.3">
      <c r="A209" s="5" t="s">
        <v>20</v>
      </c>
      <c r="B209" s="10">
        <v>16595867</v>
      </c>
      <c r="C209" s="10">
        <v>22827302</v>
      </c>
      <c r="D209" s="10">
        <v>22108702</v>
      </c>
      <c r="E209" s="10">
        <v>22108702</v>
      </c>
    </row>
    <row r="210" spans="1:5" ht="15.75" thickBot="1" x14ac:dyDescent="0.3">
      <c r="A210" s="5" t="s">
        <v>21</v>
      </c>
      <c r="B210" s="10">
        <f>B209/B208</f>
        <v>663834.68000000005</v>
      </c>
      <c r="C210" s="10">
        <f t="shared" ref="C210:E210" si="14">C209/C208</f>
        <v>1141365.1000000001</v>
      </c>
      <c r="D210" s="10">
        <f t="shared" si="14"/>
        <v>1105435.1000000001</v>
      </c>
      <c r="E210" s="10">
        <f t="shared" si="14"/>
        <v>1105435.1000000001</v>
      </c>
    </row>
    <row r="211" spans="1:5" ht="15.75" thickBot="1" x14ac:dyDescent="0.3">
      <c r="A211" s="5" t="s">
        <v>22</v>
      </c>
      <c r="B211" s="1076"/>
      <c r="C211" s="11">
        <f>C208/B208-1</f>
        <v>-0.19999999999999996</v>
      </c>
      <c r="D211" s="11">
        <f t="shared" ref="D211:E213" si="15">D208/C208-1</f>
        <v>0</v>
      </c>
      <c r="E211" s="11">
        <f t="shared" si="15"/>
        <v>0</v>
      </c>
    </row>
    <row r="212" spans="1:5" ht="15.75" thickBot="1" x14ac:dyDescent="0.3">
      <c r="A212" s="5" t="s">
        <v>24</v>
      </c>
      <c r="B212" s="1076"/>
      <c r="C212" s="11">
        <f>C209/B209-1</f>
        <v>0.37548113635762448</v>
      </c>
      <c r="D212" s="11">
        <f t="shared" si="15"/>
        <v>-3.1479848122217824E-2</v>
      </c>
      <c r="E212" s="11">
        <f t="shared" si="15"/>
        <v>0</v>
      </c>
    </row>
    <row r="213" spans="1:5" ht="23.25" thickBot="1" x14ac:dyDescent="0.3">
      <c r="A213" s="5" t="s">
        <v>25</v>
      </c>
      <c r="B213" s="1076"/>
      <c r="C213" s="11">
        <f>C210/B210-1</f>
        <v>0.7193514204470306</v>
      </c>
      <c r="D213" s="11">
        <f t="shared" si="15"/>
        <v>-3.1479848122217824E-2</v>
      </c>
      <c r="E213" s="11">
        <f t="shared" si="15"/>
        <v>0</v>
      </c>
    </row>
    <row r="214" spans="1:5" ht="12.75" customHeight="1" x14ac:dyDescent="0.25">
      <c r="A214" s="1250"/>
      <c r="B214" s="8">
        <v>2018</v>
      </c>
      <c r="C214" s="8">
        <v>2019</v>
      </c>
      <c r="D214" s="8">
        <v>2020</v>
      </c>
      <c r="E214" s="8">
        <v>2021</v>
      </c>
    </row>
    <row r="215" spans="1:5" ht="9" customHeight="1" thickBot="1" x14ac:dyDescent="0.3">
      <c r="A215" s="1251"/>
      <c r="B215" s="9" t="s">
        <v>10</v>
      </c>
      <c r="C215" s="9" t="s">
        <v>11</v>
      </c>
      <c r="D215" s="9" t="s">
        <v>11</v>
      </c>
      <c r="E215" s="9" t="s">
        <v>11</v>
      </c>
    </row>
    <row r="216" spans="1:5" ht="15.75" thickBot="1" x14ac:dyDescent="0.3">
      <c r="A216" s="1278" t="s">
        <v>636</v>
      </c>
      <c r="B216" s="1279"/>
      <c r="C216" s="1279"/>
      <c r="D216" s="1279"/>
      <c r="E216" s="1355"/>
    </row>
    <row r="217" spans="1:5" ht="12.75" customHeight="1" x14ac:dyDescent="0.25">
      <c r="A217" s="1250"/>
      <c r="B217" s="8">
        <v>2018</v>
      </c>
      <c r="C217" s="8">
        <v>2019</v>
      </c>
      <c r="D217" s="8">
        <v>2020</v>
      </c>
      <c r="E217" s="8">
        <v>2021</v>
      </c>
    </row>
    <row r="218" spans="1:5" ht="9" customHeight="1" thickBot="1" x14ac:dyDescent="0.3">
      <c r="A218" s="1251"/>
      <c r="B218" s="9" t="s">
        <v>10</v>
      </c>
      <c r="C218" s="9" t="s">
        <v>11</v>
      </c>
      <c r="D218" s="9" t="s">
        <v>11</v>
      </c>
      <c r="E218" s="9" t="s">
        <v>11</v>
      </c>
    </row>
    <row r="219" spans="1:5" ht="15.75" thickBot="1" x14ac:dyDescent="0.3">
      <c r="A219" s="237" t="s">
        <v>26</v>
      </c>
      <c r="B219" s="60">
        <v>7333333</v>
      </c>
      <c r="C219" s="60">
        <v>11163418</v>
      </c>
      <c r="D219" s="60">
        <v>11163418</v>
      </c>
      <c r="E219" s="60">
        <v>11163418</v>
      </c>
    </row>
    <row r="220" spans="1:5" ht="24.75" thickBot="1" x14ac:dyDescent="0.3">
      <c r="A220" s="237" t="s">
        <v>28</v>
      </c>
      <c r="B220" s="60">
        <v>1193467</v>
      </c>
      <c r="C220" s="60">
        <v>1804375</v>
      </c>
      <c r="D220" s="60">
        <v>1804375</v>
      </c>
      <c r="E220" s="60">
        <v>1804375</v>
      </c>
    </row>
    <row r="221" spans="1:5" ht="15.75" thickBot="1" x14ac:dyDescent="0.3">
      <c r="A221" s="237" t="s">
        <v>30</v>
      </c>
      <c r="B221" s="191">
        <v>5149067</v>
      </c>
      <c r="C221" s="60">
        <v>5822727</v>
      </c>
      <c r="D221" s="60">
        <v>5822727</v>
      </c>
      <c r="E221" s="60">
        <v>5822727</v>
      </c>
    </row>
    <row r="222" spans="1:5" ht="15.75" thickBot="1" x14ac:dyDescent="0.3">
      <c r="A222" s="237" t="s">
        <v>32</v>
      </c>
      <c r="B222" s="191">
        <v>0</v>
      </c>
      <c r="C222" s="60">
        <v>0</v>
      </c>
      <c r="D222" s="60">
        <v>0</v>
      </c>
      <c r="E222" s="60">
        <v>0</v>
      </c>
    </row>
    <row r="223" spans="1:5" ht="24.75" thickBot="1" x14ac:dyDescent="0.3">
      <c r="A223" s="237" t="s">
        <v>34</v>
      </c>
      <c r="B223" s="191">
        <v>0</v>
      </c>
      <c r="C223" s="60">
        <v>0</v>
      </c>
      <c r="D223" s="60">
        <v>0</v>
      </c>
      <c r="E223" s="60">
        <v>0</v>
      </c>
    </row>
    <row r="224" spans="1:5" ht="15.75" thickBot="1" x14ac:dyDescent="0.3">
      <c r="A224" s="237" t="s">
        <v>36</v>
      </c>
      <c r="B224" s="191">
        <v>2920000</v>
      </c>
      <c r="C224" s="60">
        <v>3318182</v>
      </c>
      <c r="D224" s="60">
        <v>3318182</v>
      </c>
      <c r="E224" s="60">
        <v>3318182</v>
      </c>
    </row>
    <row r="225" spans="1:5" ht="24.75" thickBot="1" x14ac:dyDescent="0.3">
      <c r="A225" s="237" t="s">
        <v>38</v>
      </c>
      <c r="B225" s="191">
        <v>0</v>
      </c>
      <c r="C225" s="60">
        <v>718600</v>
      </c>
      <c r="D225" s="60">
        <v>0</v>
      </c>
      <c r="E225" s="60">
        <v>0</v>
      </c>
    </row>
    <row r="226" spans="1:5" ht="24.75" thickBot="1" x14ac:dyDescent="0.3">
      <c r="A226" s="367" t="s">
        <v>1652</v>
      </c>
      <c r="B226" s="238">
        <f>B225+B224+B223+B222+B221+B220+B219</f>
        <v>16595867</v>
      </c>
      <c r="C226" s="238">
        <f>C225+C224+C223+C222+C221+C220+C219</f>
        <v>22827302</v>
      </c>
      <c r="D226" s="238">
        <f>D225+D224+D223+D222+D221+D220+D219</f>
        <v>22108702</v>
      </c>
      <c r="E226" s="238">
        <f>E225+E224+E223+E222+E221+E220+E219</f>
        <v>22108702</v>
      </c>
    </row>
    <row r="227" spans="1:5" ht="15.75" thickBot="1" x14ac:dyDescent="0.3">
      <c r="A227" s="315" t="s">
        <v>41</v>
      </c>
      <c r="B227" s="238">
        <f>IF(B226-B209=0,0,"Error")</f>
        <v>0</v>
      </c>
      <c r="C227" s="238">
        <f>IF(C226-C209=0,0,"Error")</f>
        <v>0</v>
      </c>
      <c r="D227" s="238">
        <f>IF(D226-D209=0,0,"Error")</f>
        <v>0</v>
      </c>
      <c r="E227" s="238">
        <f>IF(E226-E209=0,0,"Error")</f>
        <v>0</v>
      </c>
    </row>
    <row r="228" spans="1:5" ht="23.25" customHeight="1" thickBot="1" x14ac:dyDescent="0.3">
      <c r="A228" s="1278" t="s">
        <v>382</v>
      </c>
      <c r="B228" s="1279"/>
      <c r="C228" s="1279"/>
      <c r="D228" s="1279"/>
      <c r="E228" s="1355"/>
    </row>
    <row r="229" spans="1:5" ht="23.25" customHeight="1" thickBot="1" x14ac:dyDescent="0.3">
      <c r="A229" s="2600" t="s">
        <v>70</v>
      </c>
      <c r="B229" s="2601"/>
      <c r="C229" s="2601"/>
      <c r="D229" s="2601"/>
      <c r="E229" s="2602"/>
    </row>
    <row r="230" spans="1:5" ht="12.75" customHeight="1" x14ac:dyDescent="0.25">
      <c r="A230" s="1250"/>
      <c r="B230" s="8">
        <v>2018</v>
      </c>
      <c r="C230" s="8">
        <v>2019</v>
      </c>
      <c r="D230" s="8">
        <v>2020</v>
      </c>
      <c r="E230" s="8">
        <v>2021</v>
      </c>
    </row>
    <row r="231" spans="1:5" ht="9" customHeight="1" thickBot="1" x14ac:dyDescent="0.3">
      <c r="A231" s="1251"/>
      <c r="B231" s="9" t="s">
        <v>10</v>
      </c>
      <c r="C231" s="9" t="s">
        <v>11</v>
      </c>
      <c r="D231" s="9" t="s">
        <v>11</v>
      </c>
      <c r="E231" s="9" t="s">
        <v>11</v>
      </c>
    </row>
    <row r="232" spans="1:5" ht="47.25" customHeight="1" thickBot="1" x14ac:dyDescent="0.3">
      <c r="A232" s="247" t="s">
        <v>16</v>
      </c>
      <c r="B232" s="1797" t="s">
        <v>1668</v>
      </c>
      <c r="C232" s="1798"/>
      <c r="D232" s="1798"/>
      <c r="E232" s="1799"/>
    </row>
    <row r="233" spans="1:5" ht="47.25" customHeight="1" thickBot="1" x14ac:dyDescent="0.3">
      <c r="A233" s="5" t="s">
        <v>17</v>
      </c>
      <c r="B233" s="1797" t="s">
        <v>1669</v>
      </c>
      <c r="C233" s="1798"/>
      <c r="D233" s="1798"/>
      <c r="E233" s="1799"/>
    </row>
    <row r="234" spans="1:5" ht="15.75" customHeight="1" thickBot="1" x14ac:dyDescent="0.3">
      <c r="A234" s="5" t="s">
        <v>18</v>
      </c>
      <c r="B234" s="1248" t="s">
        <v>1658</v>
      </c>
      <c r="C234" s="1249"/>
      <c r="D234" s="1249"/>
      <c r="E234" s="1316"/>
    </row>
    <row r="235" spans="1:5" ht="12.75" customHeight="1" x14ac:dyDescent="0.25">
      <c r="A235" s="1250"/>
      <c r="B235" s="8">
        <v>2018</v>
      </c>
      <c r="C235" s="8">
        <v>2019</v>
      </c>
      <c r="D235" s="8">
        <v>2020</v>
      </c>
      <c r="E235" s="8">
        <v>2021</v>
      </c>
    </row>
    <row r="236" spans="1:5" ht="9" customHeight="1" thickBot="1" x14ac:dyDescent="0.3">
      <c r="A236" s="1251"/>
      <c r="B236" s="9" t="s">
        <v>10</v>
      </c>
      <c r="C236" s="9" t="s">
        <v>11</v>
      </c>
      <c r="D236" s="9" t="s">
        <v>11</v>
      </c>
      <c r="E236" s="9" t="s">
        <v>11</v>
      </c>
    </row>
    <row r="237" spans="1:5" ht="15.75" customHeight="1" thickBot="1" x14ac:dyDescent="0.3">
      <c r="A237" s="5" t="s">
        <v>19</v>
      </c>
      <c r="B237" s="10">
        <v>2270</v>
      </c>
      <c r="C237" s="60">
        <v>2500</v>
      </c>
      <c r="D237" s="60">
        <v>2500</v>
      </c>
      <c r="E237" s="60">
        <v>2500</v>
      </c>
    </row>
    <row r="238" spans="1:5" ht="15.75" thickBot="1" x14ac:dyDescent="0.3">
      <c r="A238" s="5" t="s">
        <v>20</v>
      </c>
      <c r="B238" s="10">
        <v>12446900</v>
      </c>
      <c r="C238" s="10">
        <v>15979112</v>
      </c>
      <c r="D238" s="10">
        <v>15476092</v>
      </c>
      <c r="E238" s="10">
        <v>15476092</v>
      </c>
    </row>
    <row r="239" spans="1:5" ht="15.75" thickBot="1" x14ac:dyDescent="0.3">
      <c r="A239" s="5" t="s">
        <v>21</v>
      </c>
      <c r="B239" s="10">
        <f>B238/B237</f>
        <v>5483.2158590308372</v>
      </c>
      <c r="C239" s="10">
        <f t="shared" ref="C239:E239" si="16">C238/C237</f>
        <v>6391.6448</v>
      </c>
      <c r="D239" s="10">
        <f t="shared" si="16"/>
        <v>6190.4368000000004</v>
      </c>
      <c r="E239" s="10">
        <f t="shared" si="16"/>
        <v>6190.4368000000004</v>
      </c>
    </row>
    <row r="240" spans="1:5" ht="15.75" thickBot="1" x14ac:dyDescent="0.3">
      <c r="A240" s="5" t="s">
        <v>22</v>
      </c>
      <c r="B240" s="1076"/>
      <c r="C240" s="11">
        <f>C237/B237-1</f>
        <v>0.1013215859030836</v>
      </c>
      <c r="D240" s="11">
        <f t="shared" ref="D240:E242" si="17">D237/C237-1</f>
        <v>0</v>
      </c>
      <c r="E240" s="11">
        <f t="shared" si="17"/>
        <v>0</v>
      </c>
    </row>
    <row r="241" spans="1:5" ht="15.75" thickBot="1" x14ac:dyDescent="0.3">
      <c r="A241" s="5" t="s">
        <v>24</v>
      </c>
      <c r="B241" s="1076"/>
      <c r="C241" s="11">
        <f>C238/B238-1</f>
        <v>0.28378246792373996</v>
      </c>
      <c r="D241" s="11">
        <f t="shared" si="17"/>
        <v>-3.1479846940180356E-2</v>
      </c>
      <c r="E241" s="11">
        <f t="shared" si="17"/>
        <v>0</v>
      </c>
    </row>
    <row r="242" spans="1:5" ht="23.25" thickBot="1" x14ac:dyDescent="0.3">
      <c r="A242" s="5" t="s">
        <v>25</v>
      </c>
      <c r="B242" s="1076"/>
      <c r="C242" s="11">
        <f>C239/B239-1</f>
        <v>0.16567448087475589</v>
      </c>
      <c r="D242" s="11">
        <f t="shared" si="17"/>
        <v>-3.1479846940180356E-2</v>
      </c>
      <c r="E242" s="11">
        <f t="shared" si="17"/>
        <v>0</v>
      </c>
    </row>
    <row r="243" spans="1:5" ht="12.75" customHeight="1" x14ac:dyDescent="0.25">
      <c r="A243" s="1250"/>
      <c r="B243" s="8">
        <v>2018</v>
      </c>
      <c r="C243" s="8">
        <v>2019</v>
      </c>
      <c r="D243" s="8">
        <v>2020</v>
      </c>
      <c r="E243" s="8">
        <v>2021</v>
      </c>
    </row>
    <row r="244" spans="1:5" ht="9" customHeight="1" thickBot="1" x14ac:dyDescent="0.3">
      <c r="A244" s="1251"/>
      <c r="B244" s="9" t="s">
        <v>10</v>
      </c>
      <c r="C244" s="9" t="s">
        <v>11</v>
      </c>
      <c r="D244" s="9" t="s">
        <v>11</v>
      </c>
      <c r="E244" s="9" t="s">
        <v>11</v>
      </c>
    </row>
    <row r="245" spans="1:5" ht="15.75" thickBot="1" x14ac:dyDescent="0.3">
      <c r="A245" s="1278" t="s">
        <v>636</v>
      </c>
      <c r="B245" s="1279"/>
      <c r="C245" s="1279"/>
      <c r="D245" s="1279"/>
      <c r="E245" s="1355"/>
    </row>
    <row r="246" spans="1:5" ht="12.75" customHeight="1" x14ac:dyDescent="0.25">
      <c r="A246" s="1250"/>
      <c r="B246" s="8">
        <v>2018</v>
      </c>
      <c r="C246" s="8">
        <v>2019</v>
      </c>
      <c r="D246" s="8">
        <v>2020</v>
      </c>
      <c r="E246" s="8">
        <v>2021</v>
      </c>
    </row>
    <row r="247" spans="1:5" ht="9" customHeight="1" thickBot="1" x14ac:dyDescent="0.3">
      <c r="A247" s="1251"/>
      <c r="B247" s="9" t="s">
        <v>10</v>
      </c>
      <c r="C247" s="9" t="s">
        <v>11</v>
      </c>
      <c r="D247" s="9" t="s">
        <v>11</v>
      </c>
      <c r="E247" s="9" t="s">
        <v>11</v>
      </c>
    </row>
    <row r="248" spans="1:5" ht="15.75" thickBot="1" x14ac:dyDescent="0.3">
      <c r="A248" s="237" t="s">
        <v>26</v>
      </c>
      <c r="B248" s="60">
        <v>5500000</v>
      </c>
      <c r="C248" s="60">
        <v>7814393</v>
      </c>
      <c r="D248" s="60">
        <v>7814393</v>
      </c>
      <c r="E248" s="60">
        <v>7814393</v>
      </c>
    </row>
    <row r="249" spans="1:5" ht="24.75" thickBot="1" x14ac:dyDescent="0.3">
      <c r="A249" s="237" t="s">
        <v>28</v>
      </c>
      <c r="B249" s="60">
        <v>895100</v>
      </c>
      <c r="C249" s="60">
        <v>1263063</v>
      </c>
      <c r="D249" s="60">
        <v>1263063</v>
      </c>
      <c r="E249" s="60">
        <v>1263063</v>
      </c>
    </row>
    <row r="250" spans="1:5" ht="15.75" thickBot="1" x14ac:dyDescent="0.3">
      <c r="A250" s="237" t="s">
        <v>30</v>
      </c>
      <c r="B250" s="191">
        <v>3861800</v>
      </c>
      <c r="C250" s="60">
        <v>4075909</v>
      </c>
      <c r="D250" s="60">
        <v>4075909</v>
      </c>
      <c r="E250" s="60">
        <v>4075909</v>
      </c>
    </row>
    <row r="251" spans="1:5" ht="15.75" thickBot="1" x14ac:dyDescent="0.3">
      <c r="A251" s="237" t="s">
        <v>32</v>
      </c>
      <c r="B251" s="191">
        <v>0</v>
      </c>
      <c r="C251" s="60">
        <v>0</v>
      </c>
      <c r="D251" s="60">
        <v>0</v>
      </c>
      <c r="E251" s="60">
        <v>0</v>
      </c>
    </row>
    <row r="252" spans="1:5" ht="24.75" thickBot="1" x14ac:dyDescent="0.3">
      <c r="A252" s="237" t="s">
        <v>34</v>
      </c>
      <c r="B252" s="191">
        <v>0</v>
      </c>
      <c r="C252" s="60">
        <v>0</v>
      </c>
      <c r="D252" s="60">
        <v>0</v>
      </c>
      <c r="E252" s="60">
        <v>0</v>
      </c>
    </row>
    <row r="253" spans="1:5" ht="15.75" thickBot="1" x14ac:dyDescent="0.3">
      <c r="A253" s="237" t="s">
        <v>36</v>
      </c>
      <c r="B253" s="191">
        <v>2190000</v>
      </c>
      <c r="C253" s="60">
        <v>2322727</v>
      </c>
      <c r="D253" s="60">
        <v>2322727</v>
      </c>
      <c r="E253" s="60">
        <v>2322727</v>
      </c>
    </row>
    <row r="254" spans="1:5" ht="24.75" thickBot="1" x14ac:dyDescent="0.3">
      <c r="A254" s="237" t="s">
        <v>38</v>
      </c>
      <c r="B254" s="191">
        <v>0</v>
      </c>
      <c r="C254" s="60">
        <v>503020</v>
      </c>
      <c r="D254" s="60">
        <v>0</v>
      </c>
      <c r="E254" s="60">
        <v>0</v>
      </c>
    </row>
    <row r="255" spans="1:5" ht="24.75" thickBot="1" x14ac:dyDescent="0.3">
      <c r="A255" s="367" t="s">
        <v>1652</v>
      </c>
      <c r="B255" s="238">
        <f>B254+B253+B252+B251+B250+B249+B248</f>
        <v>12446900</v>
      </c>
      <c r="C255" s="238">
        <f>C254+C253+C252+C251+C250+C249+C248</f>
        <v>15979112</v>
      </c>
      <c r="D255" s="238">
        <f>D254+D253+D252+D251+D250+D249+D248</f>
        <v>15476092</v>
      </c>
      <c r="E255" s="238">
        <f>E254+E253+E252+E251+E250+E249+E248</f>
        <v>15476092</v>
      </c>
    </row>
    <row r="256" spans="1:5" ht="15.75" thickBot="1" x14ac:dyDescent="0.3">
      <c r="A256" s="315" t="s">
        <v>41</v>
      </c>
      <c r="B256" s="238">
        <f>IF(B255-B238=0,0,"Error")</f>
        <v>0</v>
      </c>
      <c r="C256" s="238">
        <f>IF(C255-C238=0,0,"Error")</f>
        <v>0</v>
      </c>
      <c r="D256" s="238">
        <f>IF(D255-D238=0,0,"Error")</f>
        <v>0</v>
      </c>
      <c r="E256" s="238">
        <f>IF(E255-E238=0,0,"Error")</f>
        <v>0</v>
      </c>
    </row>
    <row r="257" spans="1:5" ht="15.75" thickBot="1" x14ac:dyDescent="0.3">
      <c r="A257" s="1078" t="s">
        <v>1560</v>
      </c>
      <c r="B257" s="1248" t="s">
        <v>1670</v>
      </c>
      <c r="C257" s="1249"/>
      <c r="D257" s="1249"/>
      <c r="E257" s="1316"/>
    </row>
    <row r="258" spans="1:5" ht="25.5" customHeight="1" thickBot="1" x14ac:dyDescent="0.3">
      <c r="A258" s="5" t="s">
        <v>17</v>
      </c>
      <c r="B258" s="1245" t="s">
        <v>1671</v>
      </c>
      <c r="C258" s="1246"/>
      <c r="D258" s="1246"/>
      <c r="E258" s="1298"/>
    </row>
    <row r="259" spans="1:5" ht="15.75" thickBot="1" x14ac:dyDescent="0.3">
      <c r="A259" s="5" t="s">
        <v>18</v>
      </c>
      <c r="B259" s="1248" t="s">
        <v>1658</v>
      </c>
      <c r="C259" s="1249"/>
      <c r="D259" s="1249"/>
      <c r="E259" s="1316"/>
    </row>
    <row r="260" spans="1:5" ht="12.75" customHeight="1" x14ac:dyDescent="0.25">
      <c r="A260" s="1250"/>
      <c r="B260" s="8">
        <v>2018</v>
      </c>
      <c r="C260" s="8">
        <v>2019</v>
      </c>
      <c r="D260" s="8">
        <v>2020</v>
      </c>
      <c r="E260" s="8">
        <v>2021</v>
      </c>
    </row>
    <row r="261" spans="1:5" ht="9" customHeight="1" thickBot="1" x14ac:dyDescent="0.3">
      <c r="A261" s="1251"/>
      <c r="B261" s="9" t="s">
        <v>10</v>
      </c>
      <c r="C261" s="9" t="s">
        <v>11</v>
      </c>
      <c r="D261" s="9" t="s">
        <v>11</v>
      </c>
      <c r="E261" s="9" t="s">
        <v>11</v>
      </c>
    </row>
    <row r="262" spans="1:5" ht="15.75" thickBot="1" x14ac:dyDescent="0.3">
      <c r="A262" s="5" t="s">
        <v>19</v>
      </c>
      <c r="B262" s="10">
        <v>388</v>
      </c>
      <c r="C262" s="10">
        <v>390</v>
      </c>
      <c r="D262" s="10">
        <v>390</v>
      </c>
      <c r="E262" s="10">
        <v>390</v>
      </c>
    </row>
    <row r="263" spans="1:5" ht="15.75" thickBot="1" x14ac:dyDescent="0.3">
      <c r="A263" s="5" t="s">
        <v>20</v>
      </c>
      <c r="B263" s="10">
        <v>14521383</v>
      </c>
      <c r="C263" s="10">
        <v>18261844</v>
      </c>
      <c r="D263" s="10">
        <v>17686963.545454547</v>
      </c>
      <c r="E263" s="10">
        <v>17686963.545454547</v>
      </c>
    </row>
    <row r="264" spans="1:5" ht="15.75" thickBot="1" x14ac:dyDescent="0.3">
      <c r="A264" s="5" t="s">
        <v>21</v>
      </c>
      <c r="B264" s="10">
        <f>B263/B262</f>
        <v>37426.244845360823</v>
      </c>
      <c r="C264" s="10">
        <f t="shared" ref="C264:E264" si="18">C263/C262</f>
        <v>46825.241025641022</v>
      </c>
      <c r="D264" s="10">
        <f t="shared" si="18"/>
        <v>45351.188578088579</v>
      </c>
      <c r="E264" s="10">
        <f t="shared" si="18"/>
        <v>45351.188578088579</v>
      </c>
    </row>
    <row r="265" spans="1:5" ht="15.75" thickBot="1" x14ac:dyDescent="0.3">
      <c r="A265" s="5" t="s">
        <v>22</v>
      </c>
      <c r="B265" s="1076"/>
      <c r="C265" s="11">
        <f>C262/B262-1</f>
        <v>5.1546391752577136E-3</v>
      </c>
      <c r="D265" s="11">
        <f t="shared" ref="D265:E267" si="19">D262/C262-1</f>
        <v>0</v>
      </c>
      <c r="E265" s="11">
        <f t="shared" si="19"/>
        <v>0</v>
      </c>
    </row>
    <row r="266" spans="1:5" ht="15.75" thickBot="1" x14ac:dyDescent="0.3">
      <c r="A266" s="5" t="s">
        <v>24</v>
      </c>
      <c r="B266" s="1076"/>
      <c r="C266" s="11">
        <f>C263/B263-1</f>
        <v>0.25758297264110452</v>
      </c>
      <c r="D266" s="11">
        <f t="shared" si="19"/>
        <v>-3.1479868875533779E-2</v>
      </c>
      <c r="E266" s="11">
        <f t="shared" si="19"/>
        <v>0</v>
      </c>
    </row>
    <row r="267" spans="1:5" ht="23.25" thickBot="1" x14ac:dyDescent="0.3">
      <c r="A267" s="5" t="s">
        <v>25</v>
      </c>
      <c r="B267" s="1076"/>
      <c r="C267" s="11">
        <f>C264/B264-1</f>
        <v>0.25113382919166294</v>
      </c>
      <c r="D267" s="11">
        <f t="shared" si="19"/>
        <v>-3.1479868875533779E-2</v>
      </c>
      <c r="E267" s="11">
        <f t="shared" si="19"/>
        <v>0</v>
      </c>
    </row>
    <row r="268" spans="1:5" ht="15.75" thickBot="1" x14ac:dyDescent="0.3">
      <c r="A268" s="1278" t="s">
        <v>884</v>
      </c>
      <c r="B268" s="1279"/>
      <c r="C268" s="1279"/>
      <c r="D268" s="1279"/>
      <c r="E268" s="1355"/>
    </row>
    <row r="269" spans="1:5" ht="12.75" customHeight="1" x14ac:dyDescent="0.25">
      <c r="A269" s="1250"/>
      <c r="B269" s="8">
        <v>2018</v>
      </c>
      <c r="C269" s="8">
        <v>2019</v>
      </c>
      <c r="D269" s="8">
        <v>2020</v>
      </c>
      <c r="E269" s="8">
        <v>2021</v>
      </c>
    </row>
    <row r="270" spans="1:5" ht="9" customHeight="1" thickBot="1" x14ac:dyDescent="0.3">
      <c r="A270" s="1251"/>
      <c r="B270" s="9" t="s">
        <v>10</v>
      </c>
      <c r="C270" s="9" t="s">
        <v>11</v>
      </c>
      <c r="D270" s="9" t="s">
        <v>11</v>
      </c>
      <c r="E270" s="9" t="s">
        <v>11</v>
      </c>
    </row>
    <row r="271" spans="1:5" ht="15.75" thickBot="1" x14ac:dyDescent="0.3">
      <c r="A271" s="237" t="s">
        <v>26</v>
      </c>
      <c r="B271" s="60">
        <v>6416667</v>
      </c>
      <c r="C271" s="60">
        <v>8930735</v>
      </c>
      <c r="D271" s="60">
        <v>8930734.5454545449</v>
      </c>
      <c r="E271" s="60">
        <v>8930734.5454545449</v>
      </c>
    </row>
    <row r="272" spans="1:5" ht="24.75" thickBot="1" x14ac:dyDescent="0.3">
      <c r="A272" s="237" t="s">
        <v>28</v>
      </c>
      <c r="B272" s="60">
        <v>1044283</v>
      </c>
      <c r="C272" s="60">
        <v>1443500</v>
      </c>
      <c r="D272" s="60">
        <v>1443500</v>
      </c>
      <c r="E272" s="60">
        <v>1443500</v>
      </c>
    </row>
    <row r="273" spans="1:5" ht="15.75" thickBot="1" x14ac:dyDescent="0.3">
      <c r="A273" s="237" t="s">
        <v>30</v>
      </c>
      <c r="B273" s="191">
        <v>4505433</v>
      </c>
      <c r="C273" s="60">
        <v>4658183</v>
      </c>
      <c r="D273" s="60">
        <v>4658183</v>
      </c>
      <c r="E273" s="60">
        <v>4658183</v>
      </c>
    </row>
    <row r="274" spans="1:5" ht="15.75" thickBot="1" x14ac:dyDescent="0.3">
      <c r="A274" s="237" t="s">
        <v>32</v>
      </c>
      <c r="B274" s="191">
        <v>0</v>
      </c>
      <c r="C274" s="60">
        <v>0</v>
      </c>
      <c r="D274" s="60">
        <v>0</v>
      </c>
      <c r="E274" s="60">
        <v>0</v>
      </c>
    </row>
    <row r="275" spans="1:5" ht="24.75" thickBot="1" x14ac:dyDescent="0.3">
      <c r="A275" s="237" t="s">
        <v>34</v>
      </c>
      <c r="B275" s="191">
        <v>0</v>
      </c>
      <c r="C275" s="60">
        <v>0</v>
      </c>
      <c r="D275" s="60">
        <v>0</v>
      </c>
      <c r="E275" s="60">
        <v>0</v>
      </c>
    </row>
    <row r="276" spans="1:5" ht="15.75" thickBot="1" x14ac:dyDescent="0.3">
      <c r="A276" s="237" t="s">
        <v>36</v>
      </c>
      <c r="B276" s="191">
        <v>2555000</v>
      </c>
      <c r="C276" s="60">
        <v>2654546</v>
      </c>
      <c r="D276" s="60">
        <v>2654546</v>
      </c>
      <c r="E276" s="60">
        <v>2654546</v>
      </c>
    </row>
    <row r="277" spans="1:5" ht="24.75" thickBot="1" x14ac:dyDescent="0.3">
      <c r="A277" s="237" t="s">
        <v>38</v>
      </c>
      <c r="B277" s="191">
        <v>0</v>
      </c>
      <c r="C277" s="60">
        <v>574880</v>
      </c>
      <c r="D277" s="60">
        <v>0</v>
      </c>
      <c r="E277" s="60">
        <v>0</v>
      </c>
    </row>
    <row r="278" spans="1:5" ht="24.75" thickBot="1" x14ac:dyDescent="0.3">
      <c r="A278" s="367" t="s">
        <v>1652</v>
      </c>
      <c r="B278" s="26">
        <f>B277+B275+B276+B274+B273+B272+B271</f>
        <v>14521383</v>
      </c>
      <c r="C278" s="26">
        <f>C277+C275+C276+C274+C273+C272+C271</f>
        <v>18261844</v>
      </c>
      <c r="D278" s="26">
        <f>D277+D275+D276+D274+D273+D272+D271</f>
        <v>17686963.545454547</v>
      </c>
      <c r="E278" s="26">
        <f>E277+E275+E276+E274+E273+E272+E271</f>
        <v>17686963.545454547</v>
      </c>
    </row>
    <row r="279" spans="1:5" ht="15.75" thickBot="1" x14ac:dyDescent="0.3">
      <c r="A279" s="315" t="s">
        <v>41</v>
      </c>
      <c r="B279" s="238">
        <f>IF(B278-B263=0,0,"Error")</f>
        <v>0</v>
      </c>
      <c r="C279" s="238">
        <f>IF(C278-C263=0,0,"Error")</f>
        <v>0</v>
      </c>
      <c r="D279" s="238">
        <f>IF(D278-D263=0,0,"Error")</f>
        <v>0</v>
      </c>
      <c r="E279" s="238">
        <f>IF(E278-E263=0,0,"Error")</f>
        <v>0</v>
      </c>
    </row>
    <row r="280" spans="1:5" ht="15.75" thickBot="1" x14ac:dyDescent="0.3">
      <c r="A280" s="2596" t="s">
        <v>63</v>
      </c>
      <c r="B280" s="2597"/>
      <c r="C280" s="2597"/>
      <c r="D280" s="2597"/>
      <c r="E280" s="2598"/>
    </row>
    <row r="281" spans="1:5" ht="15.75" thickBot="1" x14ac:dyDescent="0.3">
      <c r="A281" s="2596" t="s">
        <v>56</v>
      </c>
      <c r="B281" s="2597"/>
      <c r="C281" s="2597"/>
      <c r="D281" s="2597"/>
      <c r="E281" s="2598"/>
    </row>
    <row r="282" spans="1:5" ht="15.75" thickBot="1" x14ac:dyDescent="0.3">
      <c r="A282" s="5" t="s">
        <v>61</v>
      </c>
      <c r="B282" s="1660" t="s">
        <v>1672</v>
      </c>
      <c r="C282" s="1661"/>
      <c r="D282" s="1661"/>
      <c r="E282" s="1662"/>
    </row>
    <row r="283" spans="1:5" ht="15.75" thickBot="1" x14ac:dyDescent="0.3">
      <c r="A283" s="247" t="s">
        <v>16</v>
      </c>
      <c r="B283" s="1248" t="s">
        <v>1672</v>
      </c>
      <c r="C283" s="1249"/>
      <c r="D283" s="1249"/>
      <c r="E283" s="1316"/>
    </row>
    <row r="284" spans="1:5" ht="17.25" customHeight="1" thickBot="1" x14ac:dyDescent="0.3">
      <c r="A284" s="5" t="s">
        <v>17</v>
      </c>
      <c r="B284" s="1245" t="s">
        <v>1673</v>
      </c>
      <c r="C284" s="1246"/>
      <c r="D284" s="1246"/>
      <c r="E284" s="1298"/>
    </row>
    <row r="285" spans="1:5" ht="15.75" thickBot="1" x14ac:dyDescent="0.3">
      <c r="A285" s="5" t="s">
        <v>18</v>
      </c>
      <c r="B285" s="1248" t="s">
        <v>1658</v>
      </c>
      <c r="C285" s="1249"/>
      <c r="D285" s="1249"/>
      <c r="E285" s="1316"/>
    </row>
    <row r="286" spans="1:5" ht="12.75" customHeight="1" x14ac:dyDescent="0.25">
      <c r="A286" s="1250"/>
      <c r="B286" s="8">
        <v>2018</v>
      </c>
      <c r="C286" s="8">
        <v>2019</v>
      </c>
      <c r="D286" s="8">
        <v>2020</v>
      </c>
      <c r="E286" s="8">
        <v>2021</v>
      </c>
    </row>
    <row r="287" spans="1:5" ht="9" customHeight="1" thickBot="1" x14ac:dyDescent="0.3">
      <c r="A287" s="1251"/>
      <c r="B287" s="9" t="s">
        <v>10</v>
      </c>
      <c r="C287" s="9" t="s">
        <v>11</v>
      </c>
      <c r="D287" s="9" t="s">
        <v>11</v>
      </c>
      <c r="E287" s="9" t="s">
        <v>11</v>
      </c>
    </row>
    <row r="288" spans="1:5" ht="15.75" thickBot="1" x14ac:dyDescent="0.3">
      <c r="A288" s="5" t="s">
        <v>19</v>
      </c>
      <c r="B288" s="10">
        <v>0</v>
      </c>
      <c r="C288" s="10">
        <v>1</v>
      </c>
      <c r="D288" s="10">
        <v>0</v>
      </c>
      <c r="E288" s="10">
        <v>0</v>
      </c>
    </row>
    <row r="289" spans="1:9" ht="15.75" thickBot="1" x14ac:dyDescent="0.3">
      <c r="A289" s="5" t="s">
        <v>20</v>
      </c>
      <c r="B289" s="10">
        <v>0</v>
      </c>
      <c r="C289" s="10">
        <v>3000000</v>
      </c>
      <c r="D289" s="10">
        <v>0</v>
      </c>
      <c r="E289" s="10">
        <v>0</v>
      </c>
    </row>
    <row r="290" spans="1:9" ht="15.75" thickBot="1" x14ac:dyDescent="0.3">
      <c r="A290" s="5" t="s">
        <v>21</v>
      </c>
      <c r="B290" s="10" t="e">
        <f>B289/B288</f>
        <v>#DIV/0!</v>
      </c>
      <c r="C290" s="10">
        <f t="shared" ref="C290:E290" si="20">C289/C288</f>
        <v>3000000</v>
      </c>
      <c r="D290" s="10" t="e">
        <f t="shared" si="20"/>
        <v>#DIV/0!</v>
      </c>
      <c r="E290" s="10" t="e">
        <f t="shared" si="20"/>
        <v>#DIV/0!</v>
      </c>
    </row>
    <row r="291" spans="1:9" ht="15.75" thickBot="1" x14ac:dyDescent="0.3">
      <c r="A291" s="5" t="s">
        <v>22</v>
      </c>
      <c r="B291" s="1076" t="s">
        <v>23</v>
      </c>
      <c r="C291" s="11" t="e">
        <f>C288/B288-1</f>
        <v>#DIV/0!</v>
      </c>
      <c r="D291" s="11">
        <f t="shared" ref="D291:E293" si="21">D288/C288-1</f>
        <v>-1</v>
      </c>
      <c r="E291" s="11" t="e">
        <f t="shared" si="21"/>
        <v>#DIV/0!</v>
      </c>
      <c r="F291" s="12"/>
      <c r="G291" s="12"/>
      <c r="H291" s="12"/>
      <c r="I291" s="12"/>
    </row>
    <row r="292" spans="1:9" ht="15.75" thickBot="1" x14ac:dyDescent="0.3">
      <c r="A292" s="5" t="s">
        <v>24</v>
      </c>
      <c r="B292" s="1076" t="s">
        <v>23</v>
      </c>
      <c r="C292" s="11" t="e">
        <f>C289/B289-1</f>
        <v>#DIV/0!</v>
      </c>
      <c r="D292" s="11">
        <f t="shared" si="21"/>
        <v>-1</v>
      </c>
      <c r="E292" s="11" t="e">
        <f t="shared" si="21"/>
        <v>#DIV/0!</v>
      </c>
    </row>
    <row r="293" spans="1:9" ht="23.25" thickBot="1" x14ac:dyDescent="0.3">
      <c r="A293" s="5" t="s">
        <v>25</v>
      </c>
      <c r="B293" s="1076" t="s">
        <v>23</v>
      </c>
      <c r="C293" s="11" t="e">
        <f>C290/B290-1</f>
        <v>#DIV/0!</v>
      </c>
      <c r="D293" s="11" t="e">
        <f t="shared" si="21"/>
        <v>#DIV/0!</v>
      </c>
      <c r="E293" s="11" t="e">
        <f t="shared" si="21"/>
        <v>#DIV/0!</v>
      </c>
    </row>
    <row r="294" spans="1:9" ht="15.75" thickBot="1" x14ac:dyDescent="0.3">
      <c r="A294" s="1278" t="s">
        <v>633</v>
      </c>
      <c r="B294" s="1279"/>
      <c r="C294" s="1279"/>
      <c r="D294" s="1279"/>
      <c r="E294" s="1355"/>
    </row>
    <row r="295" spans="1:9" ht="12.75" customHeight="1" x14ac:dyDescent="0.25">
      <c r="A295" s="1250"/>
      <c r="B295" s="8">
        <v>2018</v>
      </c>
      <c r="C295" s="8">
        <v>2019</v>
      </c>
      <c r="D295" s="8">
        <v>2020</v>
      </c>
      <c r="E295" s="8">
        <v>2021</v>
      </c>
    </row>
    <row r="296" spans="1:9" ht="9" customHeight="1" thickBot="1" x14ac:dyDescent="0.3">
      <c r="A296" s="1251"/>
      <c r="B296" s="9" t="s">
        <v>10</v>
      </c>
      <c r="C296" s="9" t="s">
        <v>11</v>
      </c>
      <c r="D296" s="9" t="s">
        <v>11</v>
      </c>
      <c r="E296" s="9" t="s">
        <v>11</v>
      </c>
    </row>
    <row r="297" spans="1:9" ht="24.75" thickBot="1" x14ac:dyDescent="0.3">
      <c r="A297" s="237" t="s">
        <v>58</v>
      </c>
      <c r="B297" s="60">
        <v>0</v>
      </c>
      <c r="C297" s="60">
        <v>0</v>
      </c>
      <c r="D297" s="60">
        <v>0</v>
      </c>
      <c r="E297" s="60">
        <v>0</v>
      </c>
    </row>
    <row r="298" spans="1:9" ht="15.75" thickBot="1" x14ac:dyDescent="0.3">
      <c r="A298" s="237" t="s">
        <v>59</v>
      </c>
      <c r="B298" s="191">
        <v>0</v>
      </c>
      <c r="C298" s="60">
        <v>3000000</v>
      </c>
      <c r="D298" s="60">
        <v>0</v>
      </c>
      <c r="E298" s="60">
        <v>0</v>
      </c>
    </row>
    <row r="299" spans="1:9" ht="24.75" thickBot="1" x14ac:dyDescent="0.3">
      <c r="A299" s="367" t="s">
        <v>40</v>
      </c>
      <c r="B299" s="191">
        <f>B298+B297</f>
        <v>0</v>
      </c>
      <c r="C299" s="191">
        <f t="shared" ref="C299:E299" si="22">C298+C297</f>
        <v>3000000</v>
      </c>
      <c r="D299" s="191">
        <f t="shared" si="22"/>
        <v>0</v>
      </c>
      <c r="E299" s="191">
        <f t="shared" si="22"/>
        <v>0</v>
      </c>
    </row>
    <row r="300" spans="1:9" ht="15.75" thickBot="1" x14ac:dyDescent="0.3">
      <c r="A300" s="2596" t="s">
        <v>63</v>
      </c>
      <c r="B300" s="2597"/>
      <c r="C300" s="2597"/>
      <c r="D300" s="2597"/>
      <c r="E300" s="2598"/>
    </row>
    <row r="301" spans="1:9" ht="15.75" thickBot="1" x14ac:dyDescent="0.3">
      <c r="A301" s="2596" t="s">
        <v>64</v>
      </c>
      <c r="B301" s="2597"/>
      <c r="C301" s="2597"/>
      <c r="D301" s="2597"/>
      <c r="E301" s="2598"/>
    </row>
    <row r="302" spans="1:9" ht="15.75" thickBot="1" x14ac:dyDescent="0.3">
      <c r="A302" s="5" t="s">
        <v>61</v>
      </c>
      <c r="B302" s="1660" t="s">
        <v>1674</v>
      </c>
      <c r="C302" s="1661"/>
      <c r="D302" s="1661"/>
      <c r="E302" s="1662"/>
    </row>
    <row r="303" spans="1:9" ht="15.75" thickBot="1" x14ac:dyDescent="0.3">
      <c r="A303" s="247" t="s">
        <v>16</v>
      </c>
      <c r="B303" s="1248" t="s">
        <v>1675</v>
      </c>
      <c r="C303" s="1249"/>
      <c r="D303" s="1249"/>
      <c r="E303" s="1316"/>
    </row>
    <row r="304" spans="1:9" ht="42" customHeight="1" thickBot="1" x14ac:dyDescent="0.3">
      <c r="A304" s="5" t="s">
        <v>17</v>
      </c>
      <c r="B304" s="1245" t="s">
        <v>1676</v>
      </c>
      <c r="C304" s="1246"/>
      <c r="D304" s="1246"/>
      <c r="E304" s="1298"/>
    </row>
    <row r="305" spans="1:9" ht="15.75" thickBot="1" x14ac:dyDescent="0.3">
      <c r="A305" s="5" t="s">
        <v>18</v>
      </c>
      <c r="B305" s="1248" t="s">
        <v>1658</v>
      </c>
      <c r="C305" s="1249"/>
      <c r="D305" s="1249"/>
      <c r="E305" s="1316"/>
    </row>
    <row r="306" spans="1:9" ht="12.75" customHeight="1" x14ac:dyDescent="0.25">
      <c r="A306" s="1250"/>
      <c r="B306" s="8">
        <v>2018</v>
      </c>
      <c r="C306" s="8">
        <v>2019</v>
      </c>
      <c r="D306" s="8">
        <v>2020</v>
      </c>
      <c r="E306" s="8">
        <v>2021</v>
      </c>
    </row>
    <row r="307" spans="1:9" ht="9" customHeight="1" thickBot="1" x14ac:dyDescent="0.3">
      <c r="A307" s="1251"/>
      <c r="B307" s="9" t="s">
        <v>10</v>
      </c>
      <c r="C307" s="9" t="s">
        <v>11</v>
      </c>
      <c r="D307" s="9" t="s">
        <v>11</v>
      </c>
      <c r="E307" s="9" t="s">
        <v>11</v>
      </c>
    </row>
    <row r="308" spans="1:9" ht="15.75" thickBot="1" x14ac:dyDescent="0.3">
      <c r="A308" s="5" t="s">
        <v>19</v>
      </c>
      <c r="B308" s="10">
        <v>1</v>
      </c>
      <c r="C308" s="10">
        <v>0</v>
      </c>
      <c r="D308" s="10">
        <v>0</v>
      </c>
      <c r="E308" s="10">
        <v>0</v>
      </c>
    </row>
    <row r="309" spans="1:9" ht="15.75" thickBot="1" x14ac:dyDescent="0.3">
      <c r="A309" s="5" t="s">
        <v>20</v>
      </c>
      <c r="B309" s="10">
        <v>6500000</v>
      </c>
      <c r="C309" s="10">
        <v>0</v>
      </c>
      <c r="D309" s="10">
        <v>0</v>
      </c>
      <c r="E309" s="10">
        <v>0</v>
      </c>
    </row>
    <row r="310" spans="1:9" ht="15.75" thickBot="1" x14ac:dyDescent="0.3">
      <c r="A310" s="5" t="s">
        <v>21</v>
      </c>
      <c r="B310" s="10">
        <f>B309/B308</f>
        <v>6500000</v>
      </c>
      <c r="C310" s="10" t="e">
        <f t="shared" ref="C310:E310" si="23">C309/C308</f>
        <v>#DIV/0!</v>
      </c>
      <c r="D310" s="10" t="e">
        <f t="shared" si="23"/>
        <v>#DIV/0!</v>
      </c>
      <c r="E310" s="10" t="e">
        <f t="shared" si="23"/>
        <v>#DIV/0!</v>
      </c>
    </row>
    <row r="311" spans="1:9" ht="15.75" thickBot="1" x14ac:dyDescent="0.3">
      <c r="A311" s="5" t="s">
        <v>22</v>
      </c>
      <c r="B311" s="1076" t="s">
        <v>23</v>
      </c>
      <c r="C311" s="11">
        <f>C308/B308-1</f>
        <v>-1</v>
      </c>
      <c r="D311" s="11" t="e">
        <f t="shared" ref="D311:E313" si="24">D308/C308-1</f>
        <v>#DIV/0!</v>
      </c>
      <c r="E311" s="11" t="e">
        <f t="shared" si="24"/>
        <v>#DIV/0!</v>
      </c>
      <c r="F311" s="12"/>
      <c r="G311" s="12"/>
      <c r="H311" s="12"/>
      <c r="I311" s="12"/>
    </row>
    <row r="312" spans="1:9" ht="15.75" thickBot="1" x14ac:dyDescent="0.3">
      <c r="A312" s="5" t="s">
        <v>24</v>
      </c>
      <c r="B312" s="1076" t="s">
        <v>23</v>
      </c>
      <c r="C312" s="11">
        <f>C309/B309-1</f>
        <v>-1</v>
      </c>
      <c r="D312" s="11" t="e">
        <f t="shared" si="24"/>
        <v>#DIV/0!</v>
      </c>
      <c r="E312" s="11" t="e">
        <f t="shared" si="24"/>
        <v>#DIV/0!</v>
      </c>
    </row>
    <row r="313" spans="1:9" ht="23.25" thickBot="1" x14ac:dyDescent="0.3">
      <c r="A313" s="5" t="s">
        <v>25</v>
      </c>
      <c r="B313" s="1076" t="s">
        <v>23</v>
      </c>
      <c r="C313" s="11" t="e">
        <f>C310/B310-1</f>
        <v>#DIV/0!</v>
      </c>
      <c r="D313" s="11" t="e">
        <f t="shared" si="24"/>
        <v>#DIV/0!</v>
      </c>
      <c r="E313" s="11" t="e">
        <f t="shared" si="24"/>
        <v>#DIV/0!</v>
      </c>
    </row>
    <row r="314" spans="1:9" ht="15.75" thickBot="1" x14ac:dyDescent="0.3">
      <c r="A314" s="1278" t="s">
        <v>633</v>
      </c>
      <c r="B314" s="1279"/>
      <c r="C314" s="1279"/>
      <c r="D314" s="1279"/>
      <c r="E314" s="1355"/>
    </row>
    <row r="315" spans="1:9" ht="12.75" customHeight="1" x14ac:dyDescent="0.25">
      <c r="A315" s="1250"/>
      <c r="B315" s="8">
        <v>2018</v>
      </c>
      <c r="C315" s="8">
        <v>2019</v>
      </c>
      <c r="D315" s="8">
        <v>2020</v>
      </c>
      <c r="E315" s="8">
        <v>2021</v>
      </c>
    </row>
    <row r="316" spans="1:9" ht="9" customHeight="1" thickBot="1" x14ac:dyDescent="0.3">
      <c r="A316" s="1251"/>
      <c r="B316" s="9" t="s">
        <v>10</v>
      </c>
      <c r="C316" s="9" t="s">
        <v>11</v>
      </c>
      <c r="D316" s="9" t="s">
        <v>11</v>
      </c>
      <c r="E316" s="9" t="s">
        <v>11</v>
      </c>
    </row>
    <row r="317" spans="1:9" ht="24.75" thickBot="1" x14ac:dyDescent="0.3">
      <c r="A317" s="237" t="s">
        <v>58</v>
      </c>
      <c r="B317" s="60">
        <v>0</v>
      </c>
      <c r="C317" s="60">
        <v>0</v>
      </c>
      <c r="D317" s="60">
        <v>0</v>
      </c>
      <c r="E317" s="60">
        <v>0</v>
      </c>
    </row>
    <row r="318" spans="1:9" ht="15.75" thickBot="1" x14ac:dyDescent="0.3">
      <c r="A318" s="237" t="s">
        <v>59</v>
      </c>
      <c r="B318" s="191">
        <v>6500000</v>
      </c>
      <c r="C318" s="60">
        <v>0</v>
      </c>
      <c r="D318" s="60">
        <v>0</v>
      </c>
      <c r="E318" s="60">
        <v>0</v>
      </c>
    </row>
    <row r="319" spans="1:9" ht="24.75" thickBot="1" x14ac:dyDescent="0.3">
      <c r="A319" s="367" t="s">
        <v>40</v>
      </c>
      <c r="B319" s="191">
        <f>B318+B317</f>
        <v>6500000</v>
      </c>
      <c r="C319" s="191">
        <f t="shared" ref="C319:E319" si="25">C318+C317</f>
        <v>0</v>
      </c>
      <c r="D319" s="191">
        <f t="shared" si="25"/>
        <v>0</v>
      </c>
      <c r="E319" s="191">
        <f t="shared" si="25"/>
        <v>0</v>
      </c>
    </row>
    <row r="320" spans="1:9" ht="15.75" thickBot="1" x14ac:dyDescent="0.3">
      <c r="A320" s="315"/>
      <c r="B320" s="238"/>
      <c r="C320" s="238"/>
      <c r="D320" s="238"/>
      <c r="E320" s="238"/>
    </row>
    <row r="321" spans="1:6" ht="46.5" customHeight="1" thickBot="1" x14ac:dyDescent="0.3">
      <c r="A321" s="987" t="s">
        <v>82</v>
      </c>
      <c r="B321" s="238">
        <f>+B32+B55+B78+B105+B134+B159+B182+B209+B238+B263+B289+B309</f>
        <v>130969000</v>
      </c>
      <c r="C321" s="238">
        <f>+C32+C55+C78+C105+C134+C159+C182+C209+C238+C263+C289+C309</f>
        <v>153660198</v>
      </c>
      <c r="D321" s="238">
        <f>+D32+D55+D78+D105+D134+D159+D182+D209+D238+D263+D289+D309</f>
        <v>145917437.54545456</v>
      </c>
      <c r="E321" s="238">
        <f t="shared" ref="E321" si="26">+E32+E55+E78+E105+E134+E159+E182+E209+E238+E263+E289+E309</f>
        <v>145917437.54545456</v>
      </c>
    </row>
    <row r="322" spans="1:6" ht="36.75" thickBot="1" x14ac:dyDescent="0.3">
      <c r="A322" s="987" t="s">
        <v>83</v>
      </c>
      <c r="B322" s="238">
        <f>+B47+B70+B93+B122+B151+B174+B197+B226+B255+B278+B299+B318</f>
        <v>130969000</v>
      </c>
      <c r="C322" s="238">
        <f>+C47+C70+C93+C122+C151+C174+C197+C226+C255+C278+C299+C318</f>
        <v>153660198</v>
      </c>
      <c r="D322" s="238">
        <f>+D47+D70+D93+D122+D151+D174+D197+D226+D255+D278+D299+D318</f>
        <v>145917437.54545456</v>
      </c>
      <c r="E322" s="238">
        <f t="shared" ref="E322" si="27">+E47+E70+E93+E122+E151+E174+E197+E226+E255+E278+E299+E318</f>
        <v>145917437.54545456</v>
      </c>
    </row>
    <row r="323" spans="1:6" ht="36.75" thickBot="1" x14ac:dyDescent="0.3">
      <c r="A323" s="25" t="s">
        <v>84</v>
      </c>
      <c r="B323" s="26"/>
      <c r="C323" s="986">
        <f>C322/B322-1</f>
        <v>0.17325625147935764</v>
      </c>
      <c r="D323" s="986">
        <f t="shared" ref="D323:E323" si="28">D322/C322-1</f>
        <v>-5.0388848610916415E-2</v>
      </c>
      <c r="E323" s="986">
        <f t="shared" si="28"/>
        <v>0</v>
      </c>
    </row>
    <row r="324" spans="1:6" ht="15.75" thickBot="1" x14ac:dyDescent="0.3">
      <c r="A324" s="237" t="s">
        <v>26</v>
      </c>
      <c r="B324" s="60">
        <f>+B40+B63+B86+B115+B144+B167+B190+B219+B248+B271</f>
        <v>55000000</v>
      </c>
      <c r="C324" s="60">
        <f>+C40+C63+C86+C115+C144+C167+C190+C219+C248+C271</f>
        <v>73678560</v>
      </c>
      <c r="D324" s="60">
        <f>+D40+D63+D86+D115+D144+D167+D190+D219+D248+D271</f>
        <v>73678559.545454547</v>
      </c>
      <c r="E324" s="60">
        <f t="shared" ref="E324" si="29">+E40+E63+E86+E115+E144+E167+E190+E219+E248+E271</f>
        <v>73678559.545454547</v>
      </c>
      <c r="F324" s="2603"/>
    </row>
    <row r="325" spans="1:6" ht="15.75" thickBot="1" x14ac:dyDescent="0.3">
      <c r="A325" s="985" t="s">
        <v>85</v>
      </c>
      <c r="B325" s="191">
        <f>B327</f>
        <v>0</v>
      </c>
      <c r="C325" s="234">
        <f>C324/B324-1</f>
        <v>0.33961018181818181</v>
      </c>
      <c r="D325" s="234">
        <f t="shared" ref="D325:E325" si="30">D324/C324-1</f>
        <v>-6.1693042896493466E-9</v>
      </c>
      <c r="E325" s="234">
        <f t="shared" si="30"/>
        <v>0</v>
      </c>
      <c r="F325" s="2603"/>
    </row>
    <row r="326" spans="1:6" ht="24.75" thickBot="1" x14ac:dyDescent="0.3">
      <c r="A326" s="237" t="s">
        <v>28</v>
      </c>
      <c r="B326" s="191">
        <f>++B41+B64+B87+B116+B145+B168+B191+B220+B249+B272</f>
        <v>8951000</v>
      </c>
      <c r="C326" s="191">
        <f t="shared" ref="C326:E326" si="31">++C41+C64+C87+C116+C145+C168+C191+C220+C249+C272</f>
        <v>11908878</v>
      </c>
      <c r="D326" s="191">
        <f t="shared" si="31"/>
        <v>11908878</v>
      </c>
      <c r="E326" s="191">
        <f t="shared" si="31"/>
        <v>11908878</v>
      </c>
      <c r="F326" s="2603"/>
    </row>
    <row r="327" spans="1:6" ht="24.75" thickBot="1" x14ac:dyDescent="0.3">
      <c r="A327" s="985" t="s">
        <v>86</v>
      </c>
      <c r="B327" s="191"/>
      <c r="C327" s="234">
        <f>C326/B326-1</f>
        <v>0.33045223997318729</v>
      </c>
      <c r="D327" s="234">
        <f t="shared" ref="D327:E327" si="32">D326/C326-1</f>
        <v>0</v>
      </c>
      <c r="E327" s="234">
        <f t="shared" si="32"/>
        <v>0</v>
      </c>
      <c r="F327" s="2603"/>
    </row>
    <row r="328" spans="1:6" ht="15.75" thickBot="1" x14ac:dyDescent="0.3">
      <c r="A328" s="237" t="s">
        <v>30</v>
      </c>
      <c r="B328" s="60">
        <f>+B42+B65+B88+B117+B146+B169+B192+B221+B250+B273</f>
        <v>38618000</v>
      </c>
      <c r="C328" s="60">
        <f t="shared" ref="C328:E328" si="33">+C42+C65+C88+C117+C146+C169+C192+C221+C250+C273</f>
        <v>38430000</v>
      </c>
      <c r="D328" s="60">
        <f t="shared" si="33"/>
        <v>38430000</v>
      </c>
      <c r="E328" s="60">
        <f t="shared" si="33"/>
        <v>38430000</v>
      </c>
      <c r="F328" s="2603"/>
    </row>
    <row r="329" spans="1:6" ht="24.75" thickBot="1" x14ac:dyDescent="0.3">
      <c r="A329" s="985" t="s">
        <v>87</v>
      </c>
      <c r="B329" s="191"/>
      <c r="C329" s="234">
        <f>C328/B328-1</f>
        <v>-4.868196177948092E-3</v>
      </c>
      <c r="D329" s="234">
        <f t="shared" ref="D329:E329" si="34">D328/C328-1</f>
        <v>0</v>
      </c>
      <c r="E329" s="234">
        <f t="shared" si="34"/>
        <v>0</v>
      </c>
    </row>
    <row r="330" spans="1:6" ht="15.75" thickBot="1" x14ac:dyDescent="0.3">
      <c r="A330" s="237" t="s">
        <v>32</v>
      </c>
      <c r="B330" s="60">
        <f>B170+B118+B66+B43</f>
        <v>0</v>
      </c>
      <c r="C330" s="60">
        <f>C170+C118+C66+C43</f>
        <v>0</v>
      </c>
      <c r="D330" s="60">
        <f>D170+D118+D66+D43</f>
        <v>0</v>
      </c>
      <c r="E330" s="60">
        <f>E170+E118+E66+E43</f>
        <v>0</v>
      </c>
    </row>
    <row r="331" spans="1:6" ht="24.75" thickBot="1" x14ac:dyDescent="0.3">
      <c r="A331" s="985" t="s">
        <v>88</v>
      </c>
      <c r="B331" s="191"/>
      <c r="C331" s="234"/>
      <c r="D331" s="234"/>
      <c r="E331" s="234"/>
    </row>
    <row r="332" spans="1:6" ht="24.75" thickBot="1" x14ac:dyDescent="0.3">
      <c r="A332" s="237" t="s">
        <v>34</v>
      </c>
      <c r="B332" s="60">
        <f>B171+B119+B67+B44</f>
        <v>0</v>
      </c>
      <c r="C332" s="60">
        <f>C171+C119+C67+C44</f>
        <v>0</v>
      </c>
      <c r="D332" s="60">
        <f>D171+D119+D67+D44</f>
        <v>0</v>
      </c>
      <c r="E332" s="60">
        <f>E171+E119+E67+E44</f>
        <v>0</v>
      </c>
    </row>
    <row r="333" spans="1:6" ht="24.75" thickBot="1" x14ac:dyDescent="0.3">
      <c r="A333" s="985" t="s">
        <v>89</v>
      </c>
      <c r="B333" s="191"/>
      <c r="C333" s="234"/>
      <c r="D333" s="234"/>
      <c r="E333" s="234"/>
    </row>
    <row r="334" spans="1:6" ht="15.75" thickBot="1" x14ac:dyDescent="0.3">
      <c r="A334" s="237" t="s">
        <v>36</v>
      </c>
      <c r="B334" s="60">
        <f>+B45+B68+B91+B120+B149+B172+B195+B224+B253+B276</f>
        <v>21900000</v>
      </c>
      <c r="C334" s="60">
        <f t="shared" ref="C334:E334" si="35">+C45+C68+C91+C120+C149+C172+C195+C224+C253+C276</f>
        <v>21900000</v>
      </c>
      <c r="D334" s="60">
        <f t="shared" si="35"/>
        <v>21900000</v>
      </c>
      <c r="E334" s="60">
        <f t="shared" si="35"/>
        <v>21900000</v>
      </c>
    </row>
    <row r="335" spans="1:6" ht="24.75" thickBot="1" x14ac:dyDescent="0.3">
      <c r="A335" s="985" t="s">
        <v>90</v>
      </c>
      <c r="B335" s="191"/>
      <c r="C335" s="234">
        <f>C334/B334-1</f>
        <v>0</v>
      </c>
      <c r="D335" s="234">
        <f t="shared" ref="D335:E335" si="36">D334/C334-1</f>
        <v>0</v>
      </c>
      <c r="E335" s="234">
        <f t="shared" si="36"/>
        <v>0</v>
      </c>
    </row>
    <row r="336" spans="1:6" ht="24.75" thickBot="1" x14ac:dyDescent="0.3">
      <c r="A336" s="237" t="s">
        <v>38</v>
      </c>
      <c r="B336" s="60">
        <f>B173+B121+B69+B46</f>
        <v>0</v>
      </c>
      <c r="C336" s="60">
        <f>+C46+C69+C92+C121+C150+C173+C196+C225+C254+C277</f>
        <v>4742760</v>
      </c>
      <c r="D336" s="60">
        <f>D173+D121+D69+D46</f>
        <v>0</v>
      </c>
      <c r="E336" s="60">
        <f>E173+E121+E69+E46</f>
        <v>0</v>
      </c>
    </row>
    <row r="337" spans="1:5" ht="36.75" thickBot="1" x14ac:dyDescent="0.3">
      <c r="A337" s="985" t="s">
        <v>91</v>
      </c>
      <c r="B337" s="191"/>
      <c r="C337" s="234"/>
      <c r="D337" s="234"/>
      <c r="E337" s="234"/>
    </row>
    <row r="338" spans="1:5" ht="24.75" thickBot="1" x14ac:dyDescent="0.3">
      <c r="A338" s="237" t="s">
        <v>92</v>
      </c>
      <c r="B338" s="60">
        <f>+B297+B317</f>
        <v>0</v>
      </c>
      <c r="C338" s="60">
        <f t="shared" ref="C338:E338" si="37">+C297+C317</f>
        <v>0</v>
      </c>
      <c r="D338" s="60">
        <f t="shared" si="37"/>
        <v>0</v>
      </c>
      <c r="E338" s="60">
        <f t="shared" si="37"/>
        <v>0</v>
      </c>
    </row>
    <row r="339" spans="1:5" ht="24.75" thickBot="1" x14ac:dyDescent="0.3">
      <c r="A339" s="985" t="s">
        <v>93</v>
      </c>
      <c r="B339" s="191"/>
      <c r="C339" s="234"/>
      <c r="D339" s="234"/>
      <c r="E339" s="234"/>
    </row>
    <row r="340" spans="1:5" ht="15.75" thickBot="1" x14ac:dyDescent="0.3">
      <c r="A340" s="237" t="s">
        <v>94</v>
      </c>
      <c r="B340" s="60">
        <f>+B298+B318</f>
        <v>6500000</v>
      </c>
      <c r="C340" s="60">
        <f t="shared" ref="C340:E340" si="38">+C298+C318</f>
        <v>3000000</v>
      </c>
      <c r="D340" s="60">
        <f t="shared" si="38"/>
        <v>0</v>
      </c>
      <c r="E340" s="60">
        <f t="shared" si="38"/>
        <v>0</v>
      </c>
    </row>
    <row r="341" spans="1:5" ht="24.75" thickBot="1" x14ac:dyDescent="0.3">
      <c r="A341" s="985" t="s">
        <v>95</v>
      </c>
      <c r="B341" s="191"/>
      <c r="C341" s="234">
        <f>C340/B340-1</f>
        <v>-0.53846153846153844</v>
      </c>
      <c r="D341" s="234">
        <f t="shared" ref="D341:E341" si="39">D340/C340-1</f>
        <v>-1</v>
      </c>
      <c r="E341" s="234" t="e">
        <f t="shared" si="39"/>
        <v>#DIV/0!</v>
      </c>
    </row>
    <row r="342" spans="1:5" ht="15.75" thickBot="1" x14ac:dyDescent="0.3">
      <c r="A342" s="315" t="s">
        <v>41</v>
      </c>
      <c r="B342" s="238">
        <f>IF(B322-B321=0,0,"Error")</f>
        <v>0</v>
      </c>
      <c r="C342" s="238">
        <f>IF(C322-C321=0,0,"Error")</f>
        <v>0</v>
      </c>
      <c r="D342" s="238">
        <f t="shared" ref="D342:E342" si="40">IF(D322-D321=0,0,"Error")</f>
        <v>0</v>
      </c>
      <c r="E342" s="238">
        <f t="shared" si="40"/>
        <v>0</v>
      </c>
    </row>
    <row r="343" spans="1:5" ht="36.75" thickBot="1" x14ac:dyDescent="0.3">
      <c r="A343" s="2604" t="s">
        <v>96</v>
      </c>
      <c r="B343" s="60">
        <v>55</v>
      </c>
      <c r="C343" s="60">
        <v>66</v>
      </c>
      <c r="D343" s="60">
        <v>66</v>
      </c>
      <c r="E343" s="60">
        <v>66</v>
      </c>
    </row>
    <row r="344" spans="1:5" ht="36.75" thickBot="1" x14ac:dyDescent="0.3">
      <c r="A344" s="2604" t="s">
        <v>97</v>
      </c>
      <c r="B344" s="60">
        <v>2</v>
      </c>
      <c r="C344" s="60">
        <v>0</v>
      </c>
      <c r="D344" s="60">
        <v>0</v>
      </c>
      <c r="E344" s="60">
        <v>0</v>
      </c>
    </row>
  </sheetData>
  <mergeCells count="111">
    <mergeCell ref="A306:A307"/>
    <mergeCell ref="A314:E314"/>
    <mergeCell ref="A315:A316"/>
    <mergeCell ref="A300:E300"/>
    <mergeCell ref="A301:E301"/>
    <mergeCell ref="B302:E302"/>
    <mergeCell ref="B303:E303"/>
    <mergeCell ref="B304:E304"/>
    <mergeCell ref="B305:E305"/>
    <mergeCell ref="B283:E283"/>
    <mergeCell ref="B284:E284"/>
    <mergeCell ref="B285:E285"/>
    <mergeCell ref="A286:A287"/>
    <mergeCell ref="A294:E294"/>
    <mergeCell ref="A295:A296"/>
    <mergeCell ref="A260:A261"/>
    <mergeCell ref="A268:E268"/>
    <mergeCell ref="A269:A270"/>
    <mergeCell ref="A280:E280"/>
    <mergeCell ref="A281:E281"/>
    <mergeCell ref="B282:E282"/>
    <mergeCell ref="A243:A244"/>
    <mergeCell ref="A245:E245"/>
    <mergeCell ref="A246:A247"/>
    <mergeCell ref="B257:E257"/>
    <mergeCell ref="B258:E258"/>
    <mergeCell ref="B259:E259"/>
    <mergeCell ref="A229:E229"/>
    <mergeCell ref="A230:A231"/>
    <mergeCell ref="B232:E232"/>
    <mergeCell ref="B233:E233"/>
    <mergeCell ref="B234:E234"/>
    <mergeCell ref="A235:A236"/>
    <mergeCell ref="B205:E205"/>
    <mergeCell ref="A206:A207"/>
    <mergeCell ref="A214:A215"/>
    <mergeCell ref="A216:E216"/>
    <mergeCell ref="A217:A218"/>
    <mergeCell ref="A228:E228"/>
    <mergeCell ref="A188:A189"/>
    <mergeCell ref="A199:E199"/>
    <mergeCell ref="A200:E200"/>
    <mergeCell ref="A201:A202"/>
    <mergeCell ref="B203:E203"/>
    <mergeCell ref="B204:E204"/>
    <mergeCell ref="A165:A166"/>
    <mergeCell ref="B176:E176"/>
    <mergeCell ref="B177:E177"/>
    <mergeCell ref="B178:E178"/>
    <mergeCell ref="A179:A180"/>
    <mergeCell ref="A187:E187"/>
    <mergeCell ref="A142:A143"/>
    <mergeCell ref="B153:E153"/>
    <mergeCell ref="B154:E154"/>
    <mergeCell ref="B155:E155"/>
    <mergeCell ref="A156:A157"/>
    <mergeCell ref="A164:E164"/>
    <mergeCell ref="B128:E128"/>
    <mergeCell ref="B129:E129"/>
    <mergeCell ref="B130:E130"/>
    <mergeCell ref="A131:A132"/>
    <mergeCell ref="A139:A140"/>
    <mergeCell ref="A141:E141"/>
    <mergeCell ref="A110:A111"/>
    <mergeCell ref="A112:E112"/>
    <mergeCell ref="A113:A114"/>
    <mergeCell ref="A124:E124"/>
    <mergeCell ref="A125:E125"/>
    <mergeCell ref="A126:A127"/>
    <mergeCell ref="A96:E96"/>
    <mergeCell ref="A97:A98"/>
    <mergeCell ref="B99:E99"/>
    <mergeCell ref="B100:E100"/>
    <mergeCell ref="B101:E101"/>
    <mergeCell ref="A102:A103"/>
    <mergeCell ref="B73:E73"/>
    <mergeCell ref="B74:E74"/>
    <mergeCell ref="A76:A77"/>
    <mergeCell ref="A83:E83"/>
    <mergeCell ref="A84:A85"/>
    <mergeCell ref="A95:E95"/>
    <mergeCell ref="B50:E50"/>
    <mergeCell ref="B51:E51"/>
    <mergeCell ref="A53:A54"/>
    <mergeCell ref="A60:E60"/>
    <mergeCell ref="A61:A62"/>
    <mergeCell ref="B72:E72"/>
    <mergeCell ref="B27:E27"/>
    <mergeCell ref="B28:E28"/>
    <mergeCell ref="A29:A30"/>
    <mergeCell ref="A37:E37"/>
    <mergeCell ref="A38:A39"/>
    <mergeCell ref="B49:E49"/>
    <mergeCell ref="B18:E18"/>
    <mergeCell ref="B19:E19"/>
    <mergeCell ref="A20:E20"/>
    <mergeCell ref="A24:E24"/>
    <mergeCell ref="A25:E25"/>
    <mergeCell ref="B26:E26"/>
    <mergeCell ref="A10:E10"/>
    <mergeCell ref="B11:E11"/>
    <mergeCell ref="B12:E12"/>
    <mergeCell ref="B13:E13"/>
    <mergeCell ref="A14:E14"/>
    <mergeCell ref="A15:E17"/>
    <mergeCell ref="B4:E4"/>
    <mergeCell ref="B5:E5"/>
    <mergeCell ref="B6:E6"/>
    <mergeCell ref="C7:E7"/>
    <mergeCell ref="C8:E8"/>
    <mergeCell ref="A9:E9"/>
  </mergeCells>
  <printOptions horizontalCentered="1" verticalCentered="1"/>
  <pageMargins left="0.7" right="0.7" top="0.75" bottom="0.75" header="0.3" footer="0.3"/>
  <pageSetup paperSize="9" scale="58" fitToHeight="0" orientation="portrait" r:id="rId1"/>
  <rowBreaks count="8" manualBreakCount="8">
    <brk id="46" max="16383" man="1"/>
    <brk id="90" max="16383" man="1"/>
    <brk id="134" max="16383" man="1"/>
    <brk id="168" max="16383" man="1"/>
    <brk id="210" max="16383" man="1"/>
    <brk id="253" max="16383" man="1"/>
    <brk id="289" max="16383" man="1"/>
    <brk id="323"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347"/>
  <sheetViews>
    <sheetView view="pageBreakPreview" zoomScale="145" zoomScaleNormal="120" zoomScaleSheetLayoutView="145" workbookViewId="0">
      <selection activeCell="F6" sqref="F6"/>
    </sheetView>
  </sheetViews>
  <sheetFormatPr defaultRowHeight="15" x14ac:dyDescent="0.25"/>
  <cols>
    <col min="1" max="1" width="21.42578125" customWidth="1"/>
    <col min="2" max="2" width="18.5703125" customWidth="1"/>
    <col min="3" max="3" width="18.5703125" style="235" customWidth="1"/>
    <col min="4" max="5" width="18.5703125" customWidth="1"/>
    <col min="6" max="6" width="11" customWidth="1"/>
    <col min="7" max="7" width="11" bestFit="1" customWidth="1"/>
  </cols>
  <sheetData>
    <row r="1" spans="1:5" x14ac:dyDescent="0.25">
      <c r="A1" s="189" t="s">
        <v>898</v>
      </c>
      <c r="B1" s="188"/>
      <c r="C1" s="188"/>
      <c r="D1" s="188"/>
    </row>
    <row r="2" spans="1:5" ht="15.75" thickBot="1" x14ac:dyDescent="0.3">
      <c r="C2"/>
    </row>
    <row r="3" spans="1:5" ht="48" thickBot="1" x14ac:dyDescent="0.3">
      <c r="A3" s="168" t="s">
        <v>897</v>
      </c>
      <c r="B3" s="2110" t="s">
        <v>1567</v>
      </c>
      <c r="C3" s="1088"/>
      <c r="D3" s="1088"/>
      <c r="E3" s="1089"/>
    </row>
    <row r="4" spans="1:5" ht="48" thickBot="1" x14ac:dyDescent="0.3">
      <c r="A4" s="36" t="s">
        <v>895</v>
      </c>
      <c r="B4" s="2165">
        <v>87</v>
      </c>
      <c r="C4" s="2166"/>
      <c r="D4" s="2166"/>
      <c r="E4" s="2167"/>
    </row>
    <row r="5" spans="1:5" ht="48" thickBot="1" x14ac:dyDescent="0.3">
      <c r="A5" s="36" t="s">
        <v>914</v>
      </c>
      <c r="B5" s="167" t="s">
        <v>3</v>
      </c>
      <c r="C5" s="1093" t="s">
        <v>7</v>
      </c>
      <c r="D5" s="1093"/>
      <c r="E5" s="1094"/>
    </row>
    <row r="6" spans="1:5" ht="102" customHeight="1" thickBot="1" x14ac:dyDescent="0.3">
      <c r="A6" s="36" t="s">
        <v>891</v>
      </c>
      <c r="B6" s="1038" t="s">
        <v>680</v>
      </c>
      <c r="C6" s="1090" t="s">
        <v>1566</v>
      </c>
      <c r="D6" s="1091"/>
      <c r="E6" s="1092"/>
    </row>
    <row r="7" spans="1:5" ht="48" customHeight="1" thickBot="1" x14ac:dyDescent="0.3">
      <c r="A7" s="36" t="s">
        <v>929</v>
      </c>
      <c r="B7" s="853" t="s">
        <v>1565</v>
      </c>
      <c r="C7" s="2114" t="s">
        <v>1564</v>
      </c>
      <c r="D7" s="2114"/>
      <c r="E7" s="2168"/>
    </row>
    <row r="8" spans="1:5" ht="48" thickBot="1" x14ac:dyDescent="0.3">
      <c r="A8" s="36" t="s">
        <v>927</v>
      </c>
      <c r="B8" s="882"/>
      <c r="C8" s="1095"/>
      <c r="D8" s="1095"/>
      <c r="E8" s="1096"/>
    </row>
    <row r="10" spans="1:5" ht="18" customHeight="1" x14ac:dyDescent="0.25">
      <c r="A10" s="1247" t="s">
        <v>926</v>
      </c>
      <c r="B10" s="1247"/>
      <c r="C10" s="1247"/>
      <c r="D10" s="1247"/>
      <c r="E10" s="1247"/>
    </row>
    <row r="11" spans="1:5" ht="15.75" thickBot="1" x14ac:dyDescent="0.3"/>
    <row r="12" spans="1:5" ht="26.25" thickBot="1" x14ac:dyDescent="0.3">
      <c r="A12" s="2" t="s">
        <v>2</v>
      </c>
      <c r="B12" s="2208" t="s">
        <v>679</v>
      </c>
      <c r="C12" s="2208"/>
      <c r="D12" s="2208"/>
      <c r="E12" s="2208"/>
    </row>
    <row r="13" spans="1:5" ht="15.75" thickBot="1" x14ac:dyDescent="0.3">
      <c r="A13" s="2" t="s">
        <v>3</v>
      </c>
      <c r="B13" s="2209" t="s">
        <v>680</v>
      </c>
      <c r="C13" s="2210"/>
      <c r="D13" s="2210"/>
      <c r="E13" s="2211"/>
    </row>
    <row r="14" spans="1:5" ht="26.25" thickBot="1" x14ac:dyDescent="0.3">
      <c r="A14" s="2" t="s">
        <v>5</v>
      </c>
      <c r="B14" s="1265" t="s">
        <v>6</v>
      </c>
      <c r="C14" s="1095"/>
      <c r="D14" s="1095"/>
      <c r="E14" s="1096"/>
    </row>
    <row r="15" spans="1:5" ht="15.75" thickBot="1" x14ac:dyDescent="0.3">
      <c r="A15" s="2212" t="s">
        <v>7</v>
      </c>
      <c r="B15" s="2213"/>
      <c r="C15" s="2213"/>
      <c r="D15" s="2213"/>
      <c r="E15" s="2214"/>
    </row>
    <row r="16" spans="1:5" ht="15.75" thickBot="1" x14ac:dyDescent="0.3">
      <c r="A16" s="2215" t="s">
        <v>681</v>
      </c>
      <c r="B16" s="2216"/>
      <c r="C16" s="2216"/>
      <c r="D16" s="2216"/>
      <c r="E16" s="2217"/>
    </row>
    <row r="17" spans="1:8" ht="30" customHeight="1" thickBot="1" x14ac:dyDescent="0.3">
      <c r="A17" s="2215"/>
      <c r="B17" s="2216"/>
      <c r="C17" s="2216"/>
      <c r="D17" s="2216"/>
      <c r="E17" s="2217"/>
    </row>
    <row r="18" spans="1:8" ht="2.25" hidden="1" customHeight="1" thickBot="1" x14ac:dyDescent="0.3">
      <c r="A18" s="2215"/>
      <c r="B18" s="2216"/>
      <c r="C18" s="2216"/>
      <c r="D18" s="2216"/>
      <c r="E18" s="2217"/>
    </row>
    <row r="19" spans="1:8" ht="33.75" customHeight="1" thickBot="1" x14ac:dyDescent="0.3">
      <c r="A19" s="3" t="s">
        <v>8</v>
      </c>
      <c r="B19" s="2202" t="s">
        <v>682</v>
      </c>
      <c r="C19" s="2206"/>
      <c r="D19" s="2206"/>
      <c r="E19" s="2207"/>
    </row>
    <row r="20" spans="1:8" ht="23.25" customHeight="1" x14ac:dyDescent="0.25">
      <c r="A20" s="1250" t="s">
        <v>102</v>
      </c>
      <c r="B20" s="851">
        <v>2018</v>
      </c>
      <c r="C20" s="851">
        <v>2019</v>
      </c>
      <c r="D20" s="851">
        <v>2020</v>
      </c>
      <c r="E20" s="851">
        <v>2021</v>
      </c>
    </row>
    <row r="21" spans="1:8" ht="15.75" thickBot="1" x14ac:dyDescent="0.3">
      <c r="A21" s="1251"/>
      <c r="B21" s="852" t="s">
        <v>10</v>
      </c>
      <c r="C21" s="852" t="s">
        <v>11</v>
      </c>
      <c r="D21" s="852" t="s">
        <v>11</v>
      </c>
      <c r="E21" s="852" t="s">
        <v>11</v>
      </c>
    </row>
    <row r="22" spans="1:8" ht="15" customHeight="1" thickBot="1" x14ac:dyDescent="0.3">
      <c r="A22" s="411" t="s">
        <v>683</v>
      </c>
      <c r="B22" s="1036" t="s">
        <v>684</v>
      </c>
      <c r="C22" s="1037" t="s">
        <v>684</v>
      </c>
      <c r="D22" s="1036" t="s">
        <v>684</v>
      </c>
      <c r="E22" s="1036" t="s">
        <v>684</v>
      </c>
    </row>
    <row r="23" spans="1:8" ht="15.75" hidden="1" thickBot="1" x14ac:dyDescent="0.3">
      <c r="A23" s="5" t="s">
        <v>165</v>
      </c>
      <c r="B23" s="1031" t="s">
        <v>112</v>
      </c>
      <c r="C23" s="1031" t="s">
        <v>113</v>
      </c>
      <c r="D23" s="1031" t="s">
        <v>113</v>
      </c>
      <c r="E23" s="1031" t="s">
        <v>113</v>
      </c>
    </row>
    <row r="24" spans="1:8" ht="23.25" hidden="1" thickBot="1" x14ac:dyDescent="0.3">
      <c r="A24" s="5" t="s">
        <v>111</v>
      </c>
      <c r="B24" s="1031" t="s">
        <v>112</v>
      </c>
      <c r="C24" s="1031" t="s">
        <v>113</v>
      </c>
      <c r="D24" s="1031" t="s">
        <v>113</v>
      </c>
      <c r="E24" s="1031" t="s">
        <v>113</v>
      </c>
    </row>
    <row r="25" spans="1:8" ht="24.75" thickBot="1" x14ac:dyDescent="0.3">
      <c r="A25" s="6" t="s">
        <v>12</v>
      </c>
      <c r="B25" s="2202" t="s">
        <v>685</v>
      </c>
      <c r="C25" s="2206"/>
      <c r="D25" s="2206"/>
      <c r="E25" s="2207"/>
    </row>
    <row r="26" spans="1:8" ht="23.25" customHeight="1" thickBot="1" x14ac:dyDescent="0.3">
      <c r="A26" s="1245" t="s">
        <v>103</v>
      </c>
      <c r="B26" s="1246"/>
      <c r="C26" s="1246"/>
      <c r="D26" s="1246"/>
      <c r="E26" s="1298"/>
      <c r="F26" s="35"/>
      <c r="H26" s="35"/>
    </row>
    <row r="27" spans="1:8" ht="36.75" thickBot="1" x14ac:dyDescent="0.3">
      <c r="A27" s="1035" t="s">
        <v>686</v>
      </c>
      <c r="B27" s="1034" t="s">
        <v>1563</v>
      </c>
      <c r="C27" s="1033" t="s">
        <v>1563</v>
      </c>
      <c r="D27" s="1032" t="s">
        <v>1563</v>
      </c>
      <c r="E27" s="1032" t="s">
        <v>1563</v>
      </c>
    </row>
    <row r="28" spans="1:8" ht="0.75" customHeight="1" thickBot="1" x14ac:dyDescent="0.3">
      <c r="A28" s="5" t="s">
        <v>165</v>
      </c>
      <c r="B28" s="1031" t="s">
        <v>112</v>
      </c>
      <c r="C28" s="1031" t="s">
        <v>113</v>
      </c>
      <c r="D28" s="1031" t="s">
        <v>113</v>
      </c>
      <c r="E28" s="1031" t="s">
        <v>113</v>
      </c>
    </row>
    <row r="29" spans="1:8" ht="23.25" hidden="1" thickBot="1" x14ac:dyDescent="0.3">
      <c r="A29" s="5" t="s">
        <v>111</v>
      </c>
      <c r="B29" s="1031" t="s">
        <v>112</v>
      </c>
      <c r="C29" s="1031" t="s">
        <v>113</v>
      </c>
      <c r="D29" s="1031" t="s">
        <v>113</v>
      </c>
      <c r="E29" s="1031" t="s">
        <v>113</v>
      </c>
    </row>
    <row r="30" spans="1:8" ht="15.75" thickBot="1" x14ac:dyDescent="0.3">
      <c r="A30" s="1252" t="s">
        <v>14</v>
      </c>
      <c r="B30" s="1253"/>
      <c r="C30" s="1253"/>
      <c r="D30" s="1253"/>
      <c r="E30" s="1300"/>
    </row>
    <row r="31" spans="1:8" ht="15.75" thickBot="1" x14ac:dyDescent="0.3">
      <c r="A31" s="2190" t="s">
        <v>104</v>
      </c>
      <c r="B31" s="2191"/>
      <c r="C31" s="2191"/>
      <c r="D31" s="2191"/>
      <c r="E31" s="2192"/>
    </row>
    <row r="32" spans="1:8" ht="15.75" thickBot="1" x14ac:dyDescent="0.3">
      <c r="A32" s="7" t="s">
        <v>105</v>
      </c>
      <c r="B32" s="2205" t="s">
        <v>1562</v>
      </c>
      <c r="C32" s="1767"/>
      <c r="D32" s="1767"/>
      <c r="E32" s="1768"/>
    </row>
    <row r="33" spans="1:9" ht="23.25" customHeight="1" thickBot="1" x14ac:dyDescent="0.3">
      <c r="A33" s="5" t="s">
        <v>17</v>
      </c>
      <c r="B33" s="2202" t="s">
        <v>1561</v>
      </c>
      <c r="C33" s="2206"/>
      <c r="D33" s="2206"/>
      <c r="E33" s="2207"/>
    </row>
    <row r="34" spans="1:9" ht="15.75" thickBot="1" x14ac:dyDescent="0.3">
      <c r="A34" s="5" t="s">
        <v>18</v>
      </c>
      <c r="B34" s="2199" t="s">
        <v>687</v>
      </c>
      <c r="C34" s="2200"/>
      <c r="D34" s="2200"/>
      <c r="E34" s="2201"/>
    </row>
    <row r="35" spans="1:9" ht="12.75" customHeight="1" x14ac:dyDescent="0.25">
      <c r="A35" s="1250"/>
      <c r="B35" s="8">
        <v>2018</v>
      </c>
      <c r="C35" s="8">
        <v>2019</v>
      </c>
      <c r="D35" s="8">
        <v>2020</v>
      </c>
      <c r="E35" s="8">
        <v>2021</v>
      </c>
    </row>
    <row r="36" spans="1:9" ht="12" customHeight="1" thickBot="1" x14ac:dyDescent="0.3">
      <c r="A36" s="1251"/>
      <c r="B36" s="9" t="s">
        <v>10</v>
      </c>
      <c r="C36" s="9" t="s">
        <v>11</v>
      </c>
      <c r="D36" s="9" t="s">
        <v>11</v>
      </c>
      <c r="E36" s="9" t="s">
        <v>11</v>
      </c>
    </row>
    <row r="37" spans="1:9" ht="15.75" thickBot="1" x14ac:dyDescent="0.3">
      <c r="A37" s="5" t="s">
        <v>19</v>
      </c>
      <c r="B37" s="10">
        <v>4</v>
      </c>
      <c r="C37" s="10">
        <v>4</v>
      </c>
      <c r="D37" s="10">
        <v>4</v>
      </c>
      <c r="E37" s="10">
        <v>4</v>
      </c>
    </row>
    <row r="38" spans="1:9" ht="15.75" thickBot="1" x14ac:dyDescent="0.3">
      <c r="A38" s="5" t="s">
        <v>20</v>
      </c>
      <c r="B38" s="10">
        <f xml:space="preserve"> B53</f>
        <v>120640</v>
      </c>
      <c r="C38" s="10">
        <f xml:space="preserve"> C53</f>
        <v>120590</v>
      </c>
      <c r="D38" s="10">
        <f xml:space="preserve"> D53</f>
        <v>120590</v>
      </c>
      <c r="E38" s="10">
        <f xml:space="preserve"> E53</f>
        <v>120590</v>
      </c>
    </row>
    <row r="39" spans="1:9" ht="15.75" thickBot="1" x14ac:dyDescent="0.3">
      <c r="A39" s="5" t="s">
        <v>21</v>
      </c>
      <c r="B39" s="10">
        <f>B38/B37</f>
        <v>30160</v>
      </c>
      <c r="C39" s="10">
        <f>C38/C37</f>
        <v>30147.5</v>
      </c>
      <c r="D39" s="10">
        <f>D38/D37</f>
        <v>30147.5</v>
      </c>
      <c r="E39" s="10">
        <f>E38/E37</f>
        <v>30147.5</v>
      </c>
    </row>
    <row r="40" spans="1:9" ht="15.75" thickBot="1" x14ac:dyDescent="0.3">
      <c r="A40" s="5" t="s">
        <v>22</v>
      </c>
      <c r="B40" s="850" t="s">
        <v>23</v>
      </c>
      <c r="C40" s="993">
        <f t="shared" ref="C40:E42" si="0">C37/B37-1</f>
        <v>0</v>
      </c>
      <c r="D40" s="993">
        <f t="shared" si="0"/>
        <v>0</v>
      </c>
      <c r="E40" s="993">
        <f t="shared" si="0"/>
        <v>0</v>
      </c>
      <c r="F40" s="12"/>
      <c r="G40" s="12"/>
      <c r="H40" s="12"/>
      <c r="I40" s="12"/>
    </row>
    <row r="41" spans="1:9" ht="15.75" thickBot="1" x14ac:dyDescent="0.3">
      <c r="A41" s="5" t="s">
        <v>24</v>
      </c>
      <c r="B41" s="850" t="s">
        <v>23</v>
      </c>
      <c r="C41" s="993">
        <f t="shared" si="0"/>
        <v>-4.1445623342173388E-4</v>
      </c>
      <c r="D41" s="993">
        <f t="shared" si="0"/>
        <v>0</v>
      </c>
      <c r="E41" s="993">
        <f t="shared" si="0"/>
        <v>0</v>
      </c>
    </row>
    <row r="42" spans="1:9" ht="23.25" thickBot="1" x14ac:dyDescent="0.3">
      <c r="A42" s="5" t="s">
        <v>25</v>
      </c>
      <c r="B42" s="850" t="s">
        <v>23</v>
      </c>
      <c r="C42" s="993">
        <f t="shared" si="0"/>
        <v>-4.1445623342173388E-4</v>
      </c>
      <c r="D42" s="993">
        <f t="shared" si="0"/>
        <v>0</v>
      </c>
      <c r="E42" s="993">
        <f t="shared" si="0"/>
        <v>0</v>
      </c>
    </row>
    <row r="43" spans="1:9" ht="15.75" thickBot="1" x14ac:dyDescent="0.3">
      <c r="A43" s="1252" t="s">
        <v>633</v>
      </c>
      <c r="B43" s="1253"/>
      <c r="C43" s="1253"/>
      <c r="D43" s="1253"/>
      <c r="E43" s="1300"/>
    </row>
    <row r="44" spans="1:9" ht="12.75" customHeight="1" x14ac:dyDescent="0.25">
      <c r="A44" s="1250"/>
      <c r="B44" s="8">
        <v>2018</v>
      </c>
      <c r="C44" s="8">
        <v>2019</v>
      </c>
      <c r="D44" s="8">
        <v>2020</v>
      </c>
      <c r="E44" s="8">
        <v>2021</v>
      </c>
    </row>
    <row r="45" spans="1:9" ht="12" customHeight="1" thickBot="1" x14ac:dyDescent="0.3">
      <c r="A45" s="1251"/>
      <c r="B45" s="9" t="s">
        <v>10</v>
      </c>
      <c r="C45" s="9" t="s">
        <v>11</v>
      </c>
      <c r="D45" s="9" t="s">
        <v>11</v>
      </c>
      <c r="E45" s="9" t="s">
        <v>11</v>
      </c>
    </row>
    <row r="46" spans="1:9" ht="15.75" thickBot="1" x14ac:dyDescent="0.3">
      <c r="A46" s="1016" t="s">
        <v>26</v>
      </c>
      <c r="B46" s="1027">
        <v>5880</v>
      </c>
      <c r="C46" s="451">
        <v>6230</v>
      </c>
      <c r="D46" s="1027">
        <v>6230</v>
      </c>
      <c r="E46" s="1027">
        <v>6230</v>
      </c>
    </row>
    <row r="47" spans="1:9" ht="24.75" thickBot="1" x14ac:dyDescent="0.3">
      <c r="A47" s="1016" t="s">
        <v>28</v>
      </c>
      <c r="B47" s="1027">
        <v>960</v>
      </c>
      <c r="C47" s="451">
        <v>1010</v>
      </c>
      <c r="D47" s="1027">
        <v>1010</v>
      </c>
      <c r="E47" s="1027">
        <v>1010</v>
      </c>
    </row>
    <row r="48" spans="1:9" ht="15.75" thickBot="1" x14ac:dyDescent="0.3">
      <c r="A48" s="1016" t="s">
        <v>30</v>
      </c>
      <c r="B48" s="1027">
        <v>4800</v>
      </c>
      <c r="C48" s="451">
        <v>4350</v>
      </c>
      <c r="D48" s="1027">
        <v>4350</v>
      </c>
      <c r="E48" s="1027">
        <v>4350</v>
      </c>
    </row>
    <row r="49" spans="1:5" ht="15.75" thickBot="1" x14ac:dyDescent="0.3">
      <c r="A49" s="1016" t="s">
        <v>32</v>
      </c>
      <c r="B49" s="1030">
        <v>0</v>
      </c>
      <c r="C49" s="1029">
        <v>0</v>
      </c>
      <c r="D49" s="1028">
        <v>0</v>
      </c>
      <c r="E49" s="1028">
        <v>0</v>
      </c>
    </row>
    <row r="50" spans="1:5" ht="15.75" thickBot="1" x14ac:dyDescent="0.3">
      <c r="A50" s="1016" t="s">
        <v>34</v>
      </c>
      <c r="B50" s="1027">
        <v>109000</v>
      </c>
      <c r="C50" s="451">
        <v>109000</v>
      </c>
      <c r="D50" s="1027">
        <v>109000</v>
      </c>
      <c r="E50" s="1027">
        <v>109000</v>
      </c>
    </row>
    <row r="51" spans="1:5" ht="15.75" thickBot="1" x14ac:dyDescent="0.3">
      <c r="A51" s="1016" t="s">
        <v>36</v>
      </c>
      <c r="B51" s="1011">
        <v>0</v>
      </c>
      <c r="C51" s="990">
        <v>0</v>
      </c>
      <c r="D51" s="1013">
        <v>0</v>
      </c>
      <c r="E51" s="1013">
        <v>0</v>
      </c>
    </row>
    <row r="52" spans="1:5" ht="24.75" thickBot="1" x14ac:dyDescent="0.3">
      <c r="A52" s="1016" t="s">
        <v>38</v>
      </c>
      <c r="B52" s="1011">
        <v>0</v>
      </c>
      <c r="C52" s="990">
        <v>0</v>
      </c>
      <c r="D52" s="1011">
        <v>0</v>
      </c>
      <c r="E52" s="1011">
        <v>0</v>
      </c>
    </row>
    <row r="53" spans="1:5" ht="15.75" thickBot="1" x14ac:dyDescent="0.3">
      <c r="A53" s="1012" t="s">
        <v>40</v>
      </c>
      <c r="B53" s="1019">
        <f>B52+B51+B50+B49+B48+B47+B46</f>
        <v>120640</v>
      </c>
      <c r="C53" s="1020">
        <f>C52+C51+C50+C49+C48+C47+C46</f>
        <v>120590</v>
      </c>
      <c r="D53" s="1019">
        <f>D52+D51+D50+D49+D48+D47+D46</f>
        <v>120590</v>
      </c>
      <c r="E53" s="1019">
        <f>E52+E51+E50+E49+E48+E47+E46</f>
        <v>120590</v>
      </c>
    </row>
    <row r="54" spans="1:5" ht="15.75" thickBot="1" x14ac:dyDescent="0.3">
      <c r="A54" s="17" t="s">
        <v>41</v>
      </c>
      <c r="B54" s="1018">
        <f>IF(B53-B38=0,0,"Error")</f>
        <v>0</v>
      </c>
      <c r="C54" s="1004">
        <f>IF(C53-C38=0,0,"Error")</f>
        <v>0</v>
      </c>
      <c r="D54" s="1018">
        <f>IF(D53-D38=0,0,"Error")</f>
        <v>0</v>
      </c>
      <c r="E54" s="1018">
        <f>IF(E53-E38=0,0,"Error")</f>
        <v>0</v>
      </c>
    </row>
    <row r="55" spans="1:5" ht="15.75" thickBot="1" x14ac:dyDescent="0.3">
      <c r="A55" s="139" t="s">
        <v>1560</v>
      </c>
      <c r="B55" s="1717" t="s">
        <v>688</v>
      </c>
      <c r="C55" s="1718"/>
      <c r="D55" s="1718"/>
      <c r="E55" s="1719"/>
    </row>
    <row r="56" spans="1:5" ht="15.75" thickBot="1" x14ac:dyDescent="0.3">
      <c r="A56" s="5" t="s">
        <v>17</v>
      </c>
      <c r="B56" s="2205" t="s">
        <v>1559</v>
      </c>
      <c r="C56" s="1767"/>
      <c r="D56" s="1767"/>
      <c r="E56" s="1768"/>
    </row>
    <row r="57" spans="1:5" ht="15.75" thickBot="1" x14ac:dyDescent="0.3">
      <c r="A57" s="5" t="s">
        <v>18</v>
      </c>
      <c r="B57" s="2199" t="s">
        <v>689</v>
      </c>
      <c r="C57" s="2200"/>
      <c r="D57" s="2200"/>
      <c r="E57" s="2201"/>
    </row>
    <row r="58" spans="1:5" ht="15.75" thickBot="1" x14ac:dyDescent="0.3">
      <c r="A58" s="5" t="s">
        <v>19</v>
      </c>
      <c r="B58" s="10">
        <v>450</v>
      </c>
      <c r="C58" s="10">
        <v>0</v>
      </c>
      <c r="D58" s="10">
        <v>0</v>
      </c>
      <c r="E58" s="10">
        <v>0</v>
      </c>
    </row>
    <row r="59" spans="1:5" ht="12.75" customHeight="1" x14ac:dyDescent="0.25">
      <c r="A59" s="1250"/>
      <c r="B59" s="8">
        <v>2018</v>
      </c>
      <c r="C59" s="8">
        <v>2019</v>
      </c>
      <c r="D59" s="8">
        <v>2020</v>
      </c>
      <c r="E59" s="8">
        <v>2021</v>
      </c>
    </row>
    <row r="60" spans="1:5" ht="11.25" customHeight="1" thickBot="1" x14ac:dyDescent="0.3">
      <c r="A60" s="1251"/>
      <c r="B60" s="9" t="s">
        <v>10</v>
      </c>
      <c r="C60" s="9" t="s">
        <v>11</v>
      </c>
      <c r="D60" s="9" t="s">
        <v>11</v>
      </c>
      <c r="E60" s="9" t="s">
        <v>11</v>
      </c>
    </row>
    <row r="61" spans="1:5" ht="15.75" thickBot="1" x14ac:dyDescent="0.3">
      <c r="A61" s="5" t="s">
        <v>20</v>
      </c>
      <c r="B61" s="10">
        <f xml:space="preserve"> B76</f>
        <v>7760</v>
      </c>
      <c r="C61" s="10">
        <f xml:space="preserve"> C76</f>
        <v>0</v>
      </c>
      <c r="D61" s="10">
        <f xml:space="preserve"> D76</f>
        <v>0</v>
      </c>
      <c r="E61" s="10">
        <f xml:space="preserve"> E76</f>
        <v>0</v>
      </c>
    </row>
    <row r="62" spans="1:5" ht="15.75" thickBot="1" x14ac:dyDescent="0.3">
      <c r="A62" s="5" t="s">
        <v>21</v>
      </c>
      <c r="B62" s="10">
        <f>B61/B58</f>
        <v>17.244444444444444</v>
      </c>
      <c r="C62" s="10" t="e">
        <f>C61/C58</f>
        <v>#DIV/0!</v>
      </c>
      <c r="D62" s="10" t="e">
        <f>D61/D58</f>
        <v>#DIV/0!</v>
      </c>
      <c r="E62" s="10" t="e">
        <f>E61/E58</f>
        <v>#DIV/0!</v>
      </c>
    </row>
    <row r="63" spans="1:5" ht="15.75" thickBot="1" x14ac:dyDescent="0.3">
      <c r="A63" s="5" t="s">
        <v>22</v>
      </c>
      <c r="B63" s="850"/>
      <c r="C63" s="993">
        <f>C58/B58-1</f>
        <v>-1</v>
      </c>
      <c r="D63" s="993" t="e">
        <f>D58/C58-1</f>
        <v>#DIV/0!</v>
      </c>
      <c r="E63" s="993" t="e">
        <f>E58/D58-1</f>
        <v>#DIV/0!</v>
      </c>
    </row>
    <row r="64" spans="1:5" ht="15.75" thickBot="1" x14ac:dyDescent="0.3">
      <c r="A64" s="5" t="s">
        <v>24</v>
      </c>
      <c r="B64" s="850"/>
      <c r="C64" s="993">
        <f t="shared" ref="C64:E65" si="1">C61/B61-1</f>
        <v>-1</v>
      </c>
      <c r="D64" s="993" t="e">
        <f t="shared" si="1"/>
        <v>#DIV/0!</v>
      </c>
      <c r="E64" s="993" t="e">
        <f t="shared" si="1"/>
        <v>#DIV/0!</v>
      </c>
    </row>
    <row r="65" spans="1:5" ht="23.25" thickBot="1" x14ac:dyDescent="0.3">
      <c r="A65" s="5" t="s">
        <v>25</v>
      </c>
      <c r="B65" s="850"/>
      <c r="C65" s="993" t="e">
        <f t="shared" si="1"/>
        <v>#DIV/0!</v>
      </c>
      <c r="D65" s="993" t="e">
        <f t="shared" si="1"/>
        <v>#DIV/0!</v>
      </c>
      <c r="E65" s="993" t="e">
        <f t="shared" si="1"/>
        <v>#DIV/0!</v>
      </c>
    </row>
    <row r="66" spans="1:5" ht="24.75" customHeight="1" thickBot="1" x14ac:dyDescent="0.3">
      <c r="A66" s="1252" t="s">
        <v>634</v>
      </c>
      <c r="B66" s="1253"/>
      <c r="C66" s="1253"/>
      <c r="D66" s="1253"/>
      <c r="E66" s="1300"/>
    </row>
    <row r="67" spans="1:5" ht="12.75" customHeight="1" x14ac:dyDescent="0.25">
      <c r="A67" s="1250"/>
      <c r="B67" s="8">
        <v>2018</v>
      </c>
      <c r="C67" s="8">
        <v>2019</v>
      </c>
      <c r="D67" s="8">
        <v>2020</v>
      </c>
      <c r="E67" s="8">
        <v>2021</v>
      </c>
    </row>
    <row r="68" spans="1:5" ht="12" customHeight="1" thickBot="1" x14ac:dyDescent="0.3">
      <c r="A68" s="1251"/>
      <c r="B68" s="9" t="s">
        <v>10</v>
      </c>
      <c r="C68" s="9" t="s">
        <v>11</v>
      </c>
      <c r="D68" s="9" t="s">
        <v>11</v>
      </c>
      <c r="E68" s="9" t="s">
        <v>11</v>
      </c>
    </row>
    <row r="69" spans="1:5" ht="24.75" customHeight="1" thickBot="1" x14ac:dyDescent="0.3">
      <c r="A69" s="1016" t="s">
        <v>26</v>
      </c>
      <c r="B69" s="1027">
        <v>3920</v>
      </c>
      <c r="C69" s="990">
        <v>0</v>
      </c>
      <c r="D69" s="1011">
        <v>0</v>
      </c>
      <c r="E69" s="1011">
        <v>0</v>
      </c>
    </row>
    <row r="70" spans="1:5" ht="24.75" customHeight="1" thickBot="1" x14ac:dyDescent="0.3">
      <c r="A70" s="1016" t="s">
        <v>28</v>
      </c>
      <c r="B70" s="1027">
        <v>640</v>
      </c>
      <c r="C70" s="990">
        <v>0</v>
      </c>
      <c r="D70" s="1011">
        <v>0</v>
      </c>
      <c r="E70" s="1011">
        <v>0</v>
      </c>
    </row>
    <row r="71" spans="1:5" ht="24.75" customHeight="1" thickBot="1" x14ac:dyDescent="0.3">
      <c r="A71" s="1016" t="s">
        <v>30</v>
      </c>
      <c r="B71" s="1027">
        <v>3200</v>
      </c>
      <c r="C71" s="990">
        <v>0</v>
      </c>
      <c r="D71" s="1011">
        <v>0</v>
      </c>
      <c r="E71" s="1011">
        <v>0</v>
      </c>
    </row>
    <row r="72" spans="1:5" ht="15.75" thickBot="1" x14ac:dyDescent="0.3">
      <c r="A72" s="1016" t="s">
        <v>32</v>
      </c>
      <c r="B72" s="1024"/>
      <c r="C72" s="990"/>
      <c r="D72" s="1011"/>
      <c r="E72" s="1011"/>
    </row>
    <row r="73" spans="1:5" ht="15.75" thickBot="1" x14ac:dyDescent="0.3">
      <c r="A73" s="1016" t="s">
        <v>34</v>
      </c>
      <c r="B73" s="1026"/>
      <c r="C73" s="990"/>
      <c r="D73" s="1011"/>
      <c r="E73" s="1011"/>
    </row>
    <row r="74" spans="1:5" ht="15.75" thickBot="1" x14ac:dyDescent="0.3">
      <c r="A74" s="1016" t="s">
        <v>36</v>
      </c>
      <c r="B74" s="1015"/>
      <c r="C74" s="990"/>
      <c r="D74" s="1011"/>
      <c r="E74" s="1011"/>
    </row>
    <row r="75" spans="1:5" ht="24.75" thickBot="1" x14ac:dyDescent="0.3">
      <c r="A75" s="1016" t="s">
        <v>38</v>
      </c>
      <c r="B75" s="1015"/>
      <c r="C75" s="990"/>
      <c r="D75" s="1011"/>
      <c r="E75" s="1011"/>
    </row>
    <row r="76" spans="1:5" ht="15.75" thickBot="1" x14ac:dyDescent="0.3">
      <c r="A76" s="1021" t="s">
        <v>74</v>
      </c>
      <c r="B76" s="1019">
        <f>B75+B74+B73+B72+B70+B71+B69</f>
        <v>7760</v>
      </c>
      <c r="C76" s="1020">
        <f>C75+C74+C73+C72+C71+C70+C69</f>
        <v>0</v>
      </c>
      <c r="D76" s="1019">
        <f>D75+D74+D73+D72+D71+D70+D69</f>
        <v>0</v>
      </c>
      <c r="E76" s="1019">
        <f>E75+E74+E73+E72+E71+E70+E69</f>
        <v>0</v>
      </c>
    </row>
    <row r="77" spans="1:5" ht="17.25" customHeight="1" thickBot="1" x14ac:dyDescent="0.3">
      <c r="A77" s="17" t="s">
        <v>41</v>
      </c>
      <c r="B77" s="1018">
        <f>IF(B76-B61=0,0,"Error")</f>
        <v>0</v>
      </c>
      <c r="C77" s="1004">
        <f>IF(C76-C61=0,0,"Error")</f>
        <v>0</v>
      </c>
      <c r="D77" s="1018">
        <f>IF(D76-D61=0,0,"Error")</f>
        <v>0</v>
      </c>
      <c r="E77" s="1018">
        <f>IF(E76-E61=0,0,"Error")</f>
        <v>0</v>
      </c>
    </row>
    <row r="78" spans="1:5" ht="15.75" thickBot="1" x14ac:dyDescent="0.3">
      <c r="A78" s="139" t="s">
        <v>1558</v>
      </c>
      <c r="B78" s="2199" t="s">
        <v>1557</v>
      </c>
      <c r="C78" s="2200"/>
      <c r="D78" s="2200"/>
      <c r="E78" s="2201"/>
    </row>
    <row r="79" spans="1:5" ht="42.75" customHeight="1" thickBot="1" x14ac:dyDescent="0.3">
      <c r="A79" s="5" t="s">
        <v>17</v>
      </c>
      <c r="B79" s="2202" t="s">
        <v>1556</v>
      </c>
      <c r="C79" s="2203"/>
      <c r="D79" s="2203"/>
      <c r="E79" s="2204"/>
    </row>
    <row r="80" spans="1:5" ht="15.75" thickBot="1" x14ac:dyDescent="0.3">
      <c r="A80" s="5" t="s">
        <v>18</v>
      </c>
      <c r="B80" s="2199" t="s">
        <v>1555</v>
      </c>
      <c r="C80" s="2200"/>
      <c r="D80" s="2200"/>
      <c r="E80" s="2201"/>
    </row>
    <row r="81" spans="1:9" ht="15.75" thickBot="1" x14ac:dyDescent="0.3">
      <c r="A81" s="5" t="s">
        <v>19</v>
      </c>
      <c r="B81" s="10">
        <v>1</v>
      </c>
      <c r="C81" s="10">
        <v>1</v>
      </c>
      <c r="D81" s="10">
        <v>1</v>
      </c>
      <c r="E81" s="10">
        <v>1</v>
      </c>
    </row>
    <row r="82" spans="1:9" ht="17.25" customHeight="1" x14ac:dyDescent="0.25">
      <c r="A82" s="1250"/>
      <c r="B82" s="8">
        <v>2018</v>
      </c>
      <c r="C82" s="8">
        <v>2019</v>
      </c>
      <c r="D82" s="8">
        <v>2020</v>
      </c>
      <c r="E82" s="8">
        <v>2021</v>
      </c>
    </row>
    <row r="83" spans="1:9" ht="15.75" thickBot="1" x14ac:dyDescent="0.3">
      <c r="A83" s="1251"/>
      <c r="B83" s="9" t="s">
        <v>10</v>
      </c>
      <c r="C83" s="9" t="s">
        <v>11</v>
      </c>
      <c r="D83" s="9" t="s">
        <v>11</v>
      </c>
      <c r="E83" s="9" t="s">
        <v>11</v>
      </c>
    </row>
    <row r="84" spans="1:9" ht="12.75" customHeight="1" thickBot="1" x14ac:dyDescent="0.3">
      <c r="A84" s="5" t="s">
        <v>20</v>
      </c>
      <c r="B84" s="10">
        <v>0</v>
      </c>
      <c r="C84" s="194">
        <f>C99</f>
        <v>7810</v>
      </c>
      <c r="D84" s="194">
        <f>D99</f>
        <v>7810</v>
      </c>
      <c r="E84" s="194">
        <f>E99</f>
        <v>7810</v>
      </c>
    </row>
    <row r="85" spans="1:9" ht="12" customHeight="1" thickBot="1" x14ac:dyDescent="0.3">
      <c r="A85" s="5" t="s">
        <v>21</v>
      </c>
      <c r="B85" s="10">
        <v>0</v>
      </c>
      <c r="C85" s="10">
        <f>C84/C81</f>
        <v>7810</v>
      </c>
      <c r="D85" s="10">
        <f>D84/D81</f>
        <v>7810</v>
      </c>
      <c r="E85" s="10">
        <f>E84/E81</f>
        <v>7810</v>
      </c>
    </row>
    <row r="86" spans="1:9" ht="15.75" thickBot="1" x14ac:dyDescent="0.3">
      <c r="A86" s="5" t="s">
        <v>22</v>
      </c>
      <c r="B86" s="850"/>
      <c r="C86" s="993">
        <f>C81/B81-1</f>
        <v>0</v>
      </c>
      <c r="D86" s="993">
        <f>D81/C81-1</f>
        <v>0</v>
      </c>
      <c r="E86" s="993">
        <f>E81/D81-1</f>
        <v>0</v>
      </c>
    </row>
    <row r="87" spans="1:9" ht="15.75" thickBot="1" x14ac:dyDescent="0.3">
      <c r="A87" s="5" t="s">
        <v>24</v>
      </c>
      <c r="B87" s="850"/>
      <c r="C87" s="993" t="e">
        <f t="shared" ref="C87:E88" si="2">C84/B84-1</f>
        <v>#DIV/0!</v>
      </c>
      <c r="D87" s="993">
        <f t="shared" si="2"/>
        <v>0</v>
      </c>
      <c r="E87" s="993">
        <f t="shared" si="2"/>
        <v>0</v>
      </c>
    </row>
    <row r="88" spans="1:9" ht="23.25" thickBot="1" x14ac:dyDescent="0.3">
      <c r="A88" s="5" t="s">
        <v>25</v>
      </c>
      <c r="B88" s="850"/>
      <c r="C88" s="993" t="e">
        <f t="shared" si="2"/>
        <v>#DIV/0!</v>
      </c>
      <c r="D88" s="993">
        <f t="shared" si="2"/>
        <v>0</v>
      </c>
      <c r="E88" s="993">
        <f t="shared" si="2"/>
        <v>0</v>
      </c>
    </row>
    <row r="89" spans="1:9" ht="15.75" thickBot="1" x14ac:dyDescent="0.3">
      <c r="A89" s="1252" t="s">
        <v>1408</v>
      </c>
      <c r="B89" s="1253"/>
      <c r="C89" s="1253"/>
      <c r="D89" s="1253"/>
      <c r="E89" s="1300"/>
      <c r="F89" s="12"/>
      <c r="G89" s="12"/>
      <c r="H89" s="12"/>
      <c r="I89" s="12"/>
    </row>
    <row r="90" spans="1:9" x14ac:dyDescent="0.25">
      <c r="A90" s="1250"/>
      <c r="B90" s="8">
        <v>2018</v>
      </c>
      <c r="C90" s="8">
        <v>2019</v>
      </c>
      <c r="D90" s="8">
        <v>2020</v>
      </c>
      <c r="E90" s="8">
        <v>2021</v>
      </c>
    </row>
    <row r="91" spans="1:9" ht="15.75" thickBot="1" x14ac:dyDescent="0.3">
      <c r="A91" s="1251"/>
      <c r="B91" s="9" t="s">
        <v>10</v>
      </c>
      <c r="C91" s="9" t="s">
        <v>11</v>
      </c>
      <c r="D91" s="9" t="s">
        <v>11</v>
      </c>
      <c r="E91" s="9" t="s">
        <v>11</v>
      </c>
    </row>
    <row r="92" spans="1:9" ht="15.75" thickBot="1" x14ac:dyDescent="0.3">
      <c r="A92" s="1016" t="s">
        <v>26</v>
      </c>
      <c r="B92" s="1027">
        <v>0</v>
      </c>
      <c r="C92" s="451">
        <v>4320</v>
      </c>
      <c r="D92" s="1027">
        <v>4320</v>
      </c>
      <c r="E92" s="1027">
        <v>4320</v>
      </c>
    </row>
    <row r="93" spans="1:9" ht="12.75" customHeight="1" thickBot="1" x14ac:dyDescent="0.3">
      <c r="A93" s="1016" t="s">
        <v>28</v>
      </c>
      <c r="B93" s="1027">
        <v>0</v>
      </c>
      <c r="C93" s="451">
        <v>695</v>
      </c>
      <c r="D93" s="1027">
        <v>695</v>
      </c>
      <c r="E93" s="1027">
        <v>695</v>
      </c>
    </row>
    <row r="94" spans="1:9" ht="13.5" customHeight="1" thickBot="1" x14ac:dyDescent="0.3">
      <c r="A94" s="1016" t="s">
        <v>30</v>
      </c>
      <c r="B94" s="1027">
        <v>0</v>
      </c>
      <c r="C94" s="451">
        <v>2795</v>
      </c>
      <c r="D94" s="1027">
        <v>2795</v>
      </c>
      <c r="E94" s="1027">
        <v>2795</v>
      </c>
    </row>
    <row r="95" spans="1:9" ht="15.75" thickBot="1" x14ac:dyDescent="0.3">
      <c r="A95" s="1016" t="s">
        <v>32</v>
      </c>
      <c r="B95" s="1024"/>
      <c r="C95" s="451"/>
      <c r="D95" s="1027"/>
      <c r="E95" s="1027"/>
    </row>
    <row r="96" spans="1:9" ht="15.75" thickBot="1" x14ac:dyDescent="0.3">
      <c r="A96" s="1016" t="s">
        <v>34</v>
      </c>
      <c r="B96" s="1026"/>
      <c r="C96" s="1025"/>
      <c r="D96" s="1024"/>
      <c r="E96" s="1024"/>
    </row>
    <row r="97" spans="1:9" ht="15.75" thickBot="1" x14ac:dyDescent="0.3">
      <c r="A97" s="1016" t="s">
        <v>36</v>
      </c>
      <c r="B97" s="1015"/>
      <c r="C97" s="1023"/>
      <c r="D97" s="1022"/>
      <c r="E97" s="1022"/>
    </row>
    <row r="98" spans="1:9" ht="24.75" thickBot="1" x14ac:dyDescent="0.3">
      <c r="A98" s="1016" t="s">
        <v>38</v>
      </c>
      <c r="B98" s="1015"/>
      <c r="C98" s="990"/>
      <c r="D98" s="1011"/>
      <c r="E98" s="1011"/>
    </row>
    <row r="99" spans="1:9" ht="15.75" thickBot="1" x14ac:dyDescent="0.3">
      <c r="A99" s="1021" t="s">
        <v>52</v>
      </c>
      <c r="B99" s="1019">
        <f>B98+B97+B96+B95+B93+B94+B92</f>
        <v>0</v>
      </c>
      <c r="C99" s="1020">
        <f>C98+C97+C96+C95+C94+C93+C92</f>
        <v>7810</v>
      </c>
      <c r="D99" s="1019">
        <f>D98+D97+D96+D95+D94+D93+D92</f>
        <v>7810</v>
      </c>
      <c r="E99" s="1019">
        <f>E98+E97+E96+E95+E94+E93+E92</f>
        <v>7810</v>
      </c>
    </row>
    <row r="100" spans="1:9" ht="15.75" thickBot="1" x14ac:dyDescent="0.3">
      <c r="A100" s="17" t="s">
        <v>41</v>
      </c>
      <c r="B100" s="1018">
        <f>IF(B99-B84=0,0,"Error")</f>
        <v>0</v>
      </c>
      <c r="C100" s="1004">
        <f>IF(C99-C84=0,0,"Error")</f>
        <v>0</v>
      </c>
      <c r="D100" s="1018">
        <f>IF(D99-D84=0,0,"Error")</f>
        <v>0</v>
      </c>
      <c r="E100" s="1018">
        <f>IF(E99-E84=0,0,"Error")</f>
        <v>0</v>
      </c>
    </row>
    <row r="101" spans="1:9" ht="15.75" thickBot="1" x14ac:dyDescent="0.3">
      <c r="A101" s="2190" t="s">
        <v>63</v>
      </c>
      <c r="B101" s="2191"/>
      <c r="C101" s="2191"/>
      <c r="D101" s="2191"/>
      <c r="E101" s="2192"/>
    </row>
    <row r="102" spans="1:9" ht="15.75" thickBot="1" x14ac:dyDescent="0.3">
      <c r="A102" s="2190" t="s">
        <v>56</v>
      </c>
      <c r="B102" s="2191"/>
      <c r="C102" s="2191"/>
      <c r="D102" s="2191"/>
      <c r="E102" s="2192"/>
    </row>
    <row r="103" spans="1:9" ht="17.25" customHeight="1" thickBot="1" x14ac:dyDescent="0.3">
      <c r="A103" s="20" t="s">
        <v>79</v>
      </c>
      <c r="B103" s="2193" t="s">
        <v>1554</v>
      </c>
      <c r="C103" s="2194"/>
      <c r="D103" s="2194"/>
      <c r="E103" s="2195"/>
    </row>
    <row r="104" spans="1:9" ht="15.75" thickBot="1" x14ac:dyDescent="0.3">
      <c r="A104" s="7" t="s">
        <v>16</v>
      </c>
      <c r="B104" s="1330" t="s">
        <v>106</v>
      </c>
      <c r="C104" s="1331"/>
      <c r="D104" s="1331"/>
      <c r="E104" s="1332"/>
    </row>
    <row r="105" spans="1:9" ht="12.75" customHeight="1" thickBot="1" x14ac:dyDescent="0.3">
      <c r="A105" s="5" t="s">
        <v>17</v>
      </c>
      <c r="B105" s="1245" t="s">
        <v>1553</v>
      </c>
      <c r="C105" s="1246"/>
      <c r="D105" s="1246"/>
      <c r="E105" s="1298"/>
    </row>
    <row r="106" spans="1:9" ht="15" customHeight="1" thickBot="1" x14ac:dyDescent="0.3">
      <c r="A106" s="5" t="s">
        <v>18</v>
      </c>
      <c r="B106" s="2196" t="s">
        <v>106</v>
      </c>
      <c r="C106" s="2197"/>
      <c r="D106" s="2197"/>
      <c r="E106" s="2198"/>
    </row>
    <row r="107" spans="1:9" x14ac:dyDescent="0.25">
      <c r="A107" s="1250"/>
      <c r="B107" s="8">
        <v>2018</v>
      </c>
      <c r="C107" s="8">
        <v>2019</v>
      </c>
      <c r="D107" s="8">
        <v>2020</v>
      </c>
      <c r="E107" s="8">
        <v>2021</v>
      </c>
    </row>
    <row r="108" spans="1:9" ht="15.75" thickBot="1" x14ac:dyDescent="0.3">
      <c r="A108" s="1251"/>
      <c r="B108" s="9" t="s">
        <v>10</v>
      </c>
      <c r="C108" s="9" t="s">
        <v>11</v>
      </c>
      <c r="D108" s="9" t="s">
        <v>11</v>
      </c>
      <c r="E108" s="9" t="s">
        <v>11</v>
      </c>
    </row>
    <row r="109" spans="1:9" ht="15.75" thickBot="1" x14ac:dyDescent="0.3">
      <c r="A109" s="5" t="s">
        <v>19</v>
      </c>
      <c r="B109" s="10">
        <v>0</v>
      </c>
      <c r="C109" s="1017"/>
      <c r="D109" s="1017"/>
      <c r="E109" s="1017"/>
    </row>
    <row r="110" spans="1:9" ht="15.75" thickBot="1" x14ac:dyDescent="0.3">
      <c r="A110" s="5" t="s">
        <v>20</v>
      </c>
      <c r="B110" s="10"/>
      <c r="C110" s="1014">
        <v>1000</v>
      </c>
      <c r="D110" s="1013">
        <v>1000</v>
      </c>
      <c r="E110" s="1013">
        <v>1000</v>
      </c>
      <c r="F110" s="12"/>
      <c r="G110" s="12"/>
      <c r="H110" s="12"/>
      <c r="I110" s="12"/>
    </row>
    <row r="111" spans="1:9" ht="15.75" thickBot="1" x14ac:dyDescent="0.3">
      <c r="A111" s="5" t="s">
        <v>21</v>
      </c>
      <c r="B111" s="10" t="e">
        <f>B110/B109</f>
        <v>#DIV/0!</v>
      </c>
      <c r="C111" s="10" t="e">
        <f>C110/C109</f>
        <v>#DIV/0!</v>
      </c>
      <c r="D111" s="10" t="e">
        <f>D110/D109</f>
        <v>#DIV/0!</v>
      </c>
      <c r="E111" s="10" t="e">
        <f>E110/E109</f>
        <v>#DIV/0!</v>
      </c>
    </row>
    <row r="112" spans="1:9" ht="15.75" thickBot="1" x14ac:dyDescent="0.3">
      <c r="A112" s="5" t="s">
        <v>22</v>
      </c>
      <c r="B112" s="850" t="s">
        <v>23</v>
      </c>
      <c r="C112" s="993" t="e">
        <f t="shared" ref="C112:E114" si="3">C109/B109-1</f>
        <v>#DIV/0!</v>
      </c>
      <c r="D112" s="993" t="e">
        <f t="shared" si="3"/>
        <v>#DIV/0!</v>
      </c>
      <c r="E112" s="993" t="e">
        <f t="shared" si="3"/>
        <v>#DIV/0!</v>
      </c>
    </row>
    <row r="113" spans="1:5" ht="15.75" thickBot="1" x14ac:dyDescent="0.3">
      <c r="A113" s="5" t="s">
        <v>24</v>
      </c>
      <c r="B113" s="850" t="s">
        <v>23</v>
      </c>
      <c r="C113" s="993" t="e">
        <f t="shared" si="3"/>
        <v>#DIV/0!</v>
      </c>
      <c r="D113" s="993">
        <f t="shared" si="3"/>
        <v>0</v>
      </c>
      <c r="E113" s="993">
        <f t="shared" si="3"/>
        <v>0</v>
      </c>
    </row>
    <row r="114" spans="1:5" ht="12.75" customHeight="1" thickBot="1" x14ac:dyDescent="0.3">
      <c r="A114" s="5" t="s">
        <v>25</v>
      </c>
      <c r="B114" s="850" t="s">
        <v>23</v>
      </c>
      <c r="C114" s="993" t="e">
        <f t="shared" si="3"/>
        <v>#DIV/0!</v>
      </c>
      <c r="D114" s="993" t="e">
        <f t="shared" si="3"/>
        <v>#DIV/0!</v>
      </c>
      <c r="E114" s="993" t="e">
        <f t="shared" si="3"/>
        <v>#DIV/0!</v>
      </c>
    </row>
    <row r="115" spans="1:5" ht="17.25" customHeight="1" thickBot="1" x14ac:dyDescent="0.3">
      <c r="A115" s="1252" t="s">
        <v>633</v>
      </c>
      <c r="B115" s="1253"/>
      <c r="C115" s="1253"/>
      <c r="D115" s="1253"/>
      <c r="E115" s="1300"/>
    </row>
    <row r="116" spans="1:5" x14ac:dyDescent="0.25">
      <c r="A116" s="1250"/>
      <c r="B116" s="8">
        <v>2018</v>
      </c>
      <c r="C116" s="8">
        <v>2019</v>
      </c>
      <c r="D116" s="8">
        <v>2020</v>
      </c>
      <c r="E116" s="8">
        <v>2021</v>
      </c>
    </row>
    <row r="117" spans="1:5" ht="15.75" thickBot="1" x14ac:dyDescent="0.3">
      <c r="A117" s="1251"/>
      <c r="B117" s="9" t="s">
        <v>10</v>
      </c>
      <c r="C117" s="9" t="s">
        <v>11</v>
      </c>
      <c r="D117" s="9" t="s">
        <v>11</v>
      </c>
      <c r="E117" s="9" t="s">
        <v>11</v>
      </c>
    </row>
    <row r="118" spans="1:5" ht="15.75" thickBot="1" x14ac:dyDescent="0.3">
      <c r="A118" s="1016" t="s">
        <v>58</v>
      </c>
      <c r="B118" s="1011"/>
      <c r="C118" s="990"/>
      <c r="D118" s="1011"/>
      <c r="E118" s="1011"/>
    </row>
    <row r="119" spans="1:5" ht="15.75" thickBot="1" x14ac:dyDescent="0.3">
      <c r="A119" s="1016" t="s">
        <v>59</v>
      </c>
      <c r="B119" s="1015"/>
      <c r="C119" s="1014">
        <v>1000</v>
      </c>
      <c r="D119" s="1013">
        <v>1000</v>
      </c>
      <c r="E119" s="1013">
        <v>1000</v>
      </c>
    </row>
    <row r="120" spans="1:5" ht="15.75" thickBot="1" x14ac:dyDescent="0.3">
      <c r="A120" s="1012" t="s">
        <v>40</v>
      </c>
      <c r="B120" s="1011">
        <f>B119+B118</f>
        <v>0</v>
      </c>
      <c r="C120" s="990">
        <f>C119+C118</f>
        <v>1000</v>
      </c>
      <c r="D120" s="1011">
        <f>D119+D118</f>
        <v>1000</v>
      </c>
      <c r="E120" s="1011">
        <f>E119+E118</f>
        <v>1000</v>
      </c>
    </row>
    <row r="121" spans="1:5" x14ac:dyDescent="0.25">
      <c r="A121" s="1254" t="s">
        <v>60</v>
      </c>
      <c r="B121" s="1387"/>
      <c r="C121" s="1388"/>
      <c r="D121" s="1388"/>
      <c r="E121" s="1389"/>
    </row>
    <row r="122" spans="1:5" x14ac:dyDescent="0.25">
      <c r="A122" s="1255"/>
      <c r="B122" s="1390"/>
      <c r="C122" s="1391"/>
      <c r="D122" s="1391"/>
      <c r="E122" s="1392"/>
    </row>
    <row r="123" spans="1:5" ht="17.25" customHeight="1" thickBot="1" x14ac:dyDescent="0.3">
      <c r="A123" s="1256"/>
      <c r="B123" s="1393"/>
      <c r="C123" s="1394"/>
      <c r="D123" s="1394"/>
      <c r="E123" s="1395"/>
    </row>
    <row r="124" spans="1:5" ht="15.75" hidden="1" thickBot="1" x14ac:dyDescent="0.3">
      <c r="A124" s="436" t="s">
        <v>61</v>
      </c>
      <c r="B124" s="2154" t="s">
        <v>124</v>
      </c>
      <c r="C124" s="2155"/>
      <c r="D124" s="2155"/>
      <c r="E124" s="2156"/>
    </row>
    <row r="125" spans="1:5" ht="12.75" hidden="1" customHeight="1" thickBot="1" x14ac:dyDescent="0.3">
      <c r="A125" s="998" t="s">
        <v>123</v>
      </c>
      <c r="B125" s="2157" t="s">
        <v>106</v>
      </c>
      <c r="C125" s="2158"/>
      <c r="D125" s="2158"/>
      <c r="E125" s="2159"/>
    </row>
    <row r="126" spans="1:5" ht="12" hidden="1" customHeight="1" thickBot="1" x14ac:dyDescent="0.3">
      <c r="A126" s="436" t="s">
        <v>17</v>
      </c>
      <c r="B126" s="2157" t="s">
        <v>106</v>
      </c>
      <c r="C126" s="2158"/>
      <c r="D126" s="2158"/>
      <c r="E126" s="2159"/>
    </row>
    <row r="127" spans="1:5" ht="15.75" hidden="1" thickBot="1" x14ac:dyDescent="0.3">
      <c r="A127" s="436" t="s">
        <v>18</v>
      </c>
      <c r="B127" s="2157" t="s">
        <v>106</v>
      </c>
      <c r="C127" s="2158"/>
      <c r="D127" s="2158"/>
      <c r="E127" s="2159"/>
    </row>
    <row r="128" spans="1:5" ht="15.75" hidden="1" thickBot="1" x14ac:dyDescent="0.3">
      <c r="A128" s="2160"/>
      <c r="B128" s="997">
        <v>2018</v>
      </c>
      <c r="C128" s="997">
        <v>2019</v>
      </c>
      <c r="D128" s="997">
        <v>2020</v>
      </c>
      <c r="E128" s="997">
        <v>2021</v>
      </c>
    </row>
    <row r="129" spans="1:9" ht="15.75" hidden="1" thickBot="1" x14ac:dyDescent="0.3">
      <c r="A129" s="2161"/>
      <c r="B129" s="996" t="s">
        <v>10</v>
      </c>
      <c r="C129" s="996" t="s">
        <v>11</v>
      </c>
      <c r="D129" s="996" t="s">
        <v>11</v>
      </c>
      <c r="E129" s="996" t="s">
        <v>11</v>
      </c>
    </row>
    <row r="130" spans="1:9" ht="15.75" hidden="1" thickBot="1" x14ac:dyDescent="0.3">
      <c r="A130" s="436" t="s">
        <v>19</v>
      </c>
      <c r="B130" s="995"/>
      <c r="C130" s="995"/>
      <c r="D130" s="995"/>
      <c r="E130" s="995"/>
      <c r="F130" s="12"/>
      <c r="G130" s="12"/>
      <c r="H130" s="12"/>
      <c r="I130" s="12"/>
    </row>
    <row r="131" spans="1:9" ht="15.75" hidden="1" thickBot="1" x14ac:dyDescent="0.3">
      <c r="A131" s="436" t="s">
        <v>20</v>
      </c>
      <c r="B131" s="995"/>
      <c r="C131" s="995"/>
      <c r="D131" s="995"/>
      <c r="E131" s="995"/>
    </row>
    <row r="132" spans="1:9" ht="15.75" hidden="1" thickBot="1" x14ac:dyDescent="0.3">
      <c r="A132" s="436" t="s">
        <v>21</v>
      </c>
      <c r="B132" s="995" t="e">
        <f>B131/B130</f>
        <v>#DIV/0!</v>
      </c>
      <c r="C132" s="995" t="e">
        <f>C131/C130</f>
        <v>#DIV/0!</v>
      </c>
      <c r="D132" s="995" t="e">
        <f>D131/D130</f>
        <v>#DIV/0!</v>
      </c>
      <c r="E132" s="995" t="e">
        <f>E131/E130</f>
        <v>#DIV/0!</v>
      </c>
    </row>
    <row r="133" spans="1:9" ht="15.75" hidden="1" thickBot="1" x14ac:dyDescent="0.3">
      <c r="A133" s="436" t="s">
        <v>22</v>
      </c>
      <c r="B133" s="994" t="s">
        <v>23</v>
      </c>
      <c r="C133" s="992" t="e">
        <f t="shared" ref="C133:E135" si="4">C130/B130-1</f>
        <v>#DIV/0!</v>
      </c>
      <c r="D133" s="992" t="e">
        <f t="shared" si="4"/>
        <v>#DIV/0!</v>
      </c>
      <c r="E133" s="992" t="e">
        <f t="shared" si="4"/>
        <v>#DIV/0!</v>
      </c>
    </row>
    <row r="134" spans="1:9" ht="12.75" hidden="1" customHeight="1" thickBot="1" x14ac:dyDescent="0.3">
      <c r="A134" s="436" t="s">
        <v>24</v>
      </c>
      <c r="B134" s="994" t="s">
        <v>23</v>
      </c>
      <c r="C134" s="992" t="e">
        <f t="shared" si="4"/>
        <v>#DIV/0!</v>
      </c>
      <c r="D134" s="992" t="e">
        <f t="shared" si="4"/>
        <v>#DIV/0!</v>
      </c>
      <c r="E134" s="992" t="e">
        <f t="shared" si="4"/>
        <v>#DIV/0!</v>
      </c>
    </row>
    <row r="135" spans="1:9" ht="11.25" hidden="1" customHeight="1" thickBot="1" x14ac:dyDescent="0.3">
      <c r="A135" s="436" t="s">
        <v>25</v>
      </c>
      <c r="B135" s="994" t="s">
        <v>23</v>
      </c>
      <c r="C135" s="992" t="e">
        <f t="shared" si="4"/>
        <v>#DIV/0!</v>
      </c>
      <c r="D135" s="992" t="e">
        <f t="shared" si="4"/>
        <v>#DIV/0!</v>
      </c>
      <c r="E135" s="992" t="e">
        <f t="shared" si="4"/>
        <v>#DIV/0!</v>
      </c>
    </row>
    <row r="136" spans="1:9" ht="15.75" hidden="1" thickBot="1" x14ac:dyDescent="0.3">
      <c r="A136" s="2162" t="s">
        <v>635</v>
      </c>
      <c r="B136" s="2163"/>
      <c r="C136" s="2163"/>
      <c r="D136" s="2163"/>
      <c r="E136" s="2164"/>
    </row>
    <row r="137" spans="1:9" ht="15.75" hidden="1" thickBot="1" x14ac:dyDescent="0.3">
      <c r="A137" s="2160"/>
      <c r="B137" s="997">
        <v>2018</v>
      </c>
      <c r="C137" s="997">
        <v>2019</v>
      </c>
      <c r="D137" s="997">
        <v>2020</v>
      </c>
      <c r="E137" s="997">
        <v>2021</v>
      </c>
    </row>
    <row r="138" spans="1:9" ht="15.75" hidden="1" thickBot="1" x14ac:dyDescent="0.3">
      <c r="A138" s="2161"/>
      <c r="B138" s="996" t="s">
        <v>10</v>
      </c>
      <c r="C138" s="996" t="s">
        <v>11</v>
      </c>
      <c r="D138" s="996" t="s">
        <v>11</v>
      </c>
      <c r="E138" s="996" t="s">
        <v>11</v>
      </c>
    </row>
    <row r="139" spans="1:9" ht="15.75" hidden="1" thickBot="1" x14ac:dyDescent="0.3">
      <c r="A139" s="1002" t="s">
        <v>58</v>
      </c>
      <c r="B139" s="1001"/>
      <c r="C139" s="1001"/>
      <c r="D139" s="1001"/>
      <c r="E139" s="1001"/>
    </row>
    <row r="140" spans="1:9" ht="15.75" hidden="1" thickBot="1" x14ac:dyDescent="0.3">
      <c r="A140" s="1002" t="s">
        <v>59</v>
      </c>
      <c r="B140" s="999"/>
      <c r="C140" s="1001"/>
      <c r="D140" s="1001"/>
      <c r="E140" s="1001"/>
    </row>
    <row r="141" spans="1:9" ht="17.25" hidden="1" customHeight="1" thickBot="1" x14ac:dyDescent="0.3">
      <c r="A141" s="1000" t="s">
        <v>74</v>
      </c>
      <c r="B141" s="1001">
        <f>B140+B139</f>
        <v>0</v>
      </c>
      <c r="C141" s="1001">
        <f>C140+C139</f>
        <v>0</v>
      </c>
      <c r="D141" s="1001">
        <f>D140+D139</f>
        <v>0</v>
      </c>
      <c r="E141" s="1001">
        <f>E140+E139</f>
        <v>0</v>
      </c>
    </row>
    <row r="142" spans="1:9" ht="15.75" hidden="1" thickBot="1" x14ac:dyDescent="0.3">
      <c r="A142" s="2151" t="s">
        <v>63</v>
      </c>
      <c r="B142" s="2152"/>
      <c r="C142" s="2152"/>
      <c r="D142" s="2152"/>
      <c r="E142" s="2153"/>
    </row>
    <row r="143" spans="1:9" ht="12.75" hidden="1" customHeight="1" thickBot="1" x14ac:dyDescent="0.3">
      <c r="A143" s="2151" t="s">
        <v>64</v>
      </c>
      <c r="B143" s="2152"/>
      <c r="C143" s="2152"/>
      <c r="D143" s="2152"/>
      <c r="E143" s="2153"/>
    </row>
    <row r="144" spans="1:9" ht="12.75" hidden="1" customHeight="1" thickBot="1" x14ac:dyDescent="0.3">
      <c r="A144" s="436" t="s">
        <v>61</v>
      </c>
      <c r="B144" s="2154" t="s">
        <v>124</v>
      </c>
      <c r="C144" s="2155"/>
      <c r="D144" s="2155"/>
      <c r="E144" s="2156"/>
    </row>
    <row r="145" spans="1:9" ht="15.75" hidden="1" thickBot="1" x14ac:dyDescent="0.3">
      <c r="A145" s="998" t="s">
        <v>16</v>
      </c>
      <c r="B145" s="2157" t="s">
        <v>106</v>
      </c>
      <c r="C145" s="2158"/>
      <c r="D145" s="2158"/>
      <c r="E145" s="2159"/>
    </row>
    <row r="146" spans="1:9" ht="15.75" hidden="1" thickBot="1" x14ac:dyDescent="0.3">
      <c r="A146" s="436" t="s">
        <v>17</v>
      </c>
      <c r="B146" s="2157" t="s">
        <v>106</v>
      </c>
      <c r="C146" s="2158"/>
      <c r="D146" s="2158"/>
      <c r="E146" s="2159"/>
    </row>
    <row r="147" spans="1:9" ht="15.75" hidden="1" thickBot="1" x14ac:dyDescent="0.3">
      <c r="A147" s="436" t="s">
        <v>18</v>
      </c>
      <c r="B147" s="2157" t="s">
        <v>106</v>
      </c>
      <c r="C147" s="2158"/>
      <c r="D147" s="2158"/>
      <c r="E147" s="2159"/>
    </row>
    <row r="148" spans="1:9" ht="15.75" hidden="1" thickBot="1" x14ac:dyDescent="0.3">
      <c r="A148" s="2160"/>
      <c r="B148" s="997">
        <v>2018</v>
      </c>
      <c r="C148" s="997">
        <v>2019</v>
      </c>
      <c r="D148" s="997">
        <v>2020</v>
      </c>
      <c r="E148" s="997">
        <v>2021</v>
      </c>
      <c r="F148" s="12"/>
      <c r="G148" s="12"/>
      <c r="H148" s="12"/>
      <c r="I148" s="12"/>
    </row>
    <row r="149" spans="1:9" ht="15.75" hidden="1" thickBot="1" x14ac:dyDescent="0.3">
      <c r="A149" s="2161"/>
      <c r="B149" s="996" t="s">
        <v>10</v>
      </c>
      <c r="C149" s="996" t="s">
        <v>11</v>
      </c>
      <c r="D149" s="996" t="s">
        <v>11</v>
      </c>
      <c r="E149" s="996" t="s">
        <v>11</v>
      </c>
    </row>
    <row r="150" spans="1:9" ht="15.75" hidden="1" thickBot="1" x14ac:dyDescent="0.3">
      <c r="A150" s="436" t="s">
        <v>19</v>
      </c>
      <c r="B150" s="995"/>
      <c r="C150" s="995"/>
      <c r="D150" s="995"/>
      <c r="E150" s="995"/>
    </row>
    <row r="151" spans="1:9" ht="15.75" hidden="1" thickBot="1" x14ac:dyDescent="0.3">
      <c r="A151" s="436" t="s">
        <v>20</v>
      </c>
      <c r="B151" s="995"/>
      <c r="C151" s="995"/>
      <c r="D151" s="995"/>
      <c r="E151" s="995"/>
    </row>
    <row r="152" spans="1:9" ht="12.75" hidden="1" customHeight="1" thickBot="1" x14ac:dyDescent="0.3">
      <c r="A152" s="436" t="s">
        <v>21</v>
      </c>
      <c r="B152" s="995" t="e">
        <f>B151/B150</f>
        <v>#DIV/0!</v>
      </c>
      <c r="C152" s="995" t="e">
        <f>C151/C150</f>
        <v>#DIV/0!</v>
      </c>
      <c r="D152" s="995" t="e">
        <f>D151/D150</f>
        <v>#DIV/0!</v>
      </c>
      <c r="E152" s="995" t="e">
        <f>E151/E150</f>
        <v>#DIV/0!</v>
      </c>
    </row>
    <row r="153" spans="1:9" ht="9" hidden="1" customHeight="1" thickBot="1" x14ac:dyDescent="0.3">
      <c r="A153" s="436" t="s">
        <v>22</v>
      </c>
      <c r="B153" s="994" t="s">
        <v>23</v>
      </c>
      <c r="C153" s="992" t="e">
        <f t="shared" ref="C153:E155" si="5">C150/B150-1</f>
        <v>#DIV/0!</v>
      </c>
      <c r="D153" s="992" t="e">
        <f t="shared" si="5"/>
        <v>#DIV/0!</v>
      </c>
      <c r="E153" s="992" t="e">
        <f t="shared" si="5"/>
        <v>#DIV/0!</v>
      </c>
    </row>
    <row r="154" spans="1:9" ht="15.75" hidden="1" thickBot="1" x14ac:dyDescent="0.3">
      <c r="A154" s="436" t="s">
        <v>24</v>
      </c>
      <c r="B154" s="994" t="s">
        <v>23</v>
      </c>
      <c r="C154" s="992" t="e">
        <f t="shared" si="5"/>
        <v>#DIV/0!</v>
      </c>
      <c r="D154" s="992" t="e">
        <f t="shared" si="5"/>
        <v>#DIV/0!</v>
      </c>
      <c r="E154" s="992" t="e">
        <f t="shared" si="5"/>
        <v>#DIV/0!</v>
      </c>
    </row>
    <row r="155" spans="1:9" ht="23.25" hidden="1" thickBot="1" x14ac:dyDescent="0.3">
      <c r="A155" s="436" t="s">
        <v>25</v>
      </c>
      <c r="B155" s="994" t="s">
        <v>23</v>
      </c>
      <c r="C155" s="992" t="e">
        <f t="shared" si="5"/>
        <v>#DIV/0!</v>
      </c>
      <c r="D155" s="992" t="e">
        <f t="shared" si="5"/>
        <v>#DIV/0!</v>
      </c>
      <c r="E155" s="992" t="e">
        <f t="shared" si="5"/>
        <v>#DIV/0!</v>
      </c>
    </row>
    <row r="156" spans="1:9" ht="15.75" hidden="1" thickBot="1" x14ac:dyDescent="0.3">
      <c r="A156" s="2162" t="s">
        <v>633</v>
      </c>
      <c r="B156" s="2163"/>
      <c r="C156" s="2163"/>
      <c r="D156" s="2163"/>
      <c r="E156" s="2164"/>
    </row>
    <row r="157" spans="1:9" ht="15.75" hidden="1" customHeight="1" x14ac:dyDescent="0.25">
      <c r="A157" s="2160"/>
      <c r="B157" s="997">
        <v>2018</v>
      </c>
      <c r="C157" s="997">
        <v>2019</v>
      </c>
      <c r="D157" s="997">
        <v>2020</v>
      </c>
      <c r="E157" s="997">
        <v>2021</v>
      </c>
    </row>
    <row r="158" spans="1:9" ht="15.75" hidden="1" customHeight="1" thickBot="1" x14ac:dyDescent="0.3">
      <c r="A158" s="2161"/>
      <c r="B158" s="996" t="s">
        <v>10</v>
      </c>
      <c r="C158" s="996" t="s">
        <v>11</v>
      </c>
      <c r="D158" s="996" t="s">
        <v>11</v>
      </c>
      <c r="E158" s="996" t="s">
        <v>11</v>
      </c>
    </row>
    <row r="159" spans="1:9" ht="15.75" hidden="1" thickBot="1" x14ac:dyDescent="0.3">
      <c r="A159" s="1002" t="s">
        <v>58</v>
      </c>
      <c r="B159" s="1001"/>
      <c r="C159" s="1001"/>
      <c r="D159" s="1001"/>
      <c r="E159" s="1001"/>
    </row>
    <row r="160" spans="1:9" ht="15.75" hidden="1" customHeight="1" thickBot="1" x14ac:dyDescent="0.3">
      <c r="A160" s="1002" t="s">
        <v>59</v>
      </c>
      <c r="B160" s="999"/>
      <c r="C160" s="1001"/>
      <c r="D160" s="1001"/>
      <c r="E160" s="1001"/>
    </row>
    <row r="161" spans="1:5" ht="23.25" hidden="1" customHeight="1" thickBot="1" x14ac:dyDescent="0.3">
      <c r="A161" s="1000" t="s">
        <v>40</v>
      </c>
      <c r="B161" s="1001">
        <f>B160+B159</f>
        <v>0</v>
      </c>
      <c r="C161" s="1001">
        <f>C160+C159</f>
        <v>0</v>
      </c>
      <c r="D161" s="1001">
        <f>D160+D159</f>
        <v>0</v>
      </c>
      <c r="E161" s="1001">
        <f>E160+E159</f>
        <v>0</v>
      </c>
    </row>
    <row r="162" spans="1:5" ht="23.25" hidden="1" customHeight="1" thickBot="1" x14ac:dyDescent="0.3">
      <c r="A162" s="1010" t="s">
        <v>61</v>
      </c>
      <c r="B162" s="2154" t="s">
        <v>124</v>
      </c>
      <c r="C162" s="2155"/>
      <c r="D162" s="2155"/>
      <c r="E162" s="2156"/>
    </row>
    <row r="163" spans="1:5" ht="23.25" hidden="1" customHeight="1" thickBot="1" x14ac:dyDescent="0.3">
      <c r="A163" s="998" t="s">
        <v>123</v>
      </c>
      <c r="B163" s="2157" t="s">
        <v>106</v>
      </c>
      <c r="C163" s="2158"/>
      <c r="D163" s="2158"/>
      <c r="E163" s="2159"/>
    </row>
    <row r="164" spans="1:5" ht="12.75" hidden="1" customHeight="1" thickBot="1" x14ac:dyDescent="0.3">
      <c r="A164" s="436" t="s">
        <v>17</v>
      </c>
      <c r="B164" s="2157" t="s">
        <v>106</v>
      </c>
      <c r="C164" s="2158"/>
      <c r="D164" s="2158"/>
      <c r="E164" s="2159"/>
    </row>
    <row r="165" spans="1:5" ht="9" hidden="1" customHeight="1" thickBot="1" x14ac:dyDescent="0.3">
      <c r="A165" s="436" t="s">
        <v>18</v>
      </c>
      <c r="B165" s="2157" t="s">
        <v>106</v>
      </c>
      <c r="C165" s="2158"/>
      <c r="D165" s="2158"/>
      <c r="E165" s="2159"/>
    </row>
    <row r="166" spans="1:5" ht="15.75" hidden="1" customHeight="1" x14ac:dyDescent="0.25">
      <c r="A166" s="2160"/>
      <c r="B166" s="997">
        <v>2018</v>
      </c>
      <c r="C166" s="997">
        <v>2019</v>
      </c>
      <c r="D166" s="997">
        <v>2020</v>
      </c>
      <c r="E166" s="997">
        <v>2021</v>
      </c>
    </row>
    <row r="167" spans="1:5" ht="16.5" hidden="1" customHeight="1" thickBot="1" x14ac:dyDescent="0.3">
      <c r="A167" s="2161"/>
      <c r="B167" s="996" t="s">
        <v>10</v>
      </c>
      <c r="C167" s="996" t="s">
        <v>11</v>
      </c>
      <c r="D167" s="996" t="s">
        <v>11</v>
      </c>
      <c r="E167" s="996" t="s">
        <v>11</v>
      </c>
    </row>
    <row r="168" spans="1:5" ht="15.75" hidden="1" customHeight="1" thickBot="1" x14ac:dyDescent="0.3">
      <c r="A168" s="436" t="s">
        <v>19</v>
      </c>
      <c r="B168" s="995"/>
      <c r="C168" s="995"/>
      <c r="D168" s="995"/>
      <c r="E168" s="995"/>
    </row>
    <row r="169" spans="1:5" ht="12.75" hidden="1" customHeight="1" thickBot="1" x14ac:dyDescent="0.3">
      <c r="A169" s="436" t="s">
        <v>20</v>
      </c>
      <c r="B169" s="995"/>
      <c r="C169" s="995"/>
      <c r="D169" s="995"/>
      <c r="E169" s="995"/>
    </row>
    <row r="170" spans="1:5" ht="11.25" hidden="1" customHeight="1" thickBot="1" x14ac:dyDescent="0.3">
      <c r="A170" s="436" t="s">
        <v>21</v>
      </c>
      <c r="B170" s="995" t="e">
        <f>B169/B168</f>
        <v>#DIV/0!</v>
      </c>
      <c r="C170" s="995" t="e">
        <f>C169/C168</f>
        <v>#DIV/0!</v>
      </c>
      <c r="D170" s="995" t="e">
        <f>D169/D168</f>
        <v>#DIV/0!</v>
      </c>
      <c r="E170" s="995" t="e">
        <f>E169/E168</f>
        <v>#DIV/0!</v>
      </c>
    </row>
    <row r="171" spans="1:5" ht="15.75" hidden="1" customHeight="1" thickBot="1" x14ac:dyDescent="0.3">
      <c r="A171" s="436" t="s">
        <v>22</v>
      </c>
      <c r="B171" s="994" t="s">
        <v>23</v>
      </c>
      <c r="C171" s="992" t="e">
        <f t="shared" ref="C171:E173" si="6">C168/B168-1</f>
        <v>#DIV/0!</v>
      </c>
      <c r="D171" s="992" t="e">
        <f t="shared" si="6"/>
        <v>#DIV/0!</v>
      </c>
      <c r="E171" s="992" t="e">
        <f t="shared" si="6"/>
        <v>#DIV/0!</v>
      </c>
    </row>
    <row r="172" spans="1:5" ht="15.75" hidden="1" thickBot="1" x14ac:dyDescent="0.3">
      <c r="A172" s="436" t="s">
        <v>24</v>
      </c>
      <c r="B172" s="994" t="s">
        <v>23</v>
      </c>
      <c r="C172" s="992" t="e">
        <f t="shared" si="6"/>
        <v>#DIV/0!</v>
      </c>
      <c r="D172" s="992" t="e">
        <f t="shared" si="6"/>
        <v>#DIV/0!</v>
      </c>
      <c r="E172" s="992" t="e">
        <f t="shared" si="6"/>
        <v>#DIV/0!</v>
      </c>
    </row>
    <row r="173" spans="1:5" ht="23.25" hidden="1" thickBot="1" x14ac:dyDescent="0.3">
      <c r="A173" s="436" t="s">
        <v>25</v>
      </c>
      <c r="B173" s="994" t="s">
        <v>23</v>
      </c>
      <c r="C173" s="992" t="e">
        <f t="shared" si="6"/>
        <v>#DIV/0!</v>
      </c>
      <c r="D173" s="992" t="e">
        <f t="shared" si="6"/>
        <v>#DIV/0!</v>
      </c>
      <c r="E173" s="992" t="e">
        <f t="shared" si="6"/>
        <v>#DIV/0!</v>
      </c>
    </row>
    <row r="174" spans="1:5" ht="15.75" hidden="1" thickBot="1" x14ac:dyDescent="0.3">
      <c r="A174" s="2162" t="s">
        <v>635</v>
      </c>
      <c r="B174" s="2163"/>
      <c r="C174" s="2163"/>
      <c r="D174" s="2163"/>
      <c r="E174" s="2164"/>
    </row>
    <row r="175" spans="1:5" ht="12" hidden="1" customHeight="1" x14ac:dyDescent="0.25">
      <c r="A175" s="2160"/>
      <c r="B175" s="997">
        <v>2018</v>
      </c>
      <c r="C175" s="997">
        <v>2019</v>
      </c>
      <c r="D175" s="997">
        <v>2020</v>
      </c>
      <c r="E175" s="997">
        <v>2021</v>
      </c>
    </row>
    <row r="176" spans="1:5" ht="15.75" hidden="1" thickBot="1" x14ac:dyDescent="0.3">
      <c r="A176" s="2161"/>
      <c r="B176" s="996" t="s">
        <v>10</v>
      </c>
      <c r="C176" s="996" t="s">
        <v>11</v>
      </c>
      <c r="D176" s="996" t="s">
        <v>11</v>
      </c>
      <c r="E176" s="996" t="s">
        <v>11</v>
      </c>
    </row>
    <row r="177" spans="1:5" ht="12.75" hidden="1" customHeight="1" thickBot="1" x14ac:dyDescent="0.3">
      <c r="A177" s="1002" t="s">
        <v>58</v>
      </c>
      <c r="B177" s="1001"/>
      <c r="C177" s="1001"/>
      <c r="D177" s="1001"/>
      <c r="E177" s="1001"/>
    </row>
    <row r="178" spans="1:5" ht="17.25" hidden="1" customHeight="1" thickBot="1" x14ac:dyDescent="0.3">
      <c r="A178" s="1002" t="s">
        <v>59</v>
      </c>
      <c r="B178" s="999"/>
      <c r="C178" s="1001"/>
      <c r="D178" s="1001"/>
      <c r="E178" s="1001"/>
    </row>
    <row r="179" spans="1:5" ht="15.75" hidden="1" thickBot="1" x14ac:dyDescent="0.3">
      <c r="A179" s="1000" t="s">
        <v>74</v>
      </c>
      <c r="B179" s="1001">
        <f>B178+B177</f>
        <v>0</v>
      </c>
      <c r="C179" s="1001">
        <f>C178+C177</f>
        <v>0</v>
      </c>
      <c r="D179" s="1001">
        <f>D178+D177</f>
        <v>0</v>
      </c>
      <c r="E179" s="1001">
        <f>E178+E177</f>
        <v>0</v>
      </c>
    </row>
    <row r="180" spans="1:5" ht="12.75" hidden="1" customHeight="1" thickBot="1" x14ac:dyDescent="0.3">
      <c r="A180" s="1009" t="s">
        <v>67</v>
      </c>
      <c r="B180" s="2184" t="s">
        <v>106</v>
      </c>
      <c r="C180" s="2185"/>
      <c r="D180" s="2185"/>
      <c r="E180" s="2186"/>
    </row>
    <row r="181" spans="1:5" ht="15" hidden="1" customHeight="1" thickBot="1" x14ac:dyDescent="0.3">
      <c r="A181" s="2157" t="s">
        <v>68</v>
      </c>
      <c r="B181" s="2158"/>
      <c r="C181" s="2158"/>
      <c r="D181" s="2158"/>
      <c r="E181" s="2159"/>
    </row>
    <row r="182" spans="1:5" ht="15.75" hidden="1" thickBot="1" x14ac:dyDescent="0.3">
      <c r="A182" s="1007" t="s">
        <v>164</v>
      </c>
      <c r="B182" s="1008" t="s">
        <v>112</v>
      </c>
      <c r="C182" s="1008" t="s">
        <v>113</v>
      </c>
      <c r="D182" s="1008" t="s">
        <v>113</v>
      </c>
      <c r="E182" s="1008" t="s">
        <v>113</v>
      </c>
    </row>
    <row r="183" spans="1:5" ht="15.75" hidden="1" thickBot="1" x14ac:dyDescent="0.3">
      <c r="A183" s="436" t="s">
        <v>165</v>
      </c>
      <c r="B183" s="1008" t="s">
        <v>112</v>
      </c>
      <c r="C183" s="1008" t="s">
        <v>113</v>
      </c>
      <c r="D183" s="1008" t="s">
        <v>113</v>
      </c>
      <c r="E183" s="1008" t="s">
        <v>113</v>
      </c>
    </row>
    <row r="184" spans="1:5" ht="23.25" hidden="1" thickBot="1" x14ac:dyDescent="0.3">
      <c r="A184" s="436" t="s">
        <v>111</v>
      </c>
      <c r="B184" s="1008" t="s">
        <v>112</v>
      </c>
      <c r="C184" s="1008" t="s">
        <v>113</v>
      </c>
      <c r="D184" s="1008" t="s">
        <v>113</v>
      </c>
      <c r="E184" s="1008" t="s">
        <v>113</v>
      </c>
    </row>
    <row r="185" spans="1:5" ht="15.75" hidden="1" thickBot="1" x14ac:dyDescent="0.3">
      <c r="A185" s="2162" t="s">
        <v>69</v>
      </c>
      <c r="B185" s="2163"/>
      <c r="C185" s="2163"/>
      <c r="D185" s="2163"/>
      <c r="E185" s="2164"/>
    </row>
    <row r="186" spans="1:5" ht="15.75" hidden="1" thickBot="1" x14ac:dyDescent="0.3">
      <c r="A186" s="2187" t="s">
        <v>70</v>
      </c>
      <c r="B186" s="2188"/>
      <c r="C186" s="2188"/>
      <c r="D186" s="2188"/>
      <c r="E186" s="2189"/>
    </row>
    <row r="187" spans="1:5" ht="9" hidden="1" customHeight="1" x14ac:dyDescent="0.25">
      <c r="A187" s="2160"/>
      <c r="B187" s="997">
        <v>2018</v>
      </c>
      <c r="C187" s="997">
        <v>2019</v>
      </c>
      <c r="D187" s="997">
        <v>2020</v>
      </c>
      <c r="E187" s="997">
        <v>2021</v>
      </c>
    </row>
    <row r="188" spans="1:5" ht="15.75" hidden="1" thickBot="1" x14ac:dyDescent="0.3">
      <c r="A188" s="2161"/>
      <c r="B188" s="996" t="s">
        <v>10</v>
      </c>
      <c r="C188" s="996" t="s">
        <v>11</v>
      </c>
      <c r="D188" s="996" t="s">
        <v>11</v>
      </c>
      <c r="E188" s="996" t="s">
        <v>11</v>
      </c>
    </row>
    <row r="189" spans="1:5" ht="15.75" hidden="1" thickBot="1" x14ac:dyDescent="0.3">
      <c r="A189" s="998" t="s">
        <v>16</v>
      </c>
      <c r="B189" s="2157" t="s">
        <v>106</v>
      </c>
      <c r="C189" s="2158"/>
      <c r="D189" s="2158"/>
      <c r="E189" s="2159"/>
    </row>
    <row r="190" spans="1:5" ht="15.75" hidden="1" thickBot="1" x14ac:dyDescent="0.3">
      <c r="A190" s="436" t="s">
        <v>17</v>
      </c>
      <c r="B190" s="2157" t="s">
        <v>106</v>
      </c>
      <c r="C190" s="2158"/>
      <c r="D190" s="2158"/>
      <c r="E190" s="2159"/>
    </row>
    <row r="191" spans="1:5" ht="11.25" hidden="1" customHeight="1" thickBot="1" x14ac:dyDescent="0.3">
      <c r="A191" s="436" t="s">
        <v>18</v>
      </c>
      <c r="B191" s="2157" t="s">
        <v>106</v>
      </c>
      <c r="C191" s="2158"/>
      <c r="D191" s="2158"/>
      <c r="E191" s="2159"/>
    </row>
    <row r="192" spans="1:5" ht="10.5" hidden="1" customHeight="1" x14ac:dyDescent="0.25">
      <c r="A192" s="2160"/>
      <c r="B192" s="997">
        <v>2018</v>
      </c>
      <c r="C192" s="997">
        <v>2019</v>
      </c>
      <c r="D192" s="997">
        <v>2020</v>
      </c>
      <c r="E192" s="997">
        <v>2021</v>
      </c>
    </row>
    <row r="193" spans="1:5" ht="15.75" hidden="1" thickBot="1" x14ac:dyDescent="0.3">
      <c r="A193" s="2161"/>
      <c r="B193" s="996" t="s">
        <v>10</v>
      </c>
      <c r="C193" s="996" t="s">
        <v>11</v>
      </c>
      <c r="D193" s="996" t="s">
        <v>11</v>
      </c>
      <c r="E193" s="996" t="s">
        <v>11</v>
      </c>
    </row>
    <row r="194" spans="1:5" ht="12.75" hidden="1" customHeight="1" thickBot="1" x14ac:dyDescent="0.3">
      <c r="A194" s="436" t="s">
        <v>19</v>
      </c>
      <c r="B194" s="995"/>
      <c r="C194" s="1001"/>
      <c r="D194" s="1001"/>
      <c r="E194" s="1001"/>
    </row>
    <row r="195" spans="1:5" ht="15" hidden="1" customHeight="1" thickBot="1" x14ac:dyDescent="0.3">
      <c r="A195" s="436" t="s">
        <v>20</v>
      </c>
      <c r="B195" s="995"/>
      <c r="C195" s="995"/>
      <c r="D195" s="995"/>
      <c r="E195" s="995"/>
    </row>
    <row r="196" spans="1:5" ht="15.75" hidden="1" thickBot="1" x14ac:dyDescent="0.3">
      <c r="A196" s="436" t="s">
        <v>21</v>
      </c>
      <c r="B196" s="995" t="e">
        <f>B195/B194</f>
        <v>#DIV/0!</v>
      </c>
      <c r="C196" s="995" t="e">
        <f>C195/C194</f>
        <v>#DIV/0!</v>
      </c>
      <c r="D196" s="995" t="e">
        <f>D195/D194</f>
        <v>#DIV/0!</v>
      </c>
      <c r="E196" s="995" t="e">
        <f>E195/E194</f>
        <v>#DIV/0!</v>
      </c>
    </row>
    <row r="197" spans="1:5" ht="15.75" hidden="1" thickBot="1" x14ac:dyDescent="0.3">
      <c r="A197" s="436" t="s">
        <v>22</v>
      </c>
      <c r="B197" s="994"/>
      <c r="C197" s="992" t="e">
        <f t="shared" ref="C197:E199" si="7">C194/B194-1</f>
        <v>#DIV/0!</v>
      </c>
      <c r="D197" s="992" t="e">
        <f t="shared" si="7"/>
        <v>#DIV/0!</v>
      </c>
      <c r="E197" s="992" t="e">
        <f t="shared" si="7"/>
        <v>#DIV/0!</v>
      </c>
    </row>
    <row r="198" spans="1:5" ht="15.75" hidden="1" thickBot="1" x14ac:dyDescent="0.3">
      <c r="A198" s="436" t="s">
        <v>24</v>
      </c>
      <c r="B198" s="994"/>
      <c r="C198" s="992" t="e">
        <f t="shared" si="7"/>
        <v>#DIV/0!</v>
      </c>
      <c r="D198" s="992" t="e">
        <f t="shared" si="7"/>
        <v>#DIV/0!</v>
      </c>
      <c r="E198" s="992" t="e">
        <f t="shared" si="7"/>
        <v>#DIV/0!</v>
      </c>
    </row>
    <row r="199" spans="1:5" ht="23.25" hidden="1" thickBot="1" x14ac:dyDescent="0.3">
      <c r="A199" s="436" t="s">
        <v>25</v>
      </c>
      <c r="B199" s="994"/>
      <c r="C199" s="992" t="e">
        <f t="shared" si="7"/>
        <v>#DIV/0!</v>
      </c>
      <c r="D199" s="992" t="e">
        <f t="shared" si="7"/>
        <v>#DIV/0!</v>
      </c>
      <c r="E199" s="992" t="e">
        <f t="shared" si="7"/>
        <v>#DIV/0!</v>
      </c>
    </row>
    <row r="200" spans="1:5" ht="9.75" hidden="1" customHeight="1" thickBot="1" x14ac:dyDescent="0.3">
      <c r="A200" s="2160"/>
      <c r="B200" s="997">
        <v>2018</v>
      </c>
      <c r="C200" s="997">
        <v>2019</v>
      </c>
      <c r="D200" s="997">
        <v>2020</v>
      </c>
      <c r="E200" s="997">
        <v>2021</v>
      </c>
    </row>
    <row r="201" spans="1:5" ht="15.75" hidden="1" thickBot="1" x14ac:dyDescent="0.3">
      <c r="A201" s="2161"/>
      <c r="B201" s="996" t="s">
        <v>10</v>
      </c>
      <c r="C201" s="996" t="s">
        <v>11</v>
      </c>
      <c r="D201" s="996" t="s">
        <v>11</v>
      </c>
      <c r="E201" s="996" t="s">
        <v>11</v>
      </c>
    </row>
    <row r="202" spans="1:5" ht="15.75" hidden="1" thickBot="1" x14ac:dyDescent="0.3">
      <c r="A202" s="2162" t="s">
        <v>636</v>
      </c>
      <c r="B202" s="2163"/>
      <c r="C202" s="2163"/>
      <c r="D202" s="2163"/>
      <c r="E202" s="2164"/>
    </row>
    <row r="203" spans="1:5" ht="12.75" hidden="1" customHeight="1" x14ac:dyDescent="0.25">
      <c r="A203" s="2160"/>
      <c r="B203" s="997">
        <v>2018</v>
      </c>
      <c r="C203" s="997">
        <v>2019</v>
      </c>
      <c r="D203" s="997">
        <v>2020</v>
      </c>
      <c r="E203" s="997">
        <v>2021</v>
      </c>
    </row>
    <row r="204" spans="1:5" ht="9" hidden="1" customHeight="1" thickBot="1" x14ac:dyDescent="0.3">
      <c r="A204" s="2161"/>
      <c r="B204" s="996" t="s">
        <v>10</v>
      </c>
      <c r="C204" s="996" t="s">
        <v>11</v>
      </c>
      <c r="D204" s="996" t="s">
        <v>11</v>
      </c>
      <c r="E204" s="996" t="s">
        <v>11</v>
      </c>
    </row>
    <row r="205" spans="1:5" ht="15.75" hidden="1" thickBot="1" x14ac:dyDescent="0.3">
      <c r="A205" s="1002" t="s">
        <v>26</v>
      </c>
      <c r="B205" s="1001"/>
      <c r="C205" s="1001"/>
      <c r="D205" s="1001"/>
      <c r="E205" s="1001"/>
    </row>
    <row r="206" spans="1:5" ht="24.75" hidden="1" thickBot="1" x14ac:dyDescent="0.3">
      <c r="A206" s="1002" t="s">
        <v>28</v>
      </c>
      <c r="B206" s="1001"/>
      <c r="C206" s="1001"/>
      <c r="D206" s="1001"/>
      <c r="E206" s="1001"/>
    </row>
    <row r="207" spans="1:5" ht="15.75" hidden="1" thickBot="1" x14ac:dyDescent="0.3">
      <c r="A207" s="1002" t="s">
        <v>30</v>
      </c>
      <c r="B207" s="999"/>
      <c r="C207" s="990"/>
      <c r="D207" s="1001"/>
      <c r="E207" s="1001"/>
    </row>
    <row r="208" spans="1:5" ht="15.75" hidden="1" thickBot="1" x14ac:dyDescent="0.3">
      <c r="A208" s="1002" t="s">
        <v>32</v>
      </c>
      <c r="B208" s="999"/>
      <c r="C208" s="990"/>
      <c r="D208" s="1001"/>
      <c r="E208" s="1001"/>
    </row>
    <row r="209" spans="1:5" ht="15.75" hidden="1" thickBot="1" x14ac:dyDescent="0.3">
      <c r="A209" s="1002" t="s">
        <v>34</v>
      </c>
      <c r="B209" s="999"/>
      <c r="C209" s="990"/>
      <c r="D209" s="1001"/>
      <c r="E209" s="1001"/>
    </row>
    <row r="210" spans="1:5" ht="15.75" hidden="1" thickBot="1" x14ac:dyDescent="0.3">
      <c r="A210" s="1002" t="s">
        <v>36</v>
      </c>
      <c r="B210" s="999"/>
      <c r="C210" s="990"/>
      <c r="D210" s="1001"/>
      <c r="E210" s="1001"/>
    </row>
    <row r="211" spans="1:5" ht="24.75" hidden="1" thickBot="1" x14ac:dyDescent="0.3">
      <c r="A211" s="1002" t="s">
        <v>38</v>
      </c>
      <c r="B211" s="999"/>
      <c r="C211" s="990"/>
      <c r="D211" s="1001"/>
      <c r="E211" s="1001"/>
    </row>
    <row r="212" spans="1:5" ht="24.75" hidden="1" thickBot="1" x14ac:dyDescent="0.3">
      <c r="A212" s="1006" t="s">
        <v>71</v>
      </c>
      <c r="B212" s="1003">
        <f>B211+B210+B209+B208+B207+B206+B205</f>
        <v>0</v>
      </c>
      <c r="C212" s="1004">
        <f>C211+C210+C209+C208+C207+C206+C205</f>
        <v>0</v>
      </c>
      <c r="D212" s="1003">
        <f>D211+D210+D209+D208+D207+D206+D205</f>
        <v>0</v>
      </c>
      <c r="E212" s="1003">
        <f>E211+E210+E209+E208+E207+E206+E205</f>
        <v>0</v>
      </c>
    </row>
    <row r="213" spans="1:5" ht="15.75" hidden="1" thickBot="1" x14ac:dyDescent="0.3">
      <c r="A213" s="1005" t="s">
        <v>41</v>
      </c>
      <c r="B213" s="1003">
        <f>IF(B212-B195=0,0,"Error")</f>
        <v>0</v>
      </c>
      <c r="C213" s="1004">
        <f>IF(C212-C195=0,0,"Error")</f>
        <v>0</v>
      </c>
      <c r="D213" s="1003">
        <f>IF(D212-D195=0,0,"Error")</f>
        <v>0</v>
      </c>
      <c r="E213" s="1003">
        <f>IF(E212-E195=0,0,"Error")</f>
        <v>0</v>
      </c>
    </row>
    <row r="214" spans="1:5" ht="23.25" hidden="1" thickBot="1" x14ac:dyDescent="0.3">
      <c r="A214" s="1007" t="s">
        <v>637</v>
      </c>
      <c r="B214" s="2157" t="s">
        <v>106</v>
      </c>
      <c r="C214" s="2158"/>
      <c r="D214" s="2158"/>
      <c r="E214" s="2159"/>
    </row>
    <row r="215" spans="1:5" ht="15.75" hidden="1" thickBot="1" x14ac:dyDescent="0.3">
      <c r="A215" s="436" t="s">
        <v>17</v>
      </c>
      <c r="B215" s="2157" t="s">
        <v>106</v>
      </c>
      <c r="C215" s="2158"/>
      <c r="D215" s="2158"/>
      <c r="E215" s="2159"/>
    </row>
    <row r="216" spans="1:5" ht="15.75" hidden="1" thickBot="1" x14ac:dyDescent="0.3">
      <c r="A216" s="436" t="s">
        <v>18</v>
      </c>
      <c r="B216" s="2157" t="s">
        <v>106</v>
      </c>
      <c r="C216" s="2158"/>
      <c r="D216" s="2158"/>
      <c r="E216" s="2159"/>
    </row>
    <row r="217" spans="1:5" ht="12.75" hidden="1" customHeight="1" x14ac:dyDescent="0.25">
      <c r="A217" s="2160"/>
      <c r="B217" s="997">
        <v>2018</v>
      </c>
      <c r="C217" s="8">
        <v>2019</v>
      </c>
      <c r="D217" s="997">
        <v>2020</v>
      </c>
      <c r="E217" s="997">
        <v>2021</v>
      </c>
    </row>
    <row r="218" spans="1:5" ht="11.25" hidden="1" customHeight="1" thickBot="1" x14ac:dyDescent="0.3">
      <c r="A218" s="2161"/>
      <c r="B218" s="996" t="s">
        <v>10</v>
      </c>
      <c r="C218" s="9" t="s">
        <v>11</v>
      </c>
      <c r="D218" s="996" t="s">
        <v>11</v>
      </c>
      <c r="E218" s="996" t="s">
        <v>11</v>
      </c>
    </row>
    <row r="219" spans="1:5" ht="15.75" hidden="1" thickBot="1" x14ac:dyDescent="0.3">
      <c r="A219" s="436" t="s">
        <v>19</v>
      </c>
      <c r="B219" s="995"/>
      <c r="C219" s="10"/>
      <c r="D219" s="995"/>
      <c r="E219" s="995"/>
    </row>
    <row r="220" spans="1:5" ht="12.75" hidden="1" customHeight="1" thickBot="1" x14ac:dyDescent="0.3">
      <c r="A220" s="436" t="s">
        <v>20</v>
      </c>
      <c r="B220" s="995"/>
      <c r="C220" s="10"/>
      <c r="D220" s="995"/>
      <c r="E220" s="995"/>
    </row>
    <row r="221" spans="1:5" ht="9" hidden="1" customHeight="1" thickBot="1" x14ac:dyDescent="0.3">
      <c r="A221" s="436" t="s">
        <v>21</v>
      </c>
      <c r="B221" s="995" t="e">
        <f>B220/B219</f>
        <v>#DIV/0!</v>
      </c>
      <c r="C221" s="10" t="e">
        <f>C220/C219</f>
        <v>#DIV/0!</v>
      </c>
      <c r="D221" s="995" t="e">
        <f>D220/D219</f>
        <v>#DIV/0!</v>
      </c>
      <c r="E221" s="995" t="e">
        <f>E220/E219</f>
        <v>#DIV/0!</v>
      </c>
    </row>
    <row r="222" spans="1:5" ht="15.75" hidden="1" thickBot="1" x14ac:dyDescent="0.3">
      <c r="A222" s="436" t="s">
        <v>22</v>
      </c>
      <c r="B222" s="994"/>
      <c r="C222" s="993" t="e">
        <f t="shared" ref="C222:E224" si="8">C219/B219-1</f>
        <v>#DIV/0!</v>
      </c>
      <c r="D222" s="992" t="e">
        <f t="shared" si="8"/>
        <v>#DIV/0!</v>
      </c>
      <c r="E222" s="992" t="e">
        <f t="shared" si="8"/>
        <v>#DIV/0!</v>
      </c>
    </row>
    <row r="223" spans="1:5" ht="15.75" hidden="1" thickBot="1" x14ac:dyDescent="0.3">
      <c r="A223" s="436" t="s">
        <v>24</v>
      </c>
      <c r="B223" s="994"/>
      <c r="C223" s="993" t="e">
        <f t="shared" si="8"/>
        <v>#DIV/0!</v>
      </c>
      <c r="D223" s="992" t="e">
        <f t="shared" si="8"/>
        <v>#DIV/0!</v>
      </c>
      <c r="E223" s="992" t="e">
        <f t="shared" si="8"/>
        <v>#DIV/0!</v>
      </c>
    </row>
    <row r="224" spans="1:5" ht="23.25" hidden="1" thickBot="1" x14ac:dyDescent="0.3">
      <c r="A224" s="436" t="s">
        <v>25</v>
      </c>
      <c r="B224" s="994"/>
      <c r="C224" s="993" t="e">
        <f t="shared" si="8"/>
        <v>#DIV/0!</v>
      </c>
      <c r="D224" s="992" t="e">
        <f t="shared" si="8"/>
        <v>#DIV/0!</v>
      </c>
      <c r="E224" s="992" t="e">
        <f t="shared" si="8"/>
        <v>#DIV/0!</v>
      </c>
    </row>
    <row r="225" spans="1:9" ht="15.75" hidden="1" thickBot="1" x14ac:dyDescent="0.3">
      <c r="A225" s="2162" t="s">
        <v>635</v>
      </c>
      <c r="B225" s="2163"/>
      <c r="C225" s="2163"/>
      <c r="D225" s="2163"/>
      <c r="E225" s="2164"/>
      <c r="F225" s="12"/>
      <c r="G225" s="12"/>
      <c r="H225" s="12"/>
      <c r="I225" s="12"/>
    </row>
    <row r="226" spans="1:9" ht="12.75" hidden="1" customHeight="1" x14ac:dyDescent="0.25">
      <c r="A226" s="2160"/>
      <c r="B226" s="997">
        <v>2018</v>
      </c>
      <c r="C226" s="8">
        <v>2019</v>
      </c>
      <c r="D226" s="997">
        <v>2020</v>
      </c>
      <c r="E226" s="997">
        <v>2021</v>
      </c>
    </row>
    <row r="227" spans="1:9" ht="12.75" hidden="1" customHeight="1" thickBot="1" x14ac:dyDescent="0.3">
      <c r="A227" s="2161"/>
      <c r="B227" s="996" t="s">
        <v>10</v>
      </c>
      <c r="C227" s="9" t="s">
        <v>11</v>
      </c>
      <c r="D227" s="996" t="s">
        <v>11</v>
      </c>
      <c r="E227" s="996" t="s">
        <v>11</v>
      </c>
    </row>
    <row r="228" spans="1:9" ht="15.75" hidden="1" thickBot="1" x14ac:dyDescent="0.3">
      <c r="A228" s="1002" t="s">
        <v>26</v>
      </c>
      <c r="B228" s="1001"/>
      <c r="C228" s="990"/>
      <c r="D228" s="1001"/>
      <c r="E228" s="1001"/>
    </row>
    <row r="229" spans="1:9" ht="12.75" hidden="1" customHeight="1" thickBot="1" x14ac:dyDescent="0.3">
      <c r="A229" s="1002" t="s">
        <v>28</v>
      </c>
      <c r="B229" s="1001"/>
      <c r="C229" s="990"/>
      <c r="D229" s="1001"/>
      <c r="E229" s="1001"/>
    </row>
    <row r="230" spans="1:9" ht="12" hidden="1" customHeight="1" thickBot="1" x14ac:dyDescent="0.3">
      <c r="A230" s="1002" t="s">
        <v>30</v>
      </c>
      <c r="B230" s="999"/>
      <c r="C230" s="990"/>
      <c r="D230" s="1001"/>
      <c r="E230" s="1001"/>
    </row>
    <row r="231" spans="1:9" ht="15.75" hidden="1" thickBot="1" x14ac:dyDescent="0.3">
      <c r="A231" s="1002" t="s">
        <v>32</v>
      </c>
      <c r="B231" s="999"/>
      <c r="C231" s="990"/>
      <c r="D231" s="1001"/>
      <c r="E231" s="1001"/>
    </row>
    <row r="232" spans="1:9" ht="15.75" hidden="1" thickBot="1" x14ac:dyDescent="0.3">
      <c r="A232" s="1002" t="s">
        <v>34</v>
      </c>
      <c r="B232" s="999"/>
      <c r="C232" s="990"/>
      <c r="D232" s="1001"/>
      <c r="E232" s="1001"/>
    </row>
    <row r="233" spans="1:9" ht="15.75" hidden="1" thickBot="1" x14ac:dyDescent="0.3">
      <c r="A233" s="1002" t="s">
        <v>36</v>
      </c>
      <c r="B233" s="999"/>
      <c r="C233" s="990"/>
      <c r="D233" s="1001"/>
      <c r="E233" s="1001"/>
    </row>
    <row r="234" spans="1:9" ht="24.75" hidden="1" thickBot="1" x14ac:dyDescent="0.3">
      <c r="A234" s="1002" t="s">
        <v>38</v>
      </c>
      <c r="B234" s="999"/>
      <c r="C234" s="990"/>
      <c r="D234" s="1001"/>
      <c r="E234" s="1001"/>
    </row>
    <row r="235" spans="1:9" ht="24.75" hidden="1" thickBot="1" x14ac:dyDescent="0.3">
      <c r="A235" s="1006" t="s">
        <v>71</v>
      </c>
      <c r="B235" s="1003">
        <f>B234+B232+B233+B231+B230+B229+B228</f>
        <v>0</v>
      </c>
      <c r="C235" s="1004">
        <f>C234+C232+C233+C231+C230+C229+C228</f>
        <v>0</v>
      </c>
      <c r="D235" s="1003">
        <f>D234+D232+D233+D231+D230+D229+D228</f>
        <v>0</v>
      </c>
      <c r="E235" s="1003">
        <f>E234+E232+E233+E231+E230+E229+E228</f>
        <v>0</v>
      </c>
    </row>
    <row r="236" spans="1:9" ht="17.25" hidden="1" customHeight="1" thickBot="1" x14ac:dyDescent="0.3">
      <c r="A236" s="1005" t="s">
        <v>41</v>
      </c>
      <c r="B236" s="1003">
        <f>IF(B235-B220=0,0,"Error")</f>
        <v>0</v>
      </c>
      <c r="C236" s="1004">
        <f>IF(C235-C220=0,0,"Error")</f>
        <v>0</v>
      </c>
      <c r="D236" s="1003">
        <f>IF(D235-D220=0,0,"Error")</f>
        <v>0</v>
      </c>
      <c r="E236" s="1003">
        <f>IF(E235-E220=0,0,"Error")</f>
        <v>0</v>
      </c>
    </row>
    <row r="237" spans="1:9" ht="15.75" hidden="1" thickBot="1" x14ac:dyDescent="0.3">
      <c r="A237" s="2151" t="s">
        <v>63</v>
      </c>
      <c r="B237" s="2152"/>
      <c r="C237" s="2152"/>
      <c r="D237" s="2152"/>
      <c r="E237" s="2153"/>
    </row>
    <row r="238" spans="1:9" ht="12.75" hidden="1" customHeight="1" thickBot="1" x14ac:dyDescent="0.3">
      <c r="A238" s="2151" t="s">
        <v>56</v>
      </c>
      <c r="B238" s="2152"/>
      <c r="C238" s="2152"/>
      <c r="D238" s="2152"/>
      <c r="E238" s="2153"/>
    </row>
    <row r="239" spans="1:9" ht="11.25" hidden="1" customHeight="1" thickBot="1" x14ac:dyDescent="0.3">
      <c r="A239" s="436" t="s">
        <v>61</v>
      </c>
      <c r="B239" s="2154" t="s">
        <v>124</v>
      </c>
      <c r="C239" s="2155"/>
      <c r="D239" s="2155"/>
      <c r="E239" s="2156"/>
    </row>
    <row r="240" spans="1:9" ht="15.75" hidden="1" thickBot="1" x14ac:dyDescent="0.3">
      <c r="A240" s="998" t="s">
        <v>16</v>
      </c>
      <c r="B240" s="2157" t="s">
        <v>106</v>
      </c>
      <c r="C240" s="2158"/>
      <c r="D240" s="2158"/>
      <c r="E240" s="2159"/>
    </row>
    <row r="241" spans="1:9" ht="15.75" hidden="1" thickBot="1" x14ac:dyDescent="0.3">
      <c r="A241" s="436" t="s">
        <v>17</v>
      </c>
      <c r="B241" s="2157" t="s">
        <v>106</v>
      </c>
      <c r="C241" s="2158"/>
      <c r="D241" s="2158"/>
      <c r="E241" s="2159"/>
    </row>
    <row r="242" spans="1:9" ht="15.75" hidden="1" thickBot="1" x14ac:dyDescent="0.3">
      <c r="A242" s="436" t="s">
        <v>18</v>
      </c>
      <c r="B242" s="2157" t="s">
        <v>106</v>
      </c>
      <c r="C242" s="2158"/>
      <c r="D242" s="2158"/>
      <c r="E242" s="2159"/>
    </row>
    <row r="243" spans="1:9" ht="10.5" hidden="1" customHeight="1" x14ac:dyDescent="0.25">
      <c r="A243" s="2160"/>
      <c r="B243" s="997">
        <v>2018</v>
      </c>
      <c r="C243" s="8">
        <v>2019</v>
      </c>
      <c r="D243" s="997">
        <v>2020</v>
      </c>
      <c r="E243" s="997">
        <v>2021</v>
      </c>
      <c r="F243" s="12"/>
      <c r="G243" s="12"/>
      <c r="H243" s="12"/>
      <c r="I243" s="12"/>
    </row>
    <row r="244" spans="1:9" ht="11.25" hidden="1" customHeight="1" thickBot="1" x14ac:dyDescent="0.3">
      <c r="A244" s="2161"/>
      <c r="B244" s="996" t="s">
        <v>10</v>
      </c>
      <c r="C244" s="9" t="s">
        <v>11</v>
      </c>
      <c r="D244" s="996" t="s">
        <v>11</v>
      </c>
      <c r="E244" s="996" t="s">
        <v>11</v>
      </c>
    </row>
    <row r="245" spans="1:9" ht="15.75" hidden="1" thickBot="1" x14ac:dyDescent="0.3">
      <c r="A245" s="436" t="s">
        <v>19</v>
      </c>
      <c r="B245" s="995"/>
      <c r="C245" s="10"/>
      <c r="D245" s="995"/>
      <c r="E245" s="995"/>
    </row>
    <row r="246" spans="1:9" ht="15.75" hidden="1" thickBot="1" x14ac:dyDescent="0.3">
      <c r="A246" s="436" t="s">
        <v>20</v>
      </c>
      <c r="B246" s="995"/>
      <c r="C246" s="10"/>
      <c r="D246" s="995"/>
      <c r="E246" s="995"/>
    </row>
    <row r="247" spans="1:9" ht="12.75" hidden="1" customHeight="1" thickBot="1" x14ac:dyDescent="0.3">
      <c r="A247" s="436" t="s">
        <v>21</v>
      </c>
      <c r="B247" s="995" t="e">
        <f>B246/B245</f>
        <v>#DIV/0!</v>
      </c>
      <c r="C247" s="10" t="e">
        <f>C246/C245</f>
        <v>#DIV/0!</v>
      </c>
      <c r="D247" s="995" t="e">
        <f>D246/D245</f>
        <v>#DIV/0!</v>
      </c>
      <c r="E247" s="995" t="e">
        <f>E246/E245</f>
        <v>#DIV/0!</v>
      </c>
    </row>
    <row r="248" spans="1:9" ht="9" hidden="1" customHeight="1" thickBot="1" x14ac:dyDescent="0.3">
      <c r="A248" s="436" t="s">
        <v>22</v>
      </c>
      <c r="B248" s="994" t="s">
        <v>23</v>
      </c>
      <c r="C248" s="993" t="e">
        <f t="shared" ref="C248:E250" si="9">C245/B245-1</f>
        <v>#DIV/0!</v>
      </c>
      <c r="D248" s="992" t="e">
        <f t="shared" si="9"/>
        <v>#DIV/0!</v>
      </c>
      <c r="E248" s="992" t="e">
        <f t="shared" si="9"/>
        <v>#DIV/0!</v>
      </c>
    </row>
    <row r="249" spans="1:9" ht="15.75" hidden="1" thickBot="1" x14ac:dyDescent="0.3">
      <c r="A249" s="436" t="s">
        <v>24</v>
      </c>
      <c r="B249" s="994" t="s">
        <v>23</v>
      </c>
      <c r="C249" s="993" t="e">
        <f t="shared" si="9"/>
        <v>#DIV/0!</v>
      </c>
      <c r="D249" s="992" t="e">
        <f t="shared" si="9"/>
        <v>#DIV/0!</v>
      </c>
      <c r="E249" s="992" t="e">
        <f t="shared" si="9"/>
        <v>#DIV/0!</v>
      </c>
    </row>
    <row r="250" spans="1:9" ht="23.25" hidden="1" thickBot="1" x14ac:dyDescent="0.3">
      <c r="A250" s="436" t="s">
        <v>25</v>
      </c>
      <c r="B250" s="994" t="s">
        <v>23</v>
      </c>
      <c r="C250" s="993" t="e">
        <f t="shared" si="9"/>
        <v>#DIV/0!</v>
      </c>
      <c r="D250" s="992" t="e">
        <f t="shared" si="9"/>
        <v>#DIV/0!</v>
      </c>
      <c r="E250" s="992" t="e">
        <f t="shared" si="9"/>
        <v>#DIV/0!</v>
      </c>
    </row>
    <row r="251" spans="1:9" ht="16.5" hidden="1" customHeight="1" thickBot="1" x14ac:dyDescent="0.3">
      <c r="A251" s="2162" t="s">
        <v>633</v>
      </c>
      <c r="B251" s="2163"/>
      <c r="C251" s="2163"/>
      <c r="D251" s="2163"/>
      <c r="E251" s="2164"/>
    </row>
    <row r="252" spans="1:9" ht="9" hidden="1" customHeight="1" x14ac:dyDescent="0.25">
      <c r="A252" s="2160"/>
      <c r="B252" s="997">
        <v>2018</v>
      </c>
      <c r="C252" s="8">
        <v>2019</v>
      </c>
      <c r="D252" s="997">
        <v>2020</v>
      </c>
      <c r="E252" s="997">
        <v>2021</v>
      </c>
    </row>
    <row r="253" spans="1:9" ht="12.75" hidden="1" customHeight="1" thickBot="1" x14ac:dyDescent="0.3">
      <c r="A253" s="2161"/>
      <c r="B253" s="996" t="s">
        <v>10</v>
      </c>
      <c r="C253" s="9" t="s">
        <v>11</v>
      </c>
      <c r="D253" s="996" t="s">
        <v>11</v>
      </c>
      <c r="E253" s="996" t="s">
        <v>11</v>
      </c>
    </row>
    <row r="254" spans="1:9" ht="15.75" hidden="1" thickBot="1" x14ac:dyDescent="0.3">
      <c r="A254" s="1002" t="s">
        <v>58</v>
      </c>
      <c r="B254" s="1001"/>
      <c r="C254" s="990"/>
      <c r="D254" s="1001"/>
      <c r="E254" s="1001"/>
    </row>
    <row r="255" spans="1:9" ht="15.75" hidden="1" thickBot="1" x14ac:dyDescent="0.3">
      <c r="A255" s="1002" t="s">
        <v>59</v>
      </c>
      <c r="B255" s="999"/>
      <c r="C255" s="990">
        <v>0</v>
      </c>
      <c r="D255" s="1001">
        <v>0</v>
      </c>
      <c r="E255" s="1001">
        <v>0</v>
      </c>
    </row>
    <row r="256" spans="1:9" ht="17.25" hidden="1" customHeight="1" thickBot="1" x14ac:dyDescent="0.3">
      <c r="A256" s="1000" t="s">
        <v>40</v>
      </c>
      <c r="B256" s="1003">
        <f>B255+B254</f>
        <v>0</v>
      </c>
      <c r="C256" s="1004">
        <f>C255+C254</f>
        <v>0</v>
      </c>
      <c r="D256" s="1003">
        <f>D255+D254</f>
        <v>0</v>
      </c>
      <c r="E256" s="1003">
        <f>E255+E254</f>
        <v>0</v>
      </c>
    </row>
    <row r="257" spans="1:9" ht="15.75" hidden="1" thickBot="1" x14ac:dyDescent="0.3">
      <c r="A257" s="436" t="s">
        <v>61</v>
      </c>
      <c r="B257" s="2154" t="s">
        <v>124</v>
      </c>
      <c r="C257" s="2155"/>
      <c r="D257" s="2155"/>
      <c r="E257" s="2156"/>
    </row>
    <row r="258" spans="1:9" ht="12.75" hidden="1" customHeight="1" thickBot="1" x14ac:dyDescent="0.3">
      <c r="A258" s="998" t="s">
        <v>123</v>
      </c>
      <c r="B258" s="2157" t="s">
        <v>106</v>
      </c>
      <c r="C258" s="2158"/>
      <c r="D258" s="2158"/>
      <c r="E258" s="2159"/>
    </row>
    <row r="259" spans="1:9" ht="13.5" hidden="1" customHeight="1" thickBot="1" x14ac:dyDescent="0.3">
      <c r="A259" s="436" t="s">
        <v>17</v>
      </c>
      <c r="B259" s="2157" t="s">
        <v>106</v>
      </c>
      <c r="C259" s="2158"/>
      <c r="D259" s="2158"/>
      <c r="E259" s="2159"/>
    </row>
    <row r="260" spans="1:9" ht="15.75" hidden="1" thickBot="1" x14ac:dyDescent="0.3">
      <c r="A260" s="436" t="s">
        <v>18</v>
      </c>
      <c r="B260" s="2157" t="s">
        <v>106</v>
      </c>
      <c r="C260" s="2158"/>
      <c r="D260" s="2158"/>
      <c r="E260" s="2159"/>
    </row>
    <row r="261" spans="1:9" ht="11.25" hidden="1" customHeight="1" x14ac:dyDescent="0.25">
      <c r="A261" s="2160"/>
      <c r="B261" s="997">
        <v>2018</v>
      </c>
      <c r="C261" s="8">
        <v>2019</v>
      </c>
      <c r="D261" s="997">
        <v>2020</v>
      </c>
      <c r="E261" s="997">
        <v>2021</v>
      </c>
    </row>
    <row r="262" spans="1:9" ht="12.75" hidden="1" customHeight="1" thickBot="1" x14ac:dyDescent="0.3">
      <c r="A262" s="2161"/>
      <c r="B262" s="996" t="s">
        <v>10</v>
      </c>
      <c r="C262" s="9" t="s">
        <v>11</v>
      </c>
      <c r="D262" s="996" t="s">
        <v>11</v>
      </c>
      <c r="E262" s="996" t="s">
        <v>11</v>
      </c>
    </row>
    <row r="263" spans="1:9" ht="15.75" hidden="1" thickBot="1" x14ac:dyDescent="0.3">
      <c r="A263" s="436" t="s">
        <v>19</v>
      </c>
      <c r="B263" s="995"/>
      <c r="C263" s="10"/>
      <c r="D263" s="995"/>
      <c r="E263" s="995"/>
      <c r="F263" s="12"/>
      <c r="G263" s="12"/>
      <c r="H263" s="12"/>
      <c r="I263" s="12"/>
    </row>
    <row r="264" spans="1:9" ht="15.75" hidden="1" thickBot="1" x14ac:dyDescent="0.3">
      <c r="A264" s="436" t="s">
        <v>20</v>
      </c>
      <c r="B264" s="995"/>
      <c r="C264" s="10"/>
      <c r="D264" s="995"/>
      <c r="E264" s="995"/>
    </row>
    <row r="265" spans="1:9" ht="15.75" hidden="1" thickBot="1" x14ac:dyDescent="0.3">
      <c r="A265" s="436" t="s">
        <v>21</v>
      </c>
      <c r="B265" s="995" t="e">
        <f>B264/B263</f>
        <v>#DIV/0!</v>
      </c>
      <c r="C265" s="10" t="e">
        <f>C264/C263</f>
        <v>#DIV/0!</v>
      </c>
      <c r="D265" s="995" t="e">
        <f>D264/D263</f>
        <v>#DIV/0!</v>
      </c>
      <c r="E265" s="995" t="e">
        <f>E264/E263</f>
        <v>#DIV/0!</v>
      </c>
    </row>
    <row r="266" spans="1:9" ht="15.75" hidden="1" thickBot="1" x14ac:dyDescent="0.3">
      <c r="A266" s="436" t="s">
        <v>22</v>
      </c>
      <c r="B266" s="994" t="s">
        <v>23</v>
      </c>
      <c r="C266" s="993" t="e">
        <f t="shared" ref="C266:E268" si="10">C263/B263-1</f>
        <v>#DIV/0!</v>
      </c>
      <c r="D266" s="992" t="e">
        <f t="shared" si="10"/>
        <v>#DIV/0!</v>
      </c>
      <c r="E266" s="992" t="e">
        <f t="shared" si="10"/>
        <v>#DIV/0!</v>
      </c>
    </row>
    <row r="267" spans="1:9" ht="12.75" hidden="1" customHeight="1" thickBot="1" x14ac:dyDescent="0.3">
      <c r="A267" s="436" t="s">
        <v>24</v>
      </c>
      <c r="B267" s="994" t="s">
        <v>23</v>
      </c>
      <c r="C267" s="993" t="e">
        <f t="shared" si="10"/>
        <v>#DIV/0!</v>
      </c>
      <c r="D267" s="992" t="e">
        <f t="shared" si="10"/>
        <v>#DIV/0!</v>
      </c>
      <c r="E267" s="992" t="e">
        <f t="shared" si="10"/>
        <v>#DIV/0!</v>
      </c>
    </row>
    <row r="268" spans="1:9" ht="9" hidden="1" customHeight="1" thickBot="1" x14ac:dyDescent="0.3">
      <c r="A268" s="436" t="s">
        <v>25</v>
      </c>
      <c r="B268" s="994" t="s">
        <v>23</v>
      </c>
      <c r="C268" s="993" t="e">
        <f t="shared" si="10"/>
        <v>#DIV/0!</v>
      </c>
      <c r="D268" s="992" t="e">
        <f t="shared" si="10"/>
        <v>#DIV/0!</v>
      </c>
      <c r="E268" s="992" t="e">
        <f t="shared" si="10"/>
        <v>#DIV/0!</v>
      </c>
    </row>
    <row r="269" spans="1:9" ht="15.75" hidden="1" thickBot="1" x14ac:dyDescent="0.3">
      <c r="A269" s="2162" t="s">
        <v>635</v>
      </c>
      <c r="B269" s="2163"/>
      <c r="C269" s="2163"/>
      <c r="D269" s="2163"/>
      <c r="E269" s="2164"/>
    </row>
    <row r="270" spans="1:9" ht="12.75" hidden="1" customHeight="1" x14ac:dyDescent="0.25">
      <c r="A270" s="2160"/>
      <c r="B270" s="997">
        <v>2018</v>
      </c>
      <c r="C270" s="8">
        <v>2019</v>
      </c>
      <c r="D270" s="997">
        <v>2020</v>
      </c>
      <c r="E270" s="997">
        <v>2021</v>
      </c>
    </row>
    <row r="271" spans="1:9" ht="12.75" hidden="1" customHeight="1" thickBot="1" x14ac:dyDescent="0.3">
      <c r="A271" s="2161"/>
      <c r="B271" s="996" t="s">
        <v>10</v>
      </c>
      <c r="C271" s="9" t="s">
        <v>11</v>
      </c>
      <c r="D271" s="996" t="s">
        <v>11</v>
      </c>
      <c r="E271" s="996" t="s">
        <v>11</v>
      </c>
    </row>
    <row r="272" spans="1:9" ht="15.75" hidden="1" thickBot="1" x14ac:dyDescent="0.3">
      <c r="A272" s="1002" t="s">
        <v>58</v>
      </c>
      <c r="B272" s="1001"/>
      <c r="C272" s="990"/>
      <c r="D272" s="1001"/>
      <c r="E272" s="1001"/>
    </row>
    <row r="273" spans="1:9" ht="15.75" hidden="1" thickBot="1" x14ac:dyDescent="0.3">
      <c r="A273" s="1002" t="s">
        <v>59</v>
      </c>
      <c r="B273" s="999"/>
      <c r="C273" s="990"/>
      <c r="D273" s="1001"/>
      <c r="E273" s="1001"/>
    </row>
    <row r="274" spans="1:9" ht="17.25" hidden="1" customHeight="1" thickBot="1" x14ac:dyDescent="0.3">
      <c r="A274" s="1000" t="s">
        <v>74</v>
      </c>
      <c r="B274" s="1003">
        <f>B273+B272</f>
        <v>0</v>
      </c>
      <c r="C274" s="1004">
        <f>C273+C272</f>
        <v>0</v>
      </c>
      <c r="D274" s="1003">
        <f>D273+D272</f>
        <v>0</v>
      </c>
      <c r="E274" s="1003">
        <f>E273+E272</f>
        <v>0</v>
      </c>
    </row>
    <row r="275" spans="1:9" ht="15.75" hidden="1" thickBot="1" x14ac:dyDescent="0.3">
      <c r="A275" s="2151" t="s">
        <v>63</v>
      </c>
      <c r="B275" s="2152"/>
      <c r="C275" s="2152"/>
      <c r="D275" s="2152"/>
      <c r="E275" s="2153"/>
    </row>
    <row r="276" spans="1:9" ht="12.75" hidden="1" customHeight="1" thickBot="1" x14ac:dyDescent="0.3">
      <c r="A276" s="2151" t="s">
        <v>64</v>
      </c>
      <c r="B276" s="2152"/>
      <c r="C276" s="2152"/>
      <c r="D276" s="2152"/>
      <c r="E276" s="2153"/>
    </row>
    <row r="277" spans="1:9" ht="12" hidden="1" customHeight="1" thickBot="1" x14ac:dyDescent="0.3">
      <c r="A277" s="436" t="s">
        <v>61</v>
      </c>
      <c r="B277" s="2154" t="s">
        <v>124</v>
      </c>
      <c r="C277" s="2155"/>
      <c r="D277" s="2155"/>
      <c r="E277" s="2156"/>
    </row>
    <row r="278" spans="1:9" ht="15.75" hidden="1" thickBot="1" x14ac:dyDescent="0.3">
      <c r="A278" s="998" t="s">
        <v>16</v>
      </c>
      <c r="B278" s="2157" t="s">
        <v>106</v>
      </c>
      <c r="C278" s="2158"/>
      <c r="D278" s="2158"/>
      <c r="E278" s="2159"/>
    </row>
    <row r="279" spans="1:9" ht="15.75" hidden="1" thickBot="1" x14ac:dyDescent="0.3">
      <c r="A279" s="436" t="s">
        <v>17</v>
      </c>
      <c r="B279" s="2157" t="s">
        <v>106</v>
      </c>
      <c r="C279" s="2158"/>
      <c r="D279" s="2158"/>
      <c r="E279" s="2159"/>
    </row>
    <row r="280" spans="1:9" ht="15.75" hidden="1" thickBot="1" x14ac:dyDescent="0.3">
      <c r="A280" s="436" t="s">
        <v>18</v>
      </c>
      <c r="B280" s="2157" t="s">
        <v>106</v>
      </c>
      <c r="C280" s="2158"/>
      <c r="D280" s="2158"/>
      <c r="E280" s="2159"/>
    </row>
    <row r="281" spans="1:9" ht="12" hidden="1" customHeight="1" x14ac:dyDescent="0.25">
      <c r="A281" s="2160"/>
      <c r="B281" s="997">
        <v>2018</v>
      </c>
      <c r="C281" s="8">
        <v>2019</v>
      </c>
      <c r="D281" s="997">
        <v>2020</v>
      </c>
      <c r="E281" s="997">
        <v>2021</v>
      </c>
      <c r="F281" s="12"/>
      <c r="G281" s="12"/>
      <c r="H281" s="12"/>
      <c r="I281" s="12"/>
    </row>
    <row r="282" spans="1:9" ht="12" hidden="1" customHeight="1" thickBot="1" x14ac:dyDescent="0.3">
      <c r="A282" s="2161"/>
      <c r="B282" s="996" t="s">
        <v>10</v>
      </c>
      <c r="C282" s="9" t="s">
        <v>11</v>
      </c>
      <c r="D282" s="996" t="s">
        <v>11</v>
      </c>
      <c r="E282" s="996" t="s">
        <v>11</v>
      </c>
    </row>
    <row r="283" spans="1:9" ht="15.75" hidden="1" thickBot="1" x14ac:dyDescent="0.3">
      <c r="A283" s="436" t="s">
        <v>19</v>
      </c>
      <c r="B283" s="995"/>
      <c r="C283" s="10"/>
      <c r="D283" s="995"/>
      <c r="E283" s="995"/>
    </row>
    <row r="284" spans="1:9" ht="15.75" hidden="1" thickBot="1" x14ac:dyDescent="0.3">
      <c r="A284" s="436" t="s">
        <v>20</v>
      </c>
      <c r="B284" s="995"/>
      <c r="C284" s="10"/>
      <c r="D284" s="995"/>
      <c r="E284" s="995"/>
    </row>
    <row r="285" spans="1:9" ht="12.75" hidden="1" customHeight="1" thickBot="1" x14ac:dyDescent="0.3">
      <c r="A285" s="436" t="s">
        <v>21</v>
      </c>
      <c r="B285" s="995" t="e">
        <f>B284/B283</f>
        <v>#DIV/0!</v>
      </c>
      <c r="C285" s="10" t="e">
        <f>C284/C283</f>
        <v>#DIV/0!</v>
      </c>
      <c r="D285" s="995" t="e">
        <f>D284/D283</f>
        <v>#DIV/0!</v>
      </c>
      <c r="E285" s="995" t="e">
        <f>E284/E283</f>
        <v>#DIV/0!</v>
      </c>
    </row>
    <row r="286" spans="1:9" ht="9" hidden="1" customHeight="1" thickBot="1" x14ac:dyDescent="0.3">
      <c r="A286" s="436" t="s">
        <v>22</v>
      </c>
      <c r="B286" s="994" t="s">
        <v>23</v>
      </c>
      <c r="C286" s="993" t="e">
        <f t="shared" ref="C286:E288" si="11">C283/B283-1</f>
        <v>#DIV/0!</v>
      </c>
      <c r="D286" s="992" t="e">
        <f t="shared" si="11"/>
        <v>#DIV/0!</v>
      </c>
      <c r="E286" s="992" t="e">
        <f t="shared" si="11"/>
        <v>#DIV/0!</v>
      </c>
    </row>
    <row r="287" spans="1:9" ht="15.75" hidden="1" thickBot="1" x14ac:dyDescent="0.3">
      <c r="A287" s="436" t="s">
        <v>24</v>
      </c>
      <c r="B287" s="994" t="s">
        <v>23</v>
      </c>
      <c r="C287" s="993" t="e">
        <f t="shared" si="11"/>
        <v>#DIV/0!</v>
      </c>
      <c r="D287" s="992" t="e">
        <f t="shared" si="11"/>
        <v>#DIV/0!</v>
      </c>
      <c r="E287" s="992" t="e">
        <f t="shared" si="11"/>
        <v>#DIV/0!</v>
      </c>
    </row>
    <row r="288" spans="1:9" ht="23.25" hidden="1" thickBot="1" x14ac:dyDescent="0.3">
      <c r="A288" s="436" t="s">
        <v>25</v>
      </c>
      <c r="B288" s="994" t="s">
        <v>23</v>
      </c>
      <c r="C288" s="993" t="e">
        <f t="shared" si="11"/>
        <v>#DIV/0!</v>
      </c>
      <c r="D288" s="992" t="e">
        <f t="shared" si="11"/>
        <v>#DIV/0!</v>
      </c>
      <c r="E288" s="992" t="e">
        <f t="shared" si="11"/>
        <v>#DIV/0!</v>
      </c>
    </row>
    <row r="289" spans="1:5" ht="15.75" hidden="1" thickBot="1" x14ac:dyDescent="0.3">
      <c r="A289" s="2162" t="s">
        <v>633</v>
      </c>
      <c r="B289" s="2163"/>
      <c r="C289" s="2163"/>
      <c r="D289" s="2163"/>
      <c r="E289" s="2164"/>
    </row>
    <row r="290" spans="1:5" ht="15.75" hidden="1" thickBot="1" x14ac:dyDescent="0.3">
      <c r="A290" s="2160"/>
      <c r="B290" s="997">
        <v>2018</v>
      </c>
      <c r="C290" s="8">
        <v>2019</v>
      </c>
      <c r="D290" s="997">
        <v>2020</v>
      </c>
      <c r="E290" s="997">
        <v>2021</v>
      </c>
    </row>
    <row r="291" spans="1:5" ht="15.75" hidden="1" customHeight="1" thickBot="1" x14ac:dyDescent="0.3">
      <c r="A291" s="2161"/>
      <c r="B291" s="996" t="s">
        <v>10</v>
      </c>
      <c r="C291" s="9" t="s">
        <v>11</v>
      </c>
      <c r="D291" s="996" t="s">
        <v>11</v>
      </c>
      <c r="E291" s="996" t="s">
        <v>11</v>
      </c>
    </row>
    <row r="292" spans="1:5" ht="15.75" hidden="1" thickBot="1" x14ac:dyDescent="0.3">
      <c r="A292" s="1002" t="s">
        <v>58</v>
      </c>
      <c r="B292" s="1001"/>
      <c r="C292" s="990"/>
      <c r="D292" s="1001"/>
      <c r="E292" s="1001"/>
    </row>
    <row r="293" spans="1:5" ht="15.75" hidden="1" thickBot="1" x14ac:dyDescent="0.3">
      <c r="A293" s="1002" t="s">
        <v>59</v>
      </c>
      <c r="B293" s="999"/>
      <c r="C293" s="990"/>
      <c r="D293" s="1001"/>
      <c r="E293" s="1001"/>
    </row>
    <row r="294" spans="1:5" ht="15.75" hidden="1" thickBot="1" x14ac:dyDescent="0.3">
      <c r="A294" s="1000" t="s">
        <v>40</v>
      </c>
      <c r="B294" s="999">
        <f>B293+B292</f>
        <v>0</v>
      </c>
      <c r="C294" s="988">
        <f>C293+C292</f>
        <v>0</v>
      </c>
      <c r="D294" s="999">
        <f>D293+D292</f>
        <v>0</v>
      </c>
      <c r="E294" s="999">
        <f>E293+E292</f>
        <v>0</v>
      </c>
    </row>
    <row r="295" spans="1:5" ht="15.75" hidden="1" thickBot="1" x14ac:dyDescent="0.3">
      <c r="A295" s="436" t="s">
        <v>61</v>
      </c>
      <c r="B295" s="2154" t="s">
        <v>124</v>
      </c>
      <c r="C295" s="2155"/>
      <c r="D295" s="2155"/>
      <c r="E295" s="2156"/>
    </row>
    <row r="296" spans="1:5" ht="23.25" hidden="1" thickBot="1" x14ac:dyDescent="0.3">
      <c r="A296" s="998" t="s">
        <v>123</v>
      </c>
      <c r="B296" s="2157" t="s">
        <v>106</v>
      </c>
      <c r="C296" s="2158"/>
      <c r="D296" s="2158"/>
      <c r="E296" s="2159"/>
    </row>
    <row r="297" spans="1:5" ht="15.75" hidden="1" thickBot="1" x14ac:dyDescent="0.3">
      <c r="A297" s="436" t="s">
        <v>17</v>
      </c>
      <c r="B297" s="2157" t="s">
        <v>106</v>
      </c>
      <c r="C297" s="2158"/>
      <c r="D297" s="2158"/>
      <c r="E297" s="2159"/>
    </row>
    <row r="298" spans="1:5" ht="15.75" hidden="1" thickBot="1" x14ac:dyDescent="0.3">
      <c r="A298" s="436" t="s">
        <v>18</v>
      </c>
      <c r="B298" s="2157" t="s">
        <v>106</v>
      </c>
      <c r="C298" s="2158"/>
      <c r="D298" s="2158"/>
      <c r="E298" s="2159"/>
    </row>
    <row r="299" spans="1:5" ht="12" hidden="1" customHeight="1" x14ac:dyDescent="0.25">
      <c r="A299" s="2160"/>
      <c r="B299" s="997">
        <v>2018</v>
      </c>
      <c r="C299" s="8">
        <v>2019</v>
      </c>
      <c r="D299" s="997">
        <v>2020</v>
      </c>
      <c r="E299" s="997">
        <v>2021</v>
      </c>
    </row>
    <row r="300" spans="1:5" ht="11.25" hidden="1" customHeight="1" thickBot="1" x14ac:dyDescent="0.3">
      <c r="A300" s="2161"/>
      <c r="B300" s="996" t="s">
        <v>10</v>
      </c>
      <c r="C300" s="9" t="s">
        <v>11</v>
      </c>
      <c r="D300" s="996" t="s">
        <v>11</v>
      </c>
      <c r="E300" s="996" t="s">
        <v>11</v>
      </c>
    </row>
    <row r="301" spans="1:5" ht="15.75" hidden="1" thickBot="1" x14ac:dyDescent="0.3">
      <c r="A301" s="436" t="s">
        <v>19</v>
      </c>
      <c r="B301" s="995"/>
      <c r="C301" s="10"/>
      <c r="D301" s="995"/>
      <c r="E301" s="995"/>
    </row>
    <row r="302" spans="1:5" ht="15.75" hidden="1" thickBot="1" x14ac:dyDescent="0.3">
      <c r="A302" s="436" t="s">
        <v>20</v>
      </c>
      <c r="B302" s="995"/>
      <c r="C302" s="10"/>
      <c r="D302" s="995"/>
      <c r="E302" s="995"/>
    </row>
    <row r="303" spans="1:5" ht="15.75" hidden="1" thickBot="1" x14ac:dyDescent="0.3">
      <c r="A303" s="436" t="s">
        <v>21</v>
      </c>
      <c r="B303" s="995" t="e">
        <f>B302/B301</f>
        <v>#DIV/0!</v>
      </c>
      <c r="C303" s="10" t="e">
        <f>C302/C301</f>
        <v>#DIV/0!</v>
      </c>
      <c r="D303" s="995" t="e">
        <f>D302/D301</f>
        <v>#DIV/0!</v>
      </c>
      <c r="E303" s="995" t="e">
        <f>E302/E301</f>
        <v>#DIV/0!</v>
      </c>
    </row>
    <row r="304" spans="1:5" ht="15.75" hidden="1" thickBot="1" x14ac:dyDescent="0.3">
      <c r="A304" s="436" t="s">
        <v>22</v>
      </c>
      <c r="B304" s="994" t="s">
        <v>23</v>
      </c>
      <c r="C304" s="993" t="e">
        <f t="shared" ref="C304:E306" si="12">C301/B301-1</f>
        <v>#DIV/0!</v>
      </c>
      <c r="D304" s="992" t="e">
        <f t="shared" si="12"/>
        <v>#DIV/0!</v>
      </c>
      <c r="E304" s="992" t="e">
        <f t="shared" si="12"/>
        <v>#DIV/0!</v>
      </c>
    </row>
    <row r="305" spans="1:5" ht="15.75" hidden="1" thickBot="1" x14ac:dyDescent="0.3">
      <c r="A305" s="436" t="s">
        <v>24</v>
      </c>
      <c r="B305" s="994" t="s">
        <v>23</v>
      </c>
      <c r="C305" s="993" t="e">
        <f t="shared" si="12"/>
        <v>#DIV/0!</v>
      </c>
      <c r="D305" s="992" t="e">
        <f t="shared" si="12"/>
        <v>#DIV/0!</v>
      </c>
      <c r="E305" s="992" t="e">
        <f t="shared" si="12"/>
        <v>#DIV/0!</v>
      </c>
    </row>
    <row r="306" spans="1:5" ht="23.25" hidden="1" thickBot="1" x14ac:dyDescent="0.3">
      <c r="A306" s="436" t="s">
        <v>25</v>
      </c>
      <c r="B306" s="994" t="s">
        <v>23</v>
      </c>
      <c r="C306" s="993" t="e">
        <f t="shared" si="12"/>
        <v>#DIV/0!</v>
      </c>
      <c r="D306" s="992" t="e">
        <f t="shared" si="12"/>
        <v>#DIV/0!</v>
      </c>
      <c r="E306" s="992" t="e">
        <f t="shared" si="12"/>
        <v>#DIV/0!</v>
      </c>
    </row>
    <row r="307" spans="1:5" ht="15.75" thickBot="1" x14ac:dyDescent="0.3">
      <c r="A307" s="1278" t="s">
        <v>635</v>
      </c>
      <c r="B307" s="1279"/>
      <c r="C307" s="1279"/>
      <c r="D307" s="1279"/>
      <c r="E307" s="1355"/>
    </row>
    <row r="308" spans="1:5" x14ac:dyDescent="0.25">
      <c r="A308" s="1250"/>
      <c r="B308" s="8">
        <v>2018</v>
      </c>
      <c r="C308" s="8">
        <v>2019</v>
      </c>
      <c r="D308" s="8">
        <v>2020</v>
      </c>
      <c r="E308" s="8">
        <v>2021</v>
      </c>
    </row>
    <row r="309" spans="1:5" ht="15.75" thickBot="1" x14ac:dyDescent="0.3">
      <c r="A309" s="1251"/>
      <c r="B309" s="9" t="s">
        <v>10</v>
      </c>
      <c r="C309" s="9" t="s">
        <v>11</v>
      </c>
      <c r="D309" s="9" t="s">
        <v>11</v>
      </c>
      <c r="E309" s="9" t="s">
        <v>11</v>
      </c>
    </row>
    <row r="310" spans="1:5" ht="15.75" thickBot="1" x14ac:dyDescent="0.3">
      <c r="A310" s="991" t="s">
        <v>58</v>
      </c>
      <c r="B310" s="990"/>
      <c r="C310" s="990"/>
      <c r="D310" s="990"/>
      <c r="E310" s="990"/>
    </row>
    <row r="311" spans="1:5" ht="15.75" thickBot="1" x14ac:dyDescent="0.3">
      <c r="A311" s="991" t="s">
        <v>59</v>
      </c>
      <c r="B311" s="988"/>
      <c r="C311" s="990"/>
      <c r="D311" s="990"/>
      <c r="E311" s="990"/>
    </row>
    <row r="312" spans="1:5" ht="15.75" thickBot="1" x14ac:dyDescent="0.3">
      <c r="A312" s="989" t="s">
        <v>74</v>
      </c>
      <c r="B312" s="988">
        <f>B311+B310</f>
        <v>0</v>
      </c>
      <c r="C312" s="988">
        <f>C311+C310</f>
        <v>0</v>
      </c>
      <c r="D312" s="988">
        <f>D311+D310</f>
        <v>0</v>
      </c>
      <c r="E312" s="988">
        <f>E311+E310</f>
        <v>0</v>
      </c>
    </row>
    <row r="313" spans="1:5" ht="15.75" thickBot="1" x14ac:dyDescent="0.3">
      <c r="A313" s="315"/>
      <c r="B313" s="238"/>
      <c r="C313" s="238"/>
      <c r="D313" s="238"/>
      <c r="E313" s="238"/>
    </row>
    <row r="314" spans="1:5" ht="36.75" thickBot="1" x14ac:dyDescent="0.3">
      <c r="A314" s="987" t="s">
        <v>82</v>
      </c>
      <c r="B314" s="238">
        <f>B302+B284+B264+B246+B220+B195+B169+B151+B131+B110+B61+B38</f>
        <v>128400</v>
      </c>
      <c r="C314" s="238">
        <f>C302+C284+C264+C246+C220+C195+C169+C151+C131+C110+C61+C38+C99</f>
        <v>129400</v>
      </c>
      <c r="D314" s="238">
        <f>D302+D284+D264+D246+D220+D195+D169+D151+D131+D110+D61+D38+D99</f>
        <v>129400</v>
      </c>
      <c r="E314" s="238">
        <f>E302+E284+E264+E246+E220+E195+E169+E151+E131+E110+E61+E38+E99</f>
        <v>129400</v>
      </c>
    </row>
    <row r="315" spans="1:5" ht="36.75" thickBot="1" x14ac:dyDescent="0.3">
      <c r="A315" s="987" t="s">
        <v>83</v>
      </c>
      <c r="B315" s="238">
        <f>B317+B319+B321+B323+B325+B327+B329+B331+B333</f>
        <v>128400</v>
      </c>
      <c r="C315" s="238">
        <f>C317+C319+C321+C323+C325+C327+C329+C331+C333+C98</f>
        <v>129400</v>
      </c>
      <c r="D315" s="238">
        <f>D317+D319+D321+D323+D325+D327+D329+D331+D333</f>
        <v>129400</v>
      </c>
      <c r="E315" s="238">
        <f>E317+E319+E321+E323+E325+E327+E329+E331+E333</f>
        <v>129400</v>
      </c>
    </row>
    <row r="316" spans="1:5" ht="15" customHeight="1" thickBot="1" x14ac:dyDescent="0.3">
      <c r="A316" s="25" t="s">
        <v>84</v>
      </c>
      <c r="B316" s="26"/>
      <c r="C316" s="986">
        <f>C315/B315-1</f>
        <v>7.7881619937694158E-3</v>
      </c>
      <c r="D316" s="986">
        <f>D315/C315-1</f>
        <v>0</v>
      </c>
      <c r="E316" s="986">
        <f>E315/D315-1</f>
        <v>0</v>
      </c>
    </row>
    <row r="317" spans="1:5" ht="15.75" thickBot="1" x14ac:dyDescent="0.3">
      <c r="A317" s="237" t="s">
        <v>26</v>
      </c>
      <c r="B317" s="60">
        <f>B228+B205+B69+B46</f>
        <v>9800</v>
      </c>
      <c r="C317" s="60">
        <f>C228+C205+C69+C46+C92</f>
        <v>10550</v>
      </c>
      <c r="D317" s="60">
        <f>D228+D205+D69+D46+D92</f>
        <v>10550</v>
      </c>
      <c r="E317" s="60">
        <f>E228+E205+E69+E46+E92</f>
        <v>10550</v>
      </c>
    </row>
    <row r="318" spans="1:5" ht="19.5" customHeight="1" thickBot="1" x14ac:dyDescent="0.3">
      <c r="A318" s="985" t="s">
        <v>85</v>
      </c>
      <c r="B318" s="191"/>
      <c r="C318" s="234">
        <f>C317/B317-1</f>
        <v>7.6530612244897878E-2</v>
      </c>
      <c r="D318" s="234">
        <f>D317/C317-1</f>
        <v>0</v>
      </c>
      <c r="E318" s="234">
        <f>E317/D317-1</f>
        <v>0</v>
      </c>
    </row>
    <row r="319" spans="1:5" ht="24.75" thickBot="1" x14ac:dyDescent="0.3">
      <c r="A319" s="237" t="s">
        <v>28</v>
      </c>
      <c r="B319" s="60">
        <f>B229+B206+B70+B47</f>
        <v>1600</v>
      </c>
      <c r="C319" s="60">
        <f>C229+C206+C70+C47+C93</f>
        <v>1705</v>
      </c>
      <c r="D319" s="60">
        <f>D229+D206+D70+D47+D93</f>
        <v>1705</v>
      </c>
      <c r="E319" s="60">
        <f>E229+E206+E70+E47+E93</f>
        <v>1705</v>
      </c>
    </row>
    <row r="320" spans="1:5" ht="24.75" thickBot="1" x14ac:dyDescent="0.3">
      <c r="A320" s="985" t="s">
        <v>86</v>
      </c>
      <c r="B320" s="191"/>
      <c r="C320" s="234">
        <f>C319/B319-1</f>
        <v>6.5625000000000044E-2</v>
      </c>
      <c r="D320" s="234">
        <f>D319/C319-1</f>
        <v>0</v>
      </c>
      <c r="E320" s="234">
        <f>E319/D319-1</f>
        <v>0</v>
      </c>
    </row>
    <row r="321" spans="1:5" ht="30" customHeight="1" thickBot="1" x14ac:dyDescent="0.3">
      <c r="A321" s="237" t="s">
        <v>30</v>
      </c>
      <c r="B321" s="60">
        <f>B230+B207+B71+B48</f>
        <v>8000</v>
      </c>
      <c r="C321" s="60">
        <f>C230+C207+C71+C48+C94</f>
        <v>7145</v>
      </c>
      <c r="D321" s="60">
        <f>D230+D207+D71+D48+D94</f>
        <v>7145</v>
      </c>
      <c r="E321" s="60">
        <f>E230+E207+E71+E48+E94</f>
        <v>7145</v>
      </c>
    </row>
    <row r="322" spans="1:5" ht="40.5" customHeight="1" thickBot="1" x14ac:dyDescent="0.3">
      <c r="A322" s="985" t="s">
        <v>87</v>
      </c>
      <c r="B322" s="191"/>
      <c r="C322" s="234">
        <f>C321/B321-1</f>
        <v>-0.10687500000000005</v>
      </c>
      <c r="D322" s="234">
        <f>D321/C321-1</f>
        <v>0</v>
      </c>
      <c r="E322" s="234">
        <f>E321/D321-1</f>
        <v>0</v>
      </c>
    </row>
    <row r="323" spans="1:5" ht="23.25" customHeight="1" thickBot="1" x14ac:dyDescent="0.3">
      <c r="A323" s="237" t="s">
        <v>32</v>
      </c>
      <c r="B323" s="60">
        <v>0</v>
      </c>
      <c r="C323" s="60">
        <v>0</v>
      </c>
      <c r="D323" s="60">
        <v>0</v>
      </c>
      <c r="E323" s="60">
        <v>0</v>
      </c>
    </row>
    <row r="324" spans="1:5" ht="18" customHeight="1" thickBot="1" x14ac:dyDescent="0.3">
      <c r="A324" s="985" t="s">
        <v>88</v>
      </c>
      <c r="B324" s="191"/>
      <c r="C324" s="234" t="e">
        <f>C323/B323-1</f>
        <v>#DIV/0!</v>
      </c>
      <c r="D324" s="234" t="e">
        <f>D323/C323-1</f>
        <v>#DIV/0!</v>
      </c>
      <c r="E324" s="234" t="e">
        <f>E323/D323-1</f>
        <v>#DIV/0!</v>
      </c>
    </row>
    <row r="325" spans="1:5" ht="22.5" customHeight="1" thickBot="1" x14ac:dyDescent="0.3">
      <c r="A325" s="237" t="s">
        <v>34</v>
      </c>
      <c r="B325" s="60">
        <f>B232+B209+B73+B50</f>
        <v>109000</v>
      </c>
      <c r="C325" s="60">
        <f>C232+C209+C73+C50</f>
        <v>109000</v>
      </c>
      <c r="D325" s="60">
        <f>D232+D209+D73+D50</f>
        <v>109000</v>
      </c>
      <c r="E325" s="60">
        <f>E232+E209+E73+E50</f>
        <v>109000</v>
      </c>
    </row>
    <row r="326" spans="1:5" ht="27" customHeight="1" thickBot="1" x14ac:dyDescent="0.3">
      <c r="A326" s="985" t="s">
        <v>89</v>
      </c>
      <c r="B326" s="191"/>
      <c r="C326" s="234">
        <f>C325/B325-1</f>
        <v>0</v>
      </c>
      <c r="D326" s="234">
        <f>D325/C325-1</f>
        <v>0</v>
      </c>
      <c r="E326" s="234">
        <f>E325/D325-1</f>
        <v>0</v>
      </c>
    </row>
    <row r="327" spans="1:5" ht="28.5" customHeight="1" thickBot="1" x14ac:dyDescent="0.3">
      <c r="A327" s="237" t="s">
        <v>36</v>
      </c>
      <c r="B327" s="60">
        <f>B233+B210+B74+B51</f>
        <v>0</v>
      </c>
      <c r="C327" s="60">
        <f>C233+C210+C74+C51</f>
        <v>0</v>
      </c>
      <c r="D327" s="60">
        <f>D233+D210+D74+D51</f>
        <v>0</v>
      </c>
      <c r="E327" s="60">
        <f>E233+E210+E74+E51</f>
        <v>0</v>
      </c>
    </row>
    <row r="328" spans="1:5" ht="24.75" thickBot="1" x14ac:dyDescent="0.3">
      <c r="A328" s="985" t="s">
        <v>90</v>
      </c>
      <c r="B328" s="191"/>
      <c r="C328" s="234" t="e">
        <f>C327/B327-1</f>
        <v>#DIV/0!</v>
      </c>
      <c r="D328" s="234" t="e">
        <f>D327/C327-1</f>
        <v>#DIV/0!</v>
      </c>
      <c r="E328" s="234" t="e">
        <f>E327/D327-1</f>
        <v>#DIV/0!</v>
      </c>
    </row>
    <row r="329" spans="1:5" ht="24.75" thickBot="1" x14ac:dyDescent="0.3">
      <c r="A329" s="237" t="s">
        <v>38</v>
      </c>
      <c r="B329" s="60">
        <f>B234+B211+B75+B52</f>
        <v>0</v>
      </c>
      <c r="C329" s="60">
        <f>C234+C211+C75+C52</f>
        <v>0</v>
      </c>
      <c r="D329" s="60">
        <f>D234+D211+D75+D52</f>
        <v>0</v>
      </c>
      <c r="E329" s="60">
        <f>E234+E211+E75+E52</f>
        <v>0</v>
      </c>
    </row>
    <row r="330" spans="1:5" ht="24.75" thickBot="1" x14ac:dyDescent="0.3">
      <c r="A330" s="985" t="s">
        <v>91</v>
      </c>
      <c r="B330" s="191"/>
      <c r="C330" s="234" t="e">
        <f>C329/B329-1</f>
        <v>#DIV/0!</v>
      </c>
      <c r="D330" s="234" t="e">
        <f>D329/C329-1</f>
        <v>#DIV/0!</v>
      </c>
      <c r="E330" s="234" t="e">
        <f>E329/D329-1</f>
        <v>#DIV/0!</v>
      </c>
    </row>
    <row r="331" spans="1:5" ht="15.75" thickBot="1" x14ac:dyDescent="0.3">
      <c r="A331" s="237" t="s">
        <v>92</v>
      </c>
      <c r="B331" s="60">
        <f>B118+B139+B159+B177+B254+B272+B292+B310</f>
        <v>0</v>
      </c>
      <c r="C331" s="60">
        <f>C118+C139+C159+C177+C254+C272+C292+C310</f>
        <v>0</v>
      </c>
      <c r="D331" s="60">
        <f>D118+D139+D159+D177+D254+D272+D292+D310</f>
        <v>0</v>
      </c>
      <c r="E331" s="60">
        <f>E118+E139+E159+E177+E254+E272+E292+E310</f>
        <v>0</v>
      </c>
    </row>
    <row r="332" spans="1:5" ht="24.75" thickBot="1" x14ac:dyDescent="0.3">
      <c r="A332" s="985" t="s">
        <v>93</v>
      </c>
      <c r="B332" s="191"/>
      <c r="C332" s="234" t="e">
        <f>C331/B331-1</f>
        <v>#DIV/0!</v>
      </c>
      <c r="D332" s="234" t="e">
        <f>D331/C331-1</f>
        <v>#DIV/0!</v>
      </c>
      <c r="E332" s="234" t="e">
        <f>E331/D331-1</f>
        <v>#DIV/0!</v>
      </c>
    </row>
    <row r="333" spans="1:5" ht="15.75" thickBot="1" x14ac:dyDescent="0.3">
      <c r="A333" s="237" t="s">
        <v>94</v>
      </c>
      <c r="B333" s="60">
        <f>B119+B140+B160+B178+B255+B273+B293+B311</f>
        <v>0</v>
      </c>
      <c r="C333" s="60">
        <f>C119+C140+C160+C178+C255+C273+C293+C311</f>
        <v>1000</v>
      </c>
      <c r="D333" s="60">
        <f>D119+D140+D160+D178+D255+D273+D293+D311</f>
        <v>1000</v>
      </c>
      <c r="E333" s="60">
        <f>E119+E140+E160+E178+E255+E273+E293+E311</f>
        <v>1000</v>
      </c>
    </row>
    <row r="334" spans="1:5" ht="24.75" thickBot="1" x14ac:dyDescent="0.3">
      <c r="A334" s="985" t="s">
        <v>95</v>
      </c>
      <c r="B334" s="191"/>
      <c r="C334" s="234" t="e">
        <f>C333/B333-1</f>
        <v>#DIV/0!</v>
      </c>
      <c r="D334" s="234">
        <f>D333/C333-1</f>
        <v>0</v>
      </c>
      <c r="E334" s="234">
        <f>E333/D333-1</f>
        <v>0</v>
      </c>
    </row>
    <row r="335" spans="1:5" ht="15.75" thickBot="1" x14ac:dyDescent="0.3">
      <c r="A335" s="315" t="s">
        <v>41</v>
      </c>
      <c r="B335" s="238">
        <f>IF(B315-B314=0,0,"Error")</f>
        <v>0</v>
      </c>
      <c r="C335" s="238">
        <f>IF(C315-C314=0,0,"Error")</f>
        <v>0</v>
      </c>
      <c r="D335" s="238">
        <f>IF(D315-D314=0,0,"Error")</f>
        <v>0</v>
      </c>
      <c r="E335" s="238">
        <f>IF(E315-E314=0,0,"Error")</f>
        <v>0</v>
      </c>
    </row>
    <row r="336" spans="1:5" ht="36" customHeight="1" thickBot="1" x14ac:dyDescent="0.3">
      <c r="A336" s="30" t="s">
        <v>96</v>
      </c>
      <c r="B336" s="14">
        <v>10</v>
      </c>
      <c r="C336" s="60">
        <v>10</v>
      </c>
      <c r="D336" s="14">
        <v>10</v>
      </c>
      <c r="E336" s="14">
        <v>10</v>
      </c>
    </row>
    <row r="337" spans="1:5" ht="36.75" thickBot="1" x14ac:dyDescent="0.3">
      <c r="A337" s="30" t="s">
        <v>97</v>
      </c>
      <c r="B337" s="14">
        <v>0</v>
      </c>
      <c r="C337" s="60">
        <v>0</v>
      </c>
      <c r="D337" s="14">
        <v>0</v>
      </c>
      <c r="E337" s="14">
        <v>0</v>
      </c>
    </row>
    <row r="338" spans="1:5" ht="4.5" customHeight="1" x14ac:dyDescent="0.25">
      <c r="A338" s="31"/>
      <c r="B338" s="32"/>
      <c r="C338" s="984"/>
      <c r="D338" s="32"/>
      <c r="E338" s="32"/>
    </row>
    <row r="339" spans="1:5" hidden="1" x14ac:dyDescent="0.25">
      <c r="A339" s="33"/>
      <c r="B339" s="34"/>
      <c r="C339" s="982"/>
      <c r="D339" s="33"/>
      <c r="E339" s="33"/>
    </row>
    <row r="340" spans="1:5" hidden="1" x14ac:dyDescent="0.25">
      <c r="A340" s="983" t="s">
        <v>98</v>
      </c>
      <c r="B340" s="34"/>
      <c r="C340" s="982"/>
      <c r="D340" s="33"/>
      <c r="E340" s="33"/>
    </row>
    <row r="341" spans="1:5" hidden="1" x14ac:dyDescent="0.25">
      <c r="A341" s="2178" t="s">
        <v>1552</v>
      </c>
      <c r="B341" s="2179"/>
      <c r="C341" s="2179"/>
      <c r="D341" s="2179"/>
      <c r="E341" s="2180"/>
    </row>
    <row r="342" spans="1:5" hidden="1" x14ac:dyDescent="0.25">
      <c r="A342" s="2175" t="s">
        <v>1551</v>
      </c>
      <c r="B342" s="2176"/>
      <c r="C342" s="2176"/>
      <c r="D342" s="2176"/>
      <c r="E342" s="2177"/>
    </row>
    <row r="343" spans="1:5" hidden="1" x14ac:dyDescent="0.25">
      <c r="A343" s="2169" t="s">
        <v>1550</v>
      </c>
      <c r="B343" s="2170"/>
      <c r="C343" s="2170"/>
      <c r="D343" s="2170"/>
      <c r="E343" s="2171"/>
    </row>
    <row r="344" spans="1:5" hidden="1" x14ac:dyDescent="0.25">
      <c r="A344" s="2169" t="s">
        <v>99</v>
      </c>
      <c r="B344" s="2170"/>
      <c r="C344" s="2170"/>
      <c r="D344" s="2170"/>
      <c r="E344" s="2171"/>
    </row>
    <row r="345" spans="1:5" hidden="1" x14ac:dyDescent="0.25">
      <c r="A345" s="2169" t="s">
        <v>100</v>
      </c>
      <c r="B345" s="2170"/>
      <c r="C345" s="2170"/>
      <c r="D345" s="2170"/>
      <c r="E345" s="2171"/>
    </row>
    <row r="346" spans="1:5" hidden="1" x14ac:dyDescent="0.25">
      <c r="A346" s="2181" t="s">
        <v>1549</v>
      </c>
      <c r="B346" s="2182"/>
      <c r="C346" s="2182"/>
      <c r="D346" s="2182"/>
      <c r="E346" s="2183"/>
    </row>
    <row r="347" spans="1:5" ht="57" hidden="1" customHeight="1" thickBot="1" x14ac:dyDescent="0.3">
      <c r="A347" s="2172" t="s">
        <v>101</v>
      </c>
      <c r="B347" s="2173"/>
      <c r="C347" s="2173"/>
      <c r="D347" s="2173"/>
      <c r="E347" s="2174"/>
    </row>
  </sheetData>
  <mergeCells count="127">
    <mergeCell ref="B12:E12"/>
    <mergeCell ref="B13:E13"/>
    <mergeCell ref="B14:E14"/>
    <mergeCell ref="A15:E15"/>
    <mergeCell ref="A16:E18"/>
    <mergeCell ref="B19:E19"/>
    <mergeCell ref="A20:A21"/>
    <mergeCell ref="B25:E25"/>
    <mergeCell ref="A26:E26"/>
    <mergeCell ref="A30:E30"/>
    <mergeCell ref="A44:A45"/>
    <mergeCell ref="B55:E55"/>
    <mergeCell ref="B56:E56"/>
    <mergeCell ref="B57:E57"/>
    <mergeCell ref="A31:E31"/>
    <mergeCell ref="B32:E32"/>
    <mergeCell ref="B33:E33"/>
    <mergeCell ref="B34:E34"/>
    <mergeCell ref="A35:A36"/>
    <mergeCell ref="A43:E43"/>
    <mergeCell ref="A59:A60"/>
    <mergeCell ref="A66:E66"/>
    <mergeCell ref="A67:A68"/>
    <mergeCell ref="A101:E101"/>
    <mergeCell ref="B78:E78"/>
    <mergeCell ref="B79:E79"/>
    <mergeCell ref="B80:E80"/>
    <mergeCell ref="A82:A83"/>
    <mergeCell ref="A89:E89"/>
    <mergeCell ref="A90:A91"/>
    <mergeCell ref="A115:E115"/>
    <mergeCell ref="A116:A117"/>
    <mergeCell ref="A121:A123"/>
    <mergeCell ref="B121:E123"/>
    <mergeCell ref="B124:E124"/>
    <mergeCell ref="A148:A149"/>
    <mergeCell ref="B125:E125"/>
    <mergeCell ref="A102:E102"/>
    <mergeCell ref="B103:E103"/>
    <mergeCell ref="B104:E104"/>
    <mergeCell ref="B105:E105"/>
    <mergeCell ref="B106:E106"/>
    <mergeCell ref="A107:A108"/>
    <mergeCell ref="B126:E126"/>
    <mergeCell ref="B127:E127"/>
    <mergeCell ref="A142:E142"/>
    <mergeCell ref="A143:E143"/>
    <mergeCell ref="B144:E144"/>
    <mergeCell ref="B145:E145"/>
    <mergeCell ref="B146:E146"/>
    <mergeCell ref="B147:E147"/>
    <mergeCell ref="A128:A129"/>
    <mergeCell ref="A136:E136"/>
    <mergeCell ref="A137:A138"/>
    <mergeCell ref="B163:E163"/>
    <mergeCell ref="B164:E164"/>
    <mergeCell ref="B165:E165"/>
    <mergeCell ref="A166:A167"/>
    <mergeCell ref="A174:E174"/>
    <mergeCell ref="A175:A176"/>
    <mergeCell ref="A156:E156"/>
    <mergeCell ref="A157:A158"/>
    <mergeCell ref="B162:E162"/>
    <mergeCell ref="A200:A201"/>
    <mergeCell ref="B216:E216"/>
    <mergeCell ref="A217:A218"/>
    <mergeCell ref="A225:E225"/>
    <mergeCell ref="B214:E214"/>
    <mergeCell ref="B215:E215"/>
    <mergeCell ref="B180:E180"/>
    <mergeCell ref="A181:E181"/>
    <mergeCell ref="A185:E185"/>
    <mergeCell ref="A186:E186"/>
    <mergeCell ref="A347:E347"/>
    <mergeCell ref="A343:E343"/>
    <mergeCell ref="A342:E342"/>
    <mergeCell ref="A341:E341"/>
    <mergeCell ref="A308:A309"/>
    <mergeCell ref="B279:E279"/>
    <mergeCell ref="B280:E280"/>
    <mergeCell ref="A344:E344"/>
    <mergeCell ref="B295:E295"/>
    <mergeCell ref="B296:E296"/>
    <mergeCell ref="B297:E297"/>
    <mergeCell ref="B298:E298"/>
    <mergeCell ref="A299:A300"/>
    <mergeCell ref="A307:E307"/>
    <mergeCell ref="A281:A282"/>
    <mergeCell ref="A289:E289"/>
    <mergeCell ref="A346:E346"/>
    <mergeCell ref="B3:E3"/>
    <mergeCell ref="B4:E4"/>
    <mergeCell ref="C5:E5"/>
    <mergeCell ref="C6:E6"/>
    <mergeCell ref="C7:E7"/>
    <mergeCell ref="C8:E8"/>
    <mergeCell ref="A10:E10"/>
    <mergeCell ref="A345:E345"/>
    <mergeCell ref="A226:A227"/>
    <mergeCell ref="A202:E202"/>
    <mergeCell ref="A203:A204"/>
    <mergeCell ref="B257:E257"/>
    <mergeCell ref="A237:E237"/>
    <mergeCell ref="A238:E238"/>
    <mergeCell ref="B239:E239"/>
    <mergeCell ref="B240:E240"/>
    <mergeCell ref="B241:E241"/>
    <mergeCell ref="B242:E242"/>
    <mergeCell ref="A243:A244"/>
    <mergeCell ref="A187:A188"/>
    <mergeCell ref="B189:E189"/>
    <mergeCell ref="B190:E190"/>
    <mergeCell ref="B191:E191"/>
    <mergeCell ref="A192:A193"/>
    <mergeCell ref="A276:E276"/>
    <mergeCell ref="B277:E277"/>
    <mergeCell ref="B278:E278"/>
    <mergeCell ref="A290:A291"/>
    <mergeCell ref="A251:E251"/>
    <mergeCell ref="A252:A253"/>
    <mergeCell ref="B258:E258"/>
    <mergeCell ref="B259:E259"/>
    <mergeCell ref="B260:E260"/>
    <mergeCell ref="A261:A262"/>
    <mergeCell ref="A269:E269"/>
    <mergeCell ref="A270:A271"/>
    <mergeCell ref="A275:E275"/>
  </mergeCells>
  <printOptions horizontalCentered="1" verticalCentered="1"/>
  <pageMargins left="0.16" right="0.7" top="0.5" bottom="0.75" header="0.3" footer="0.3"/>
  <pageSetup paperSize="9" scale="65" orientation="portrait" r:id="rId1"/>
  <rowBreaks count="4" manualBreakCount="4">
    <brk id="77" max="16383" man="1"/>
    <brk id="132" max="16383" man="1"/>
    <brk id="201" max="16383" man="1"/>
    <brk id="271"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2:I278"/>
  <sheetViews>
    <sheetView view="pageBreakPreview" topLeftCell="A265" zoomScale="60" zoomScaleNormal="100" workbookViewId="0">
      <selection activeCell="K27" sqref="K27"/>
    </sheetView>
  </sheetViews>
  <sheetFormatPr defaultRowHeight="15" x14ac:dyDescent="0.25"/>
  <cols>
    <col min="1" max="5" width="21.42578125" customWidth="1"/>
    <col min="6" max="6" width="11" customWidth="1"/>
    <col min="7" max="7" width="11" bestFit="1" customWidth="1"/>
  </cols>
  <sheetData>
    <row r="2" spans="1:5" x14ac:dyDescent="0.25">
      <c r="A2" s="189" t="s">
        <v>898</v>
      </c>
      <c r="B2" s="188"/>
      <c r="C2" s="188"/>
      <c r="D2" s="188"/>
    </row>
    <row r="4" spans="1:5" ht="15.75" thickBot="1" x14ac:dyDescent="0.3"/>
    <row r="5" spans="1:5" ht="48" thickBot="1" x14ac:dyDescent="0.3">
      <c r="A5" s="168" t="s">
        <v>897</v>
      </c>
      <c r="B5" s="1084" t="s">
        <v>690</v>
      </c>
      <c r="C5" s="1085"/>
      <c r="D5" s="1085"/>
      <c r="E5" s="1086"/>
    </row>
    <row r="6" spans="1:5" ht="48" thickBot="1" x14ac:dyDescent="0.3">
      <c r="A6" s="36" t="s">
        <v>895</v>
      </c>
      <c r="B6" s="1087" t="s">
        <v>1412</v>
      </c>
      <c r="C6" s="1088"/>
      <c r="D6" s="1088"/>
      <c r="E6" s="1089"/>
    </row>
    <row r="7" spans="1:5" ht="48" thickBot="1" x14ac:dyDescent="0.3">
      <c r="A7" s="36" t="s">
        <v>914</v>
      </c>
      <c r="B7" s="1239" t="s">
        <v>1411</v>
      </c>
      <c r="C7" s="1095"/>
      <c r="D7" s="1095"/>
      <c r="E7" s="1096"/>
    </row>
    <row r="8" spans="1:5" ht="32.25" thickBot="1" x14ac:dyDescent="0.3">
      <c r="A8" s="36" t="s">
        <v>891</v>
      </c>
      <c r="B8" s="167" t="s">
        <v>912</v>
      </c>
      <c r="C8" s="1093" t="s">
        <v>7</v>
      </c>
      <c r="D8" s="1093"/>
      <c r="E8" s="1094"/>
    </row>
    <row r="9" spans="1:5" ht="48" thickBot="1" x14ac:dyDescent="0.3">
      <c r="A9" s="36" t="s">
        <v>929</v>
      </c>
      <c r="B9" s="186">
        <v>1150</v>
      </c>
      <c r="C9" s="1095" t="s">
        <v>692</v>
      </c>
      <c r="D9" s="1095"/>
      <c r="E9" s="1096"/>
    </row>
    <row r="10" spans="1:5" ht="48" thickBot="1" x14ac:dyDescent="0.3">
      <c r="A10" s="36" t="s">
        <v>927</v>
      </c>
      <c r="B10" s="186"/>
      <c r="C10" s="1095"/>
      <c r="D10" s="1095"/>
      <c r="E10" s="1096"/>
    </row>
    <row r="12" spans="1:5" ht="36.75" customHeight="1" x14ac:dyDescent="0.25">
      <c r="A12" s="1329" t="s">
        <v>0</v>
      </c>
      <c r="B12" s="1329"/>
      <c r="C12" s="1329"/>
      <c r="D12" s="1329"/>
      <c r="E12" s="1329"/>
    </row>
    <row r="13" spans="1:5" ht="18" customHeight="1" x14ac:dyDescent="0.25">
      <c r="A13" s="1558" t="s">
        <v>1</v>
      </c>
      <c r="B13" s="1558"/>
      <c r="C13" s="1558"/>
      <c r="D13" s="1558"/>
      <c r="E13" s="1558"/>
    </row>
    <row r="14" spans="1:5" ht="15.75" thickBot="1" x14ac:dyDescent="0.3"/>
    <row r="15" spans="1:5" ht="26.25" thickBot="1" x14ac:dyDescent="0.3">
      <c r="A15" s="2" t="s">
        <v>2</v>
      </c>
      <c r="B15" s="1263" t="s">
        <v>690</v>
      </c>
      <c r="C15" s="1263"/>
      <c r="D15" s="1263"/>
      <c r="E15" s="1263"/>
    </row>
    <row r="16" spans="1:5" ht="15.75" thickBot="1" x14ac:dyDescent="0.3">
      <c r="A16" s="2" t="s">
        <v>3</v>
      </c>
      <c r="B16" s="1087" t="s">
        <v>691</v>
      </c>
      <c r="C16" s="1088"/>
      <c r="D16" s="1088"/>
      <c r="E16" s="1089"/>
    </row>
    <row r="17" spans="1:8" ht="26.25" thickBot="1" x14ac:dyDescent="0.3">
      <c r="A17" s="2" t="s">
        <v>5</v>
      </c>
      <c r="B17" s="1265" t="s">
        <v>6</v>
      </c>
      <c r="C17" s="1095"/>
      <c r="D17" s="1095"/>
      <c r="E17" s="1096"/>
    </row>
    <row r="18" spans="1:8" ht="15.75" thickBot="1" x14ac:dyDescent="0.3">
      <c r="A18" s="1266" t="s">
        <v>7</v>
      </c>
      <c r="B18" s="1267"/>
      <c r="C18" s="1267"/>
      <c r="D18" s="1267"/>
      <c r="E18" s="1297"/>
    </row>
    <row r="19" spans="1:8" x14ac:dyDescent="0.25">
      <c r="A19" s="2218" t="s">
        <v>692</v>
      </c>
      <c r="B19" s="2219"/>
      <c r="C19" s="2219"/>
      <c r="D19" s="2219"/>
      <c r="E19" s="2220"/>
    </row>
    <row r="20" spans="1:8" ht="36.75" customHeight="1" x14ac:dyDescent="0.25">
      <c r="A20" s="2221"/>
      <c r="B20" s="2222"/>
      <c r="C20" s="2222"/>
      <c r="D20" s="2222"/>
      <c r="E20" s="2223"/>
    </row>
    <row r="21" spans="1:8" ht="15.75" thickBot="1" x14ac:dyDescent="0.3">
      <c r="A21" s="2224"/>
      <c r="B21" s="2225"/>
      <c r="C21" s="2225"/>
      <c r="D21" s="2225"/>
      <c r="E21" s="2226"/>
    </row>
    <row r="22" spans="1:8" ht="65.25" customHeight="1" thickBot="1" x14ac:dyDescent="0.3">
      <c r="A22" s="3" t="s">
        <v>8</v>
      </c>
      <c r="B22" s="1302" t="s">
        <v>693</v>
      </c>
      <c r="C22" s="1302"/>
      <c r="D22" s="1302"/>
      <c r="E22" s="1886"/>
    </row>
    <row r="23" spans="1:8" ht="23.25" customHeight="1" x14ac:dyDescent="0.25">
      <c r="A23" s="1250" t="s">
        <v>102</v>
      </c>
      <c r="B23" s="245">
        <v>2018</v>
      </c>
      <c r="C23" s="245">
        <v>2019</v>
      </c>
      <c r="D23" s="245">
        <v>2020</v>
      </c>
      <c r="E23" s="245">
        <v>2021</v>
      </c>
    </row>
    <row r="24" spans="1:8" ht="15.75" thickBot="1" x14ac:dyDescent="0.3">
      <c r="A24" s="1251"/>
      <c r="B24" s="244" t="s">
        <v>10</v>
      </c>
      <c r="C24" s="244" t="s">
        <v>11</v>
      </c>
      <c r="D24" s="244" t="s">
        <v>11</v>
      </c>
      <c r="E24" s="244" t="s">
        <v>11</v>
      </c>
    </row>
    <row r="25" spans="1:8" ht="34.5" thickBot="1" x14ac:dyDescent="0.3">
      <c r="A25" s="221" t="s">
        <v>1410</v>
      </c>
      <c r="B25" s="4">
        <v>0.98</v>
      </c>
      <c r="C25" s="4">
        <v>1</v>
      </c>
      <c r="D25" s="4">
        <v>1</v>
      </c>
      <c r="E25" s="4">
        <v>1</v>
      </c>
    </row>
    <row r="26" spans="1:8" ht="30" customHeight="1" thickBot="1" x14ac:dyDescent="0.3">
      <c r="A26" s="6" t="s">
        <v>12</v>
      </c>
      <c r="B26" s="1272" t="s">
        <v>695</v>
      </c>
      <c r="C26" s="1270"/>
      <c r="D26" s="1270"/>
      <c r="E26" s="1305"/>
    </row>
    <row r="27" spans="1:8" ht="23.25" customHeight="1" thickBot="1" x14ac:dyDescent="0.3">
      <c r="A27" s="1245" t="s">
        <v>13</v>
      </c>
      <c r="B27" s="1246"/>
      <c r="C27" s="1246"/>
      <c r="D27" s="1246"/>
      <c r="E27" s="1298"/>
      <c r="F27" s="35"/>
      <c r="H27" s="35"/>
    </row>
    <row r="28" spans="1:8" ht="57" thickBot="1" x14ac:dyDescent="0.3">
      <c r="A28" s="5" t="s">
        <v>1409</v>
      </c>
      <c r="B28" s="4">
        <v>0.98</v>
      </c>
      <c r="C28" s="4">
        <v>1</v>
      </c>
      <c r="D28" s="4">
        <v>1</v>
      </c>
      <c r="E28" s="4">
        <v>1</v>
      </c>
    </row>
    <row r="29" spans="1:8" ht="23.25" thickBot="1" x14ac:dyDescent="0.3">
      <c r="A29" s="221" t="s">
        <v>694</v>
      </c>
      <c r="B29" s="4">
        <v>0.98</v>
      </c>
      <c r="C29" s="4">
        <v>1</v>
      </c>
      <c r="D29" s="4">
        <v>1</v>
      </c>
      <c r="E29" s="4">
        <v>1</v>
      </c>
    </row>
    <row r="30" spans="1:8" ht="15.75" thickBot="1" x14ac:dyDescent="0.3">
      <c r="A30" s="1273" t="s">
        <v>14</v>
      </c>
      <c r="B30" s="1274"/>
      <c r="C30" s="1274"/>
      <c r="D30" s="1274"/>
      <c r="E30" s="1299"/>
    </row>
    <row r="31" spans="1:8" ht="15.75" thickBot="1" x14ac:dyDescent="0.3">
      <c r="A31" s="1275" t="s">
        <v>15</v>
      </c>
      <c r="B31" s="1276"/>
      <c r="C31" s="1276"/>
      <c r="D31" s="1276"/>
      <c r="E31" s="1317"/>
    </row>
    <row r="32" spans="1:8" ht="21" customHeight="1" thickBot="1" x14ac:dyDescent="0.3">
      <c r="A32" s="7" t="s">
        <v>16</v>
      </c>
      <c r="B32" s="1330" t="s">
        <v>696</v>
      </c>
      <c r="C32" s="1331"/>
      <c r="D32" s="1331"/>
      <c r="E32" s="1332"/>
    </row>
    <row r="33" spans="1:9" ht="21" customHeight="1" thickBot="1" x14ac:dyDescent="0.3">
      <c r="A33" s="5" t="s">
        <v>17</v>
      </c>
      <c r="B33" s="1330" t="s">
        <v>697</v>
      </c>
      <c r="C33" s="1331"/>
      <c r="D33" s="1331"/>
      <c r="E33" s="1332"/>
    </row>
    <row r="34" spans="1:9" ht="15.75" thickBot="1" x14ac:dyDescent="0.3">
      <c r="A34" s="5" t="s">
        <v>18</v>
      </c>
      <c r="B34" s="1248" t="s">
        <v>1406</v>
      </c>
      <c r="C34" s="1249"/>
      <c r="D34" s="1249"/>
      <c r="E34" s="1316"/>
    </row>
    <row r="35" spans="1:9" ht="12.75" customHeight="1" x14ac:dyDescent="0.25">
      <c r="A35" s="1250"/>
      <c r="B35" s="8">
        <v>2018</v>
      </c>
      <c r="C35" s="8">
        <v>2019</v>
      </c>
      <c r="D35" s="8">
        <v>2020</v>
      </c>
      <c r="E35" s="8">
        <v>2021</v>
      </c>
    </row>
    <row r="36" spans="1:9" ht="9" customHeight="1" thickBot="1" x14ac:dyDescent="0.3">
      <c r="A36" s="1251"/>
      <c r="B36" s="9" t="s">
        <v>10</v>
      </c>
      <c r="C36" s="9" t="s">
        <v>11</v>
      </c>
      <c r="D36" s="9" t="s">
        <v>11</v>
      </c>
      <c r="E36" s="9" t="s">
        <v>11</v>
      </c>
    </row>
    <row r="37" spans="1:9" ht="15.75" thickBot="1" x14ac:dyDescent="0.3">
      <c r="A37" s="5" t="s">
        <v>19</v>
      </c>
      <c r="B37" s="10">
        <v>600</v>
      </c>
      <c r="C37" s="10">
        <v>600</v>
      </c>
      <c r="D37" s="10">
        <v>600</v>
      </c>
      <c r="E37" s="10">
        <v>600</v>
      </c>
    </row>
    <row r="38" spans="1:9" ht="15.75" thickBot="1" x14ac:dyDescent="0.3">
      <c r="A38" s="5" t="s">
        <v>20</v>
      </c>
      <c r="B38" s="10">
        <v>30150</v>
      </c>
      <c r="C38" s="10">
        <v>44224</v>
      </c>
      <c r="D38" s="10">
        <v>44224</v>
      </c>
      <c r="E38" s="10">
        <v>45200</v>
      </c>
    </row>
    <row r="39" spans="1:9" ht="15.75" thickBot="1" x14ac:dyDescent="0.3">
      <c r="A39" s="5" t="s">
        <v>21</v>
      </c>
      <c r="B39" s="10">
        <f>B38/B37</f>
        <v>50.25</v>
      </c>
      <c r="C39" s="10">
        <f>C38/C37</f>
        <v>73.706666666666663</v>
      </c>
      <c r="D39" s="10">
        <f>D38/D37</f>
        <v>73.706666666666663</v>
      </c>
      <c r="E39" s="10">
        <f>E38/E37</f>
        <v>75.333333333333329</v>
      </c>
    </row>
    <row r="40" spans="1:9" ht="15.75" thickBot="1" x14ac:dyDescent="0.3">
      <c r="A40" s="5" t="s">
        <v>22</v>
      </c>
      <c r="B40" s="225" t="s">
        <v>23</v>
      </c>
      <c r="C40" s="11">
        <f t="shared" ref="C40:E42" si="0">C37/B37-1</f>
        <v>0</v>
      </c>
      <c r="D40" s="11">
        <f t="shared" si="0"/>
        <v>0</v>
      </c>
      <c r="E40" s="11">
        <f t="shared" si="0"/>
        <v>0</v>
      </c>
      <c r="F40" s="12"/>
      <c r="G40" s="12"/>
      <c r="H40" s="12"/>
      <c r="I40" s="12"/>
    </row>
    <row r="41" spans="1:9" ht="15.75" thickBot="1" x14ac:dyDescent="0.3">
      <c r="A41" s="5" t="s">
        <v>24</v>
      </c>
      <c r="B41" s="225" t="s">
        <v>23</v>
      </c>
      <c r="C41" s="11">
        <f t="shared" si="0"/>
        <v>0.46679933665008289</v>
      </c>
      <c r="D41" s="11">
        <f t="shared" si="0"/>
        <v>0</v>
      </c>
      <c r="E41" s="11">
        <f t="shared" si="0"/>
        <v>2.2069464544138828E-2</v>
      </c>
    </row>
    <row r="42" spans="1:9" ht="23.25" thickBot="1" x14ac:dyDescent="0.3">
      <c r="A42" s="5" t="s">
        <v>25</v>
      </c>
      <c r="B42" s="225" t="s">
        <v>23</v>
      </c>
      <c r="C42" s="11">
        <f t="shared" si="0"/>
        <v>0.46679933665008289</v>
      </c>
      <c r="D42" s="11">
        <f t="shared" si="0"/>
        <v>0</v>
      </c>
      <c r="E42" s="11">
        <f t="shared" si="0"/>
        <v>2.2069464544138828E-2</v>
      </c>
    </row>
    <row r="43" spans="1:9" ht="15.75" thickBot="1" x14ac:dyDescent="0.3">
      <c r="A43" s="1252" t="s">
        <v>633</v>
      </c>
      <c r="B43" s="1253"/>
      <c r="C43" s="1253"/>
      <c r="D43" s="1253"/>
      <c r="E43" s="1300"/>
    </row>
    <row r="44" spans="1:9" ht="12.75" customHeight="1" x14ac:dyDescent="0.25">
      <c r="A44" s="1250"/>
      <c r="B44" s="8">
        <v>2018</v>
      </c>
      <c r="C44" s="8">
        <v>2019</v>
      </c>
      <c r="D44" s="8">
        <v>2020</v>
      </c>
      <c r="E44" s="8">
        <v>2021</v>
      </c>
    </row>
    <row r="45" spans="1:9" ht="9" customHeight="1" thickBot="1" x14ac:dyDescent="0.3">
      <c r="A45" s="1251"/>
      <c r="B45" s="9" t="s">
        <v>10</v>
      </c>
      <c r="C45" s="9" t="s">
        <v>11</v>
      </c>
      <c r="D45" s="9" t="s">
        <v>11</v>
      </c>
      <c r="E45" s="9" t="s">
        <v>11</v>
      </c>
    </row>
    <row r="46" spans="1:9" ht="15.75" thickBot="1" x14ac:dyDescent="0.3">
      <c r="A46" s="13" t="s">
        <v>26</v>
      </c>
      <c r="B46" s="14">
        <v>17568</v>
      </c>
      <c r="C46" s="14">
        <v>30400</v>
      </c>
      <c r="D46" s="14">
        <v>30400</v>
      </c>
      <c r="E46" s="14">
        <v>30400</v>
      </c>
    </row>
    <row r="47" spans="1:9" ht="36.75" thickBot="1" x14ac:dyDescent="0.3">
      <c r="A47" s="28" t="s">
        <v>27</v>
      </c>
      <c r="B47" s="15"/>
      <c r="C47" s="141"/>
      <c r="D47" s="141"/>
      <c r="E47" s="141"/>
    </row>
    <row r="48" spans="1:9" ht="36.75" thickBot="1" x14ac:dyDescent="0.3">
      <c r="A48" s="28" t="s">
        <v>863</v>
      </c>
      <c r="B48" s="15"/>
      <c r="C48" s="29"/>
      <c r="D48" s="29"/>
      <c r="E48" s="29"/>
    </row>
    <row r="49" spans="1:5" ht="24.75" thickBot="1" x14ac:dyDescent="0.3">
      <c r="A49" s="13" t="s">
        <v>28</v>
      </c>
      <c r="B49" s="14">
        <v>3700</v>
      </c>
      <c r="C49" s="14">
        <v>4800</v>
      </c>
      <c r="D49" s="14">
        <v>4800</v>
      </c>
      <c r="E49" s="14">
        <v>4800</v>
      </c>
    </row>
    <row r="50" spans="1:5" ht="48.75" thickBot="1" x14ac:dyDescent="0.3">
      <c r="A50" s="28" t="s">
        <v>29</v>
      </c>
      <c r="B50" s="15"/>
      <c r="C50" s="14"/>
      <c r="D50" s="14"/>
      <c r="E50" s="14"/>
    </row>
    <row r="51" spans="1:5" ht="48.75" thickBot="1" x14ac:dyDescent="0.3">
      <c r="A51" s="28" t="s">
        <v>864</v>
      </c>
      <c r="B51" s="15"/>
      <c r="C51" s="14"/>
      <c r="D51" s="14"/>
      <c r="E51" s="14"/>
    </row>
    <row r="52" spans="1:5" ht="15.75" thickBot="1" x14ac:dyDescent="0.3">
      <c r="A52" s="13" t="s">
        <v>30</v>
      </c>
      <c r="B52" s="15">
        <v>8882</v>
      </c>
      <c r="C52" s="14">
        <v>9024</v>
      </c>
      <c r="D52" s="14">
        <v>9024</v>
      </c>
      <c r="E52" s="14">
        <v>10000</v>
      </c>
    </row>
    <row r="53" spans="1:5" ht="48.75" thickBot="1" x14ac:dyDescent="0.3">
      <c r="A53" s="28" t="s">
        <v>31</v>
      </c>
      <c r="B53" s="15"/>
      <c r="C53" s="14"/>
      <c r="D53" s="14"/>
      <c r="E53" s="14"/>
    </row>
    <row r="54" spans="1:5" ht="48.75" thickBot="1" x14ac:dyDescent="0.3">
      <c r="A54" s="28" t="s">
        <v>865</v>
      </c>
      <c r="B54" s="15"/>
      <c r="C54" s="14"/>
      <c r="D54" s="14"/>
      <c r="E54" s="14"/>
    </row>
    <row r="55" spans="1:5" ht="24.75" thickBot="1" x14ac:dyDescent="0.3">
      <c r="A55" s="13" t="s">
        <v>38</v>
      </c>
      <c r="B55" s="15"/>
      <c r="C55" s="14"/>
      <c r="D55" s="14"/>
      <c r="E55" s="14"/>
    </row>
    <row r="56" spans="1:5" ht="48.75" thickBot="1" x14ac:dyDescent="0.3">
      <c r="A56" s="28" t="s">
        <v>39</v>
      </c>
      <c r="B56" s="15"/>
      <c r="C56" s="14"/>
      <c r="D56" s="14"/>
      <c r="E56" s="14"/>
    </row>
    <row r="57" spans="1:5" ht="48.75" thickBot="1" x14ac:dyDescent="0.3">
      <c r="A57" s="28" t="s">
        <v>869</v>
      </c>
      <c r="B57" s="15"/>
      <c r="C57" s="14"/>
      <c r="D57" s="14"/>
      <c r="E57" s="14"/>
    </row>
    <row r="58" spans="1:5" ht="24.75" thickBot="1" x14ac:dyDescent="0.3">
      <c r="A58" s="16" t="s">
        <v>40</v>
      </c>
      <c r="B58" s="15">
        <f>B55+B52+B49+B46</f>
        <v>30150</v>
      </c>
      <c r="C58" s="15">
        <f>C55+C52+C49+C46</f>
        <v>44224</v>
      </c>
      <c r="D58" s="15">
        <f>D55+D52+D49+D46</f>
        <v>44224</v>
      </c>
      <c r="E58" s="15">
        <f>E55+E52+E49+E46</f>
        <v>45200</v>
      </c>
    </row>
    <row r="59" spans="1:5" x14ac:dyDescent="0.25">
      <c r="A59" s="1254" t="s">
        <v>870</v>
      </c>
      <c r="B59" s="1322"/>
      <c r="C59" s="1289"/>
      <c r="D59" s="1289"/>
      <c r="E59" s="1290"/>
    </row>
    <row r="60" spans="1:5" x14ac:dyDescent="0.25">
      <c r="A60" s="1255"/>
      <c r="B60" s="1291"/>
      <c r="C60" s="1292"/>
      <c r="D60" s="1292"/>
      <c r="E60" s="1293"/>
    </row>
    <row r="61" spans="1:5" ht="15.75" thickBot="1" x14ac:dyDescent="0.3">
      <c r="A61" s="1256"/>
      <c r="B61" s="1294"/>
      <c r="C61" s="1295"/>
      <c r="D61" s="1295"/>
      <c r="E61" s="1296"/>
    </row>
    <row r="62" spans="1:5" ht="15.75" thickBot="1" x14ac:dyDescent="0.3">
      <c r="A62" s="17" t="s">
        <v>41</v>
      </c>
      <c r="B62" s="18">
        <f>IF(B58-B38=0,0,"Error")</f>
        <v>0</v>
      </c>
      <c r="C62" s="18">
        <f>IF(C58-C38=0,0,"Error")</f>
        <v>0</v>
      </c>
      <c r="D62" s="18">
        <f>IF(D58-D38=0,0,"Error")</f>
        <v>0</v>
      </c>
      <c r="E62" s="18">
        <f>IF(E58-E38=0,0,"Error")</f>
        <v>0</v>
      </c>
    </row>
    <row r="63" spans="1:5" ht="15.75" thickBot="1" x14ac:dyDescent="0.3">
      <c r="A63" s="213" t="s">
        <v>42</v>
      </c>
      <c r="B63" s="1243" t="s">
        <v>698</v>
      </c>
      <c r="C63" s="1244"/>
      <c r="D63" s="1244"/>
      <c r="E63" s="1315"/>
    </row>
    <row r="64" spans="1:5" ht="15.75" thickBot="1" x14ac:dyDescent="0.3">
      <c r="A64" s="5" t="s">
        <v>17</v>
      </c>
      <c r="B64" s="1243" t="s">
        <v>699</v>
      </c>
      <c r="C64" s="1244"/>
      <c r="D64" s="1244"/>
      <c r="E64" s="1315"/>
    </row>
    <row r="65" spans="1:5" ht="15.75" thickBot="1" x14ac:dyDescent="0.3">
      <c r="A65" s="5" t="s">
        <v>18</v>
      </c>
      <c r="B65" s="1248" t="s">
        <v>1405</v>
      </c>
      <c r="C65" s="1249"/>
      <c r="D65" s="1249"/>
      <c r="E65" s="1316"/>
    </row>
    <row r="66" spans="1:5" ht="15.75" thickBot="1" x14ac:dyDescent="0.3">
      <c r="A66" s="5" t="s">
        <v>19</v>
      </c>
      <c r="B66" s="10">
        <v>1</v>
      </c>
      <c r="C66" s="10">
        <v>1</v>
      </c>
      <c r="D66" s="10">
        <v>1</v>
      </c>
      <c r="E66" s="10">
        <v>1</v>
      </c>
    </row>
    <row r="67" spans="1:5" ht="12.75" customHeight="1" x14ac:dyDescent="0.25">
      <c r="A67" s="1250"/>
      <c r="B67" s="8">
        <v>2018</v>
      </c>
      <c r="C67" s="8">
        <v>2019</v>
      </c>
      <c r="D67" s="8">
        <v>2020</v>
      </c>
      <c r="E67" s="8">
        <v>2021</v>
      </c>
    </row>
    <row r="68" spans="1:5" ht="9" customHeight="1" thickBot="1" x14ac:dyDescent="0.3">
      <c r="A68" s="1251"/>
      <c r="B68" s="9" t="s">
        <v>10</v>
      </c>
      <c r="C68" s="9" t="s">
        <v>11</v>
      </c>
      <c r="D68" s="9" t="s">
        <v>11</v>
      </c>
      <c r="E68" s="9" t="s">
        <v>11</v>
      </c>
    </row>
    <row r="69" spans="1:5" ht="15.75" thickBot="1" x14ac:dyDescent="0.3">
      <c r="A69" s="5" t="s">
        <v>20</v>
      </c>
      <c r="B69" s="10">
        <v>9917</v>
      </c>
      <c r="C69" s="10">
        <v>10334</v>
      </c>
      <c r="D69" s="10">
        <v>10334</v>
      </c>
      <c r="E69" s="10">
        <v>10334</v>
      </c>
    </row>
    <row r="70" spans="1:5" ht="15.75" thickBot="1" x14ac:dyDescent="0.3">
      <c r="A70" s="5" t="s">
        <v>21</v>
      </c>
      <c r="B70" s="10">
        <f>B69/B66</f>
        <v>9917</v>
      </c>
      <c r="C70" s="10">
        <f>C69/C66</f>
        <v>10334</v>
      </c>
      <c r="D70" s="10">
        <f>D69/D66</f>
        <v>10334</v>
      </c>
      <c r="E70" s="10">
        <f>E69/E66</f>
        <v>10334</v>
      </c>
    </row>
    <row r="71" spans="1:5" ht="15.75" thickBot="1" x14ac:dyDescent="0.3">
      <c r="A71" s="5" t="s">
        <v>22</v>
      </c>
      <c r="B71" s="225"/>
      <c r="C71" s="11">
        <f>C66/B66-1</f>
        <v>0</v>
      </c>
      <c r="D71" s="11">
        <f>D66/C66-1</f>
        <v>0</v>
      </c>
      <c r="E71" s="11">
        <f>E66/D66-1</f>
        <v>0</v>
      </c>
    </row>
    <row r="72" spans="1:5" ht="15.75" thickBot="1" x14ac:dyDescent="0.3">
      <c r="A72" s="5" t="s">
        <v>24</v>
      </c>
      <c r="B72" s="225"/>
      <c r="C72" s="11">
        <f t="shared" ref="C72:E73" si="1">C69/B69-1</f>
        <v>4.204900675607548E-2</v>
      </c>
      <c r="D72" s="11">
        <f t="shared" si="1"/>
        <v>0</v>
      </c>
      <c r="E72" s="11">
        <f t="shared" si="1"/>
        <v>0</v>
      </c>
    </row>
    <row r="73" spans="1:5" ht="23.25" thickBot="1" x14ac:dyDescent="0.3">
      <c r="A73" s="5" t="s">
        <v>25</v>
      </c>
      <c r="B73" s="225"/>
      <c r="C73" s="11">
        <f t="shared" si="1"/>
        <v>4.204900675607548E-2</v>
      </c>
      <c r="D73" s="11">
        <f t="shared" si="1"/>
        <v>0</v>
      </c>
      <c r="E73" s="11">
        <f t="shared" si="1"/>
        <v>0</v>
      </c>
    </row>
    <row r="74" spans="1:5" ht="24.75" customHeight="1" thickBot="1" x14ac:dyDescent="0.3">
      <c r="A74" s="1252" t="s">
        <v>634</v>
      </c>
      <c r="B74" s="1253"/>
      <c r="C74" s="1253"/>
      <c r="D74" s="1253"/>
      <c r="E74" s="1300"/>
    </row>
    <row r="75" spans="1:5" ht="12.75" customHeight="1" x14ac:dyDescent="0.25">
      <c r="A75" s="1250"/>
      <c r="B75" s="8">
        <v>2018</v>
      </c>
      <c r="C75" s="8">
        <v>2019</v>
      </c>
      <c r="D75" s="8">
        <v>2020</v>
      </c>
      <c r="E75" s="8">
        <v>2021</v>
      </c>
    </row>
    <row r="76" spans="1:5" ht="9" customHeight="1" thickBot="1" x14ac:dyDescent="0.3">
      <c r="A76" s="1251"/>
      <c r="B76" s="9" t="s">
        <v>10</v>
      </c>
      <c r="C76" s="9" t="s">
        <v>11</v>
      </c>
      <c r="D76" s="9" t="s">
        <v>11</v>
      </c>
      <c r="E76" s="9" t="s">
        <v>11</v>
      </c>
    </row>
    <row r="77" spans="1:5" ht="24.75" customHeight="1" thickBot="1" x14ac:dyDescent="0.3">
      <c r="A77" s="13" t="s">
        <v>26</v>
      </c>
      <c r="B77" s="14">
        <v>5800</v>
      </c>
      <c r="C77" s="14">
        <v>5969</v>
      </c>
      <c r="D77" s="14">
        <v>5969</v>
      </c>
      <c r="E77" s="14">
        <v>5969</v>
      </c>
    </row>
    <row r="78" spans="1:5" ht="38.25" customHeight="1" thickBot="1" x14ac:dyDescent="0.3">
      <c r="A78" s="28" t="s">
        <v>27</v>
      </c>
      <c r="B78" s="15"/>
      <c r="C78" s="29"/>
      <c r="D78" s="29"/>
      <c r="E78" s="29"/>
    </row>
    <row r="79" spans="1:5" ht="24.75" customHeight="1" thickBot="1" x14ac:dyDescent="0.3">
      <c r="A79" s="28" t="s">
        <v>45</v>
      </c>
      <c r="B79" s="15"/>
      <c r="C79" s="29"/>
      <c r="D79" s="29"/>
      <c r="E79" s="29"/>
    </row>
    <row r="80" spans="1:5" ht="24.75" customHeight="1" thickBot="1" x14ac:dyDescent="0.3">
      <c r="A80" s="13" t="s">
        <v>28</v>
      </c>
      <c r="B80" s="14">
        <v>1000</v>
      </c>
      <c r="C80" s="14">
        <v>1165</v>
      </c>
      <c r="D80" s="14">
        <v>1165</v>
      </c>
      <c r="E80" s="14">
        <v>1165</v>
      </c>
    </row>
    <row r="81" spans="1:5" ht="39" customHeight="1" thickBot="1" x14ac:dyDescent="0.3">
      <c r="A81" s="28" t="s">
        <v>29</v>
      </c>
      <c r="B81" s="15"/>
      <c r="C81" s="14"/>
      <c r="D81" s="14"/>
      <c r="E81" s="14"/>
    </row>
    <row r="82" spans="1:5" ht="35.25" customHeight="1" thickBot="1" x14ac:dyDescent="0.3">
      <c r="A82" s="28" t="s">
        <v>46</v>
      </c>
      <c r="B82" s="15"/>
      <c r="C82" s="14"/>
      <c r="D82" s="14"/>
      <c r="E82" s="14"/>
    </row>
    <row r="83" spans="1:5" ht="24.75" customHeight="1" thickBot="1" x14ac:dyDescent="0.3">
      <c r="A83" s="13" t="s">
        <v>30</v>
      </c>
      <c r="B83" s="15">
        <v>3117</v>
      </c>
      <c r="C83" s="14">
        <v>3200</v>
      </c>
      <c r="D83" s="14">
        <v>3200</v>
      </c>
      <c r="E83" s="14">
        <v>3200</v>
      </c>
    </row>
    <row r="84" spans="1:5" ht="48.75" thickBot="1" x14ac:dyDescent="0.3">
      <c r="A84" s="28" t="s">
        <v>31</v>
      </c>
      <c r="B84" s="15"/>
      <c r="C84" s="14"/>
      <c r="D84" s="14"/>
      <c r="E84" s="14"/>
    </row>
    <row r="85" spans="1:5" ht="48.75" thickBot="1" x14ac:dyDescent="0.3">
      <c r="A85" s="28" t="s">
        <v>47</v>
      </c>
      <c r="B85" s="15"/>
      <c r="C85" s="14"/>
      <c r="D85" s="14"/>
      <c r="E85" s="14"/>
    </row>
    <row r="86" spans="1:5" ht="24.75" thickBot="1" x14ac:dyDescent="0.3">
      <c r="A86" s="13" t="s">
        <v>38</v>
      </c>
      <c r="B86" s="15"/>
      <c r="C86" s="14"/>
      <c r="D86" s="14"/>
      <c r="E86" s="14"/>
    </row>
    <row r="87" spans="1:5" ht="48.75" thickBot="1" x14ac:dyDescent="0.3">
      <c r="A87" s="28" t="s">
        <v>39</v>
      </c>
      <c r="B87" s="15"/>
      <c r="C87" s="14"/>
      <c r="D87" s="14"/>
      <c r="E87" s="14"/>
    </row>
    <row r="88" spans="1:5" ht="48.75" thickBot="1" x14ac:dyDescent="0.3">
      <c r="A88" s="28" t="s">
        <v>51</v>
      </c>
      <c r="B88" s="15"/>
      <c r="C88" s="14"/>
      <c r="D88" s="14"/>
      <c r="E88" s="14"/>
    </row>
    <row r="89" spans="1:5" ht="24.75" thickBot="1" x14ac:dyDescent="0.3">
      <c r="A89" s="135" t="s">
        <v>43</v>
      </c>
      <c r="B89" s="15">
        <f>B86+B80+B77+B83</f>
        <v>9917</v>
      </c>
      <c r="C89" s="15">
        <f>C86+C80+C77+C83</f>
        <v>10334</v>
      </c>
      <c r="D89" s="15">
        <f>D86+D80+D77+D83</f>
        <v>10334</v>
      </c>
      <c r="E89" s="15">
        <f>E86+E80+E77+E83</f>
        <v>10334</v>
      </c>
    </row>
    <row r="90" spans="1:5" x14ac:dyDescent="0.25">
      <c r="A90" s="1254" t="s">
        <v>116</v>
      </c>
      <c r="B90" s="1289"/>
      <c r="C90" s="1289"/>
      <c r="D90" s="1289"/>
      <c r="E90" s="1290"/>
    </row>
    <row r="91" spans="1:5" x14ac:dyDescent="0.25">
      <c r="A91" s="1255"/>
      <c r="B91" s="1292"/>
      <c r="C91" s="1292"/>
      <c r="D91" s="1292"/>
      <c r="E91" s="1293"/>
    </row>
    <row r="92" spans="1:5" ht="25.5" customHeight="1" thickBot="1" x14ac:dyDescent="0.3">
      <c r="A92" s="1256"/>
      <c r="B92" s="1295"/>
      <c r="C92" s="1295"/>
      <c r="D92" s="1295"/>
      <c r="E92" s="1296"/>
    </row>
    <row r="93" spans="1:5" ht="17.25" customHeight="1" thickBot="1" x14ac:dyDescent="0.3">
      <c r="A93" s="17" t="s">
        <v>41</v>
      </c>
      <c r="B93" s="18">
        <f>IF(B89-B69=0,0,"Error")</f>
        <v>0</v>
      </c>
      <c r="C93" s="18">
        <f>IF(C89-C69=0,0,"Error")</f>
        <v>0</v>
      </c>
      <c r="D93" s="18">
        <f>IF(D89-D69=0,0,"Error")</f>
        <v>0</v>
      </c>
      <c r="E93" s="18">
        <f>IF(E89-E69=0,0,"Error")</f>
        <v>0</v>
      </c>
    </row>
    <row r="94" spans="1:5" ht="22.5" customHeight="1" thickBot="1" x14ac:dyDescent="0.3">
      <c r="A94" s="213" t="s">
        <v>44</v>
      </c>
      <c r="B94" s="1330" t="s">
        <v>700</v>
      </c>
      <c r="C94" s="1331"/>
      <c r="D94" s="1331"/>
      <c r="E94" s="1332"/>
    </row>
    <row r="95" spans="1:5" ht="19.5" customHeight="1" thickBot="1" x14ac:dyDescent="0.3">
      <c r="A95" s="5" t="s">
        <v>17</v>
      </c>
      <c r="B95" s="1330" t="s">
        <v>700</v>
      </c>
      <c r="C95" s="1331"/>
      <c r="D95" s="1331"/>
      <c r="E95" s="1332"/>
    </row>
    <row r="96" spans="1:5" ht="15.75" thickBot="1" x14ac:dyDescent="0.3">
      <c r="A96" s="5" t="s">
        <v>18</v>
      </c>
      <c r="B96" s="1248" t="s">
        <v>701</v>
      </c>
      <c r="C96" s="1249"/>
      <c r="D96" s="1249"/>
      <c r="E96" s="1316"/>
    </row>
    <row r="97" spans="1:5" ht="15.75" thickBot="1" x14ac:dyDescent="0.3">
      <c r="A97" s="5" t="s">
        <v>19</v>
      </c>
      <c r="B97" s="10">
        <v>1</v>
      </c>
      <c r="C97" s="10">
        <v>0</v>
      </c>
      <c r="D97" s="10">
        <v>0</v>
      </c>
      <c r="E97" s="10">
        <v>0</v>
      </c>
    </row>
    <row r="98" spans="1:5" ht="12.75" customHeight="1" x14ac:dyDescent="0.25">
      <c r="A98" s="1250"/>
      <c r="B98" s="8">
        <v>2018</v>
      </c>
      <c r="C98" s="8">
        <v>2019</v>
      </c>
      <c r="D98" s="8">
        <v>2020</v>
      </c>
      <c r="E98" s="8">
        <v>2021</v>
      </c>
    </row>
    <row r="99" spans="1:5" ht="9" customHeight="1" thickBot="1" x14ac:dyDescent="0.3">
      <c r="A99" s="1251"/>
      <c r="B99" s="9" t="s">
        <v>10</v>
      </c>
      <c r="C99" s="9" t="s">
        <v>11</v>
      </c>
      <c r="D99" s="9" t="s">
        <v>11</v>
      </c>
      <c r="E99" s="9" t="s">
        <v>11</v>
      </c>
    </row>
    <row r="100" spans="1:5" ht="15.75" thickBot="1" x14ac:dyDescent="0.3">
      <c r="A100" s="5" t="s">
        <v>20</v>
      </c>
      <c r="B100" s="10">
        <v>7865</v>
      </c>
      <c r="C100" s="10">
        <v>0</v>
      </c>
      <c r="D100" s="10">
        <v>0</v>
      </c>
      <c r="E100" s="10">
        <v>0</v>
      </c>
    </row>
    <row r="101" spans="1:5" ht="15.75" thickBot="1" x14ac:dyDescent="0.3">
      <c r="A101" s="5" t="s">
        <v>21</v>
      </c>
      <c r="B101" s="10">
        <f>B100/B97</f>
        <v>7865</v>
      </c>
      <c r="C101" s="10" t="e">
        <f>C100/C97</f>
        <v>#DIV/0!</v>
      </c>
      <c r="D101" s="10" t="e">
        <f>D100/D97</f>
        <v>#DIV/0!</v>
      </c>
      <c r="E101" s="10" t="e">
        <f>E100/E97</f>
        <v>#DIV/0!</v>
      </c>
    </row>
    <row r="102" spans="1:5" ht="15.75" thickBot="1" x14ac:dyDescent="0.3">
      <c r="A102" s="5" t="s">
        <v>22</v>
      </c>
      <c r="B102" s="225"/>
      <c r="C102" s="11">
        <f>C97/B97-1</f>
        <v>-1</v>
      </c>
      <c r="D102" s="11" t="e">
        <f>D97/C97-1</f>
        <v>#DIV/0!</v>
      </c>
      <c r="E102" s="11" t="e">
        <f>E97/D97-1</f>
        <v>#DIV/0!</v>
      </c>
    </row>
    <row r="103" spans="1:5" ht="15.75" thickBot="1" x14ac:dyDescent="0.3">
      <c r="A103" s="5" t="s">
        <v>24</v>
      </c>
      <c r="B103" s="225"/>
      <c r="C103" s="11">
        <f t="shared" ref="C103:E104" si="2">C100/B100-1</f>
        <v>-1</v>
      </c>
      <c r="D103" s="11" t="e">
        <f t="shared" si="2"/>
        <v>#DIV/0!</v>
      </c>
      <c r="E103" s="11" t="e">
        <f t="shared" si="2"/>
        <v>#DIV/0!</v>
      </c>
    </row>
    <row r="104" spans="1:5" ht="23.25" thickBot="1" x14ac:dyDescent="0.3">
      <c r="A104" s="5" t="s">
        <v>25</v>
      </c>
      <c r="B104" s="225"/>
      <c r="C104" s="11" t="e">
        <f t="shared" si="2"/>
        <v>#DIV/0!</v>
      </c>
      <c r="D104" s="11" t="e">
        <f t="shared" si="2"/>
        <v>#DIV/0!</v>
      </c>
      <c r="E104" s="11" t="e">
        <f t="shared" si="2"/>
        <v>#DIV/0!</v>
      </c>
    </row>
    <row r="105" spans="1:5" ht="24.75" customHeight="1" thickBot="1" x14ac:dyDescent="0.3">
      <c r="A105" s="1252" t="s">
        <v>1408</v>
      </c>
      <c r="B105" s="1253"/>
      <c r="C105" s="1253"/>
      <c r="D105" s="1253"/>
      <c r="E105" s="1300"/>
    </row>
    <row r="106" spans="1:5" ht="12.75" customHeight="1" x14ac:dyDescent="0.25">
      <c r="A106" s="1250"/>
      <c r="B106" s="8">
        <v>2018</v>
      </c>
      <c r="C106" s="8">
        <v>2019</v>
      </c>
      <c r="D106" s="8">
        <v>2020</v>
      </c>
      <c r="E106" s="8">
        <v>2021</v>
      </c>
    </row>
    <row r="107" spans="1:5" ht="9" customHeight="1" thickBot="1" x14ac:dyDescent="0.3">
      <c r="A107" s="1251"/>
      <c r="B107" s="9" t="s">
        <v>10</v>
      </c>
      <c r="C107" s="9" t="s">
        <v>11</v>
      </c>
      <c r="D107" s="9" t="s">
        <v>11</v>
      </c>
      <c r="E107" s="9" t="s">
        <v>11</v>
      </c>
    </row>
    <row r="108" spans="1:5" ht="24.75" customHeight="1" thickBot="1" x14ac:dyDescent="0.3">
      <c r="A108" s="13" t="s">
        <v>26</v>
      </c>
      <c r="B108" s="14">
        <v>4412</v>
      </c>
      <c r="C108" s="14">
        <v>0</v>
      </c>
      <c r="D108" s="14">
        <v>0</v>
      </c>
      <c r="E108" s="14">
        <v>0</v>
      </c>
    </row>
    <row r="109" spans="1:5" ht="38.25" customHeight="1" thickBot="1" x14ac:dyDescent="0.3">
      <c r="A109" s="28" t="s">
        <v>27</v>
      </c>
      <c r="B109" s="15"/>
      <c r="C109" s="29"/>
      <c r="D109" s="29"/>
      <c r="E109" s="29"/>
    </row>
    <row r="110" spans="1:5" ht="24.75" customHeight="1" thickBot="1" x14ac:dyDescent="0.3">
      <c r="A110" s="28" t="s">
        <v>45</v>
      </c>
      <c r="B110" s="15"/>
      <c r="C110" s="29"/>
      <c r="D110" s="29"/>
      <c r="E110" s="29"/>
    </row>
    <row r="111" spans="1:5" ht="24.75" customHeight="1" thickBot="1" x14ac:dyDescent="0.3">
      <c r="A111" s="13" t="s">
        <v>28</v>
      </c>
      <c r="B111" s="14">
        <v>863</v>
      </c>
      <c r="C111" s="14">
        <v>0</v>
      </c>
      <c r="D111" s="14">
        <v>0</v>
      </c>
      <c r="E111" s="14">
        <v>0</v>
      </c>
    </row>
    <row r="112" spans="1:5" ht="39" customHeight="1" thickBot="1" x14ac:dyDescent="0.3">
      <c r="A112" s="28" t="s">
        <v>29</v>
      </c>
      <c r="B112" s="15"/>
      <c r="C112" s="14"/>
      <c r="D112" s="14"/>
      <c r="E112" s="14"/>
    </row>
    <row r="113" spans="1:5" ht="35.25" customHeight="1" thickBot="1" x14ac:dyDescent="0.3">
      <c r="A113" s="28" t="s">
        <v>46</v>
      </c>
      <c r="B113" s="15"/>
      <c r="C113" s="14"/>
      <c r="D113" s="14"/>
      <c r="E113" s="14"/>
    </row>
    <row r="114" spans="1:5" ht="24.75" customHeight="1" thickBot="1" x14ac:dyDescent="0.3">
      <c r="A114" s="13" t="s">
        <v>30</v>
      </c>
      <c r="B114" s="15">
        <v>2590</v>
      </c>
      <c r="C114" s="14">
        <v>0</v>
      </c>
      <c r="D114" s="14">
        <v>0</v>
      </c>
      <c r="E114" s="14">
        <v>0</v>
      </c>
    </row>
    <row r="115" spans="1:5" ht="48.75" thickBot="1" x14ac:dyDescent="0.3">
      <c r="A115" s="28" t="s">
        <v>31</v>
      </c>
      <c r="B115" s="15"/>
      <c r="C115" s="14"/>
      <c r="D115" s="14"/>
      <c r="E115" s="14"/>
    </row>
    <row r="116" spans="1:5" ht="48.75" thickBot="1" x14ac:dyDescent="0.3">
      <c r="A116" s="28" t="s">
        <v>47</v>
      </c>
      <c r="B116" s="15"/>
      <c r="C116" s="14"/>
      <c r="D116" s="14"/>
      <c r="E116" s="14"/>
    </row>
    <row r="117" spans="1:5" ht="24.75" thickBot="1" x14ac:dyDescent="0.3">
      <c r="A117" s="13" t="s">
        <v>38</v>
      </c>
      <c r="B117" s="15"/>
      <c r="C117" s="14"/>
      <c r="D117" s="14"/>
      <c r="E117" s="14"/>
    </row>
    <row r="118" spans="1:5" ht="48.75" thickBot="1" x14ac:dyDescent="0.3">
      <c r="A118" s="28" t="s">
        <v>39</v>
      </c>
      <c r="B118" s="15"/>
      <c r="C118" s="14"/>
      <c r="D118" s="14"/>
      <c r="E118" s="14"/>
    </row>
    <row r="119" spans="1:5" ht="48.75" thickBot="1" x14ac:dyDescent="0.3">
      <c r="A119" s="28" t="s">
        <v>51</v>
      </c>
      <c r="B119" s="15"/>
      <c r="C119" s="14"/>
      <c r="D119" s="14"/>
      <c r="E119" s="14"/>
    </row>
    <row r="120" spans="1:5" ht="24.75" thickBot="1" x14ac:dyDescent="0.3">
      <c r="A120" s="135" t="s">
        <v>74</v>
      </c>
      <c r="B120" s="15">
        <f>B117+B111+B108+B114</f>
        <v>7865</v>
      </c>
      <c r="C120" s="15">
        <f>C117+C111+C108+C114</f>
        <v>0</v>
      </c>
      <c r="D120" s="15">
        <f>D117+D111+D108+D114</f>
        <v>0</v>
      </c>
      <c r="E120" s="15">
        <f>E117+E111+E108+E114</f>
        <v>0</v>
      </c>
    </row>
    <row r="121" spans="1:5" x14ac:dyDescent="0.25">
      <c r="A121" s="1254" t="s">
        <v>116</v>
      </c>
      <c r="B121" s="1289"/>
      <c r="C121" s="1289"/>
      <c r="D121" s="1289"/>
      <c r="E121" s="1290"/>
    </row>
    <row r="122" spans="1:5" x14ac:dyDescent="0.25">
      <c r="A122" s="1255"/>
      <c r="B122" s="1292"/>
      <c r="C122" s="1292"/>
      <c r="D122" s="1292"/>
      <c r="E122" s="1293"/>
    </row>
    <row r="123" spans="1:5" ht="25.5" customHeight="1" thickBot="1" x14ac:dyDescent="0.3">
      <c r="A123" s="1256"/>
      <c r="B123" s="1295"/>
      <c r="C123" s="1295"/>
      <c r="D123" s="1295"/>
      <c r="E123" s="1296"/>
    </row>
    <row r="124" spans="1:5" ht="17.25" customHeight="1" thickBot="1" x14ac:dyDescent="0.3">
      <c r="A124" s="17" t="s">
        <v>41</v>
      </c>
      <c r="B124" s="18">
        <f>IF(B120-B100=0,0,"Error")</f>
        <v>0</v>
      </c>
      <c r="C124" s="18">
        <f>IF(C120-C100=0,0,"Error")</f>
        <v>0</v>
      </c>
      <c r="D124" s="18">
        <f>IF(D120-D100=0,0,"Error")</f>
        <v>0</v>
      </c>
      <c r="E124" s="18">
        <f>IF(E120-E100=0,0,"Error")</f>
        <v>0</v>
      </c>
    </row>
    <row r="125" spans="1:5" ht="17.25" customHeight="1" thickBot="1" x14ac:dyDescent="0.3">
      <c r="A125" s="813"/>
      <c r="B125" s="812"/>
      <c r="C125" s="812"/>
      <c r="D125" s="812"/>
      <c r="E125" s="811"/>
    </row>
    <row r="126" spans="1:5" ht="15.75" thickBot="1" x14ac:dyDescent="0.3">
      <c r="A126" s="1275" t="s">
        <v>55</v>
      </c>
      <c r="B126" s="1276"/>
      <c r="C126" s="1276"/>
      <c r="D126" s="1276"/>
      <c r="E126" s="1317"/>
    </row>
    <row r="127" spans="1:5" ht="15.75" thickBot="1" x14ac:dyDescent="0.3">
      <c r="A127" s="1275" t="s">
        <v>56</v>
      </c>
      <c r="B127" s="1276"/>
      <c r="C127" s="1276"/>
      <c r="D127" s="1276"/>
      <c r="E127" s="1317"/>
    </row>
    <row r="128" spans="1:5" ht="15.75" thickBot="1" x14ac:dyDescent="0.3">
      <c r="A128" s="20" t="s">
        <v>702</v>
      </c>
      <c r="B128" s="1241" t="s">
        <v>124</v>
      </c>
      <c r="C128" s="1242"/>
      <c r="D128" s="1242"/>
      <c r="E128" s="1318"/>
    </row>
    <row r="129" spans="1:9" ht="19.5" customHeight="1" thickBot="1" x14ac:dyDescent="0.3">
      <c r="A129" s="7" t="s">
        <v>16</v>
      </c>
      <c r="B129" s="1330" t="s">
        <v>703</v>
      </c>
      <c r="C129" s="1331"/>
      <c r="D129" s="1331"/>
      <c r="E129" s="1332"/>
    </row>
    <row r="130" spans="1:9" ht="24.75" customHeight="1" thickBot="1" x14ac:dyDescent="0.3">
      <c r="A130" s="5" t="s">
        <v>17</v>
      </c>
      <c r="B130" s="1245" t="s">
        <v>704</v>
      </c>
      <c r="C130" s="1246"/>
      <c r="D130" s="1246"/>
      <c r="E130" s="1298"/>
    </row>
    <row r="131" spans="1:9" ht="15.75" thickBot="1" x14ac:dyDescent="0.3">
      <c r="A131" s="5" t="s">
        <v>18</v>
      </c>
      <c r="B131" s="1248" t="s">
        <v>1406</v>
      </c>
      <c r="C131" s="1249"/>
      <c r="D131" s="1249"/>
      <c r="E131" s="1316"/>
    </row>
    <row r="132" spans="1:9" ht="12.75" customHeight="1" x14ac:dyDescent="0.25">
      <c r="A132" s="1250"/>
      <c r="B132" s="8">
        <v>2018</v>
      </c>
      <c r="C132" s="8">
        <v>2019</v>
      </c>
      <c r="D132" s="8">
        <v>2020</v>
      </c>
      <c r="E132" s="8">
        <v>2021</v>
      </c>
    </row>
    <row r="133" spans="1:9" ht="9" customHeight="1" thickBot="1" x14ac:dyDescent="0.3">
      <c r="A133" s="1251"/>
      <c r="B133" s="9" t="s">
        <v>10</v>
      </c>
      <c r="C133" s="9" t="s">
        <v>11</v>
      </c>
      <c r="D133" s="9" t="s">
        <v>11</v>
      </c>
      <c r="E133" s="9" t="s">
        <v>11</v>
      </c>
    </row>
    <row r="134" spans="1:9" ht="15.75" thickBot="1" x14ac:dyDescent="0.3">
      <c r="A134" s="5" t="s">
        <v>19</v>
      </c>
      <c r="B134" s="10">
        <v>4</v>
      </c>
      <c r="C134" s="10">
        <v>6</v>
      </c>
      <c r="D134" s="10">
        <v>12</v>
      </c>
      <c r="E134" s="10">
        <v>12</v>
      </c>
    </row>
    <row r="135" spans="1:9" ht="15.75" thickBot="1" x14ac:dyDescent="0.3">
      <c r="A135" s="5" t="s">
        <v>20</v>
      </c>
      <c r="B135" s="10">
        <v>224</v>
      </c>
      <c r="C135" s="10">
        <v>3000</v>
      </c>
      <c r="D135" s="10">
        <v>3000</v>
      </c>
      <c r="E135" s="10">
        <v>5000</v>
      </c>
    </row>
    <row r="136" spans="1:9" ht="15.75" thickBot="1" x14ac:dyDescent="0.3">
      <c r="A136" s="5" t="s">
        <v>21</v>
      </c>
      <c r="B136" s="10">
        <f>B135/B134</f>
        <v>56</v>
      </c>
      <c r="C136" s="10">
        <f>C135/C134</f>
        <v>500</v>
      </c>
      <c r="D136" s="10">
        <f>D135/D134</f>
        <v>250</v>
      </c>
      <c r="E136" s="10">
        <f>E135/E134</f>
        <v>416.66666666666669</v>
      </c>
    </row>
    <row r="137" spans="1:9" ht="15.75" thickBot="1" x14ac:dyDescent="0.3">
      <c r="A137" s="5" t="s">
        <v>22</v>
      </c>
      <c r="B137" s="225" t="s">
        <v>23</v>
      </c>
      <c r="C137" s="11">
        <f t="shared" ref="C137:E139" si="3">C134/B134-1</f>
        <v>0.5</v>
      </c>
      <c r="D137" s="11">
        <f t="shared" si="3"/>
        <v>1</v>
      </c>
      <c r="E137" s="11">
        <f t="shared" si="3"/>
        <v>0</v>
      </c>
      <c r="F137" s="12"/>
      <c r="G137" s="12"/>
      <c r="H137" s="12"/>
      <c r="I137" s="12"/>
    </row>
    <row r="138" spans="1:9" ht="15.75" thickBot="1" x14ac:dyDescent="0.3">
      <c r="A138" s="5" t="s">
        <v>24</v>
      </c>
      <c r="B138" s="225" t="s">
        <v>23</v>
      </c>
      <c r="C138" s="11">
        <f t="shared" si="3"/>
        <v>12.392857142857142</v>
      </c>
      <c r="D138" s="11">
        <f t="shared" si="3"/>
        <v>0</v>
      </c>
      <c r="E138" s="11">
        <f t="shared" si="3"/>
        <v>0.66666666666666674</v>
      </c>
    </row>
    <row r="139" spans="1:9" ht="23.25" thickBot="1" x14ac:dyDescent="0.3">
      <c r="A139" s="5" t="s">
        <v>25</v>
      </c>
      <c r="B139" s="225" t="s">
        <v>23</v>
      </c>
      <c r="C139" s="11">
        <f t="shared" si="3"/>
        <v>7.9285714285714288</v>
      </c>
      <c r="D139" s="11">
        <f t="shared" si="3"/>
        <v>-0.5</v>
      </c>
      <c r="E139" s="11">
        <f t="shared" si="3"/>
        <v>0.66666666666666674</v>
      </c>
    </row>
    <row r="140" spans="1:9" ht="15.75" customHeight="1" thickBot="1" x14ac:dyDescent="0.3">
      <c r="A140" s="1252" t="s">
        <v>633</v>
      </c>
      <c r="B140" s="1253"/>
      <c r="C140" s="1253"/>
      <c r="D140" s="1253"/>
      <c r="E140" s="1300"/>
    </row>
    <row r="141" spans="1:9" ht="12.75" customHeight="1" x14ac:dyDescent="0.25">
      <c r="A141" s="1250"/>
      <c r="B141" s="8">
        <v>2018</v>
      </c>
      <c r="C141" s="8">
        <v>2019</v>
      </c>
      <c r="D141" s="8">
        <v>2020</v>
      </c>
      <c r="E141" s="8">
        <v>2021</v>
      </c>
    </row>
    <row r="142" spans="1:9" ht="9" customHeight="1" thickBot="1" x14ac:dyDescent="0.3">
      <c r="A142" s="1251"/>
      <c r="B142" s="9" t="s">
        <v>10</v>
      </c>
      <c r="C142" s="9" t="s">
        <v>11</v>
      </c>
      <c r="D142" s="9" t="s">
        <v>11</v>
      </c>
      <c r="E142" s="9" t="s">
        <v>11</v>
      </c>
    </row>
    <row r="143" spans="1:9" ht="15.75" thickBot="1" x14ac:dyDescent="0.3">
      <c r="A143" s="13" t="s">
        <v>58</v>
      </c>
      <c r="B143" s="14"/>
      <c r="C143" s="14"/>
      <c r="D143" s="14"/>
      <c r="E143" s="14"/>
    </row>
    <row r="144" spans="1:9" ht="15.75" thickBot="1" x14ac:dyDescent="0.3">
      <c r="A144" s="13" t="s">
        <v>59</v>
      </c>
      <c r="B144" s="15">
        <v>224</v>
      </c>
      <c r="C144" s="14">
        <v>3000</v>
      </c>
      <c r="D144" s="14">
        <v>3000</v>
      </c>
      <c r="E144" s="14">
        <v>5000</v>
      </c>
    </row>
    <row r="145" spans="1:9" ht="24.75" thickBot="1" x14ac:dyDescent="0.3">
      <c r="A145" s="16" t="s">
        <v>40</v>
      </c>
      <c r="B145" s="15">
        <f>B144+B143</f>
        <v>224</v>
      </c>
      <c r="C145" s="15">
        <f>C144+C143</f>
        <v>3000</v>
      </c>
      <c r="D145" s="15">
        <f>D144+D143</f>
        <v>3000</v>
      </c>
      <c r="E145" s="15">
        <f>E144+E143</f>
        <v>5000</v>
      </c>
    </row>
    <row r="146" spans="1:9" ht="15" customHeight="1" x14ac:dyDescent="0.25">
      <c r="A146" s="1254" t="s">
        <v>60</v>
      </c>
      <c r="B146" s="1387" t="s">
        <v>705</v>
      </c>
      <c r="C146" s="1388"/>
      <c r="D146" s="1388"/>
      <c r="E146" s="1389"/>
    </row>
    <row r="147" spans="1:9" x14ac:dyDescent="0.25">
      <c r="A147" s="1255"/>
      <c r="B147" s="1390"/>
      <c r="C147" s="1391"/>
      <c r="D147" s="1391"/>
      <c r="E147" s="1392"/>
    </row>
    <row r="148" spans="1:9" ht="15.75" thickBot="1" x14ac:dyDescent="0.3">
      <c r="A148" s="1256"/>
      <c r="B148" s="1393"/>
      <c r="C148" s="1394"/>
      <c r="D148" s="1394"/>
      <c r="E148" s="1395"/>
    </row>
    <row r="149" spans="1:9" ht="15.75" thickBot="1" x14ac:dyDescent="0.3">
      <c r="A149" s="20" t="s">
        <v>706</v>
      </c>
      <c r="B149" s="1241" t="s">
        <v>124</v>
      </c>
      <c r="C149" s="1242"/>
      <c r="D149" s="1242"/>
      <c r="E149" s="1318"/>
    </row>
    <row r="150" spans="1:9" ht="15.75" thickBot="1" x14ac:dyDescent="0.3">
      <c r="A150" s="7" t="s">
        <v>42</v>
      </c>
      <c r="B150" s="1243" t="s">
        <v>707</v>
      </c>
      <c r="C150" s="1244"/>
      <c r="D150" s="1244"/>
      <c r="E150" s="1315"/>
    </row>
    <row r="151" spans="1:9" ht="36.75" customHeight="1" thickBot="1" x14ac:dyDescent="0.3">
      <c r="A151" s="5" t="s">
        <v>17</v>
      </c>
      <c r="B151" s="1245" t="s">
        <v>708</v>
      </c>
      <c r="C151" s="1246"/>
      <c r="D151" s="1246"/>
      <c r="E151" s="1298"/>
    </row>
    <row r="152" spans="1:9" ht="15.75" thickBot="1" x14ac:dyDescent="0.3">
      <c r="A152" s="5" t="s">
        <v>18</v>
      </c>
      <c r="B152" s="1248" t="s">
        <v>1407</v>
      </c>
      <c r="C152" s="1249"/>
      <c r="D152" s="1249"/>
      <c r="E152" s="1316"/>
    </row>
    <row r="153" spans="1:9" ht="12.75" customHeight="1" x14ac:dyDescent="0.25">
      <c r="A153" s="1250"/>
      <c r="B153" s="8">
        <v>2018</v>
      </c>
      <c r="C153" s="8">
        <v>2019</v>
      </c>
      <c r="D153" s="8">
        <v>2020</v>
      </c>
      <c r="E153" s="8">
        <v>2021</v>
      </c>
    </row>
    <row r="154" spans="1:9" ht="9" customHeight="1" thickBot="1" x14ac:dyDescent="0.3">
      <c r="A154" s="1251"/>
      <c r="B154" s="9" t="s">
        <v>10</v>
      </c>
      <c r="C154" s="9" t="s">
        <v>11</v>
      </c>
      <c r="D154" s="9" t="s">
        <v>11</v>
      </c>
      <c r="E154" s="9" t="s">
        <v>11</v>
      </c>
    </row>
    <row r="155" spans="1:9" ht="15.75" thickBot="1" x14ac:dyDescent="0.3">
      <c r="A155" s="5" t="s">
        <v>19</v>
      </c>
      <c r="B155" s="10">
        <v>1</v>
      </c>
      <c r="C155" s="10"/>
      <c r="D155" s="10"/>
      <c r="E155" s="10"/>
    </row>
    <row r="156" spans="1:9" ht="15.75" thickBot="1" x14ac:dyDescent="0.3">
      <c r="A156" s="5" t="s">
        <v>20</v>
      </c>
      <c r="B156" s="10">
        <v>6954</v>
      </c>
      <c r="C156" s="10">
        <v>0</v>
      </c>
      <c r="D156" s="10">
        <v>0</v>
      </c>
      <c r="E156" s="10">
        <v>0</v>
      </c>
    </row>
    <row r="157" spans="1:9" ht="15.75" thickBot="1" x14ac:dyDescent="0.3">
      <c r="A157" s="5" t="s">
        <v>21</v>
      </c>
      <c r="B157" s="10">
        <f>B156/B155</f>
        <v>6954</v>
      </c>
      <c r="C157" s="10" t="e">
        <f>C156/C155</f>
        <v>#DIV/0!</v>
      </c>
      <c r="D157" s="10" t="e">
        <f>D156/D155</f>
        <v>#DIV/0!</v>
      </c>
      <c r="E157" s="10" t="e">
        <f>E156/E155</f>
        <v>#DIV/0!</v>
      </c>
    </row>
    <row r="158" spans="1:9" ht="15.75" thickBot="1" x14ac:dyDescent="0.3">
      <c r="A158" s="5" t="s">
        <v>22</v>
      </c>
      <c r="B158" s="225" t="s">
        <v>23</v>
      </c>
      <c r="C158" s="11">
        <f t="shared" ref="C158:E160" si="4">C155/B155-1</f>
        <v>-1</v>
      </c>
      <c r="D158" s="11" t="e">
        <f t="shared" si="4"/>
        <v>#DIV/0!</v>
      </c>
      <c r="E158" s="11" t="e">
        <f t="shared" si="4"/>
        <v>#DIV/0!</v>
      </c>
      <c r="F158" s="12"/>
      <c r="G158" s="12"/>
      <c r="H158" s="12"/>
      <c r="I158" s="12"/>
    </row>
    <row r="159" spans="1:9" ht="15.75" thickBot="1" x14ac:dyDescent="0.3">
      <c r="A159" s="5" t="s">
        <v>24</v>
      </c>
      <c r="B159" s="225" t="s">
        <v>23</v>
      </c>
      <c r="C159" s="11">
        <f t="shared" si="4"/>
        <v>-1</v>
      </c>
      <c r="D159" s="11" t="e">
        <f t="shared" si="4"/>
        <v>#DIV/0!</v>
      </c>
      <c r="E159" s="11" t="e">
        <f t="shared" si="4"/>
        <v>#DIV/0!</v>
      </c>
    </row>
    <row r="160" spans="1:9" ht="23.25" thickBot="1" x14ac:dyDescent="0.3">
      <c r="A160" s="5" t="s">
        <v>25</v>
      </c>
      <c r="B160" s="225" t="s">
        <v>23</v>
      </c>
      <c r="C160" s="11" t="e">
        <f t="shared" si="4"/>
        <v>#DIV/0!</v>
      </c>
      <c r="D160" s="11" t="e">
        <f t="shared" si="4"/>
        <v>#DIV/0!</v>
      </c>
      <c r="E160" s="11" t="e">
        <f t="shared" si="4"/>
        <v>#DIV/0!</v>
      </c>
    </row>
    <row r="161" spans="1:5" ht="15.75" thickBot="1" x14ac:dyDescent="0.3">
      <c r="A161" s="1252" t="s">
        <v>884</v>
      </c>
      <c r="B161" s="1253"/>
      <c r="C161" s="1253"/>
      <c r="D161" s="1253"/>
      <c r="E161" s="1300"/>
    </row>
    <row r="162" spans="1:5" ht="12.75" customHeight="1" x14ac:dyDescent="0.25">
      <c r="A162" s="1250"/>
      <c r="B162" s="8">
        <v>2018</v>
      </c>
      <c r="C162" s="8">
        <v>2019</v>
      </c>
      <c r="D162" s="8">
        <v>2020</v>
      </c>
      <c r="E162" s="8">
        <v>2021</v>
      </c>
    </row>
    <row r="163" spans="1:5" ht="9" customHeight="1" thickBot="1" x14ac:dyDescent="0.3">
      <c r="A163" s="1251"/>
      <c r="B163" s="9" t="s">
        <v>10</v>
      </c>
      <c r="C163" s="9" t="s">
        <v>11</v>
      </c>
      <c r="D163" s="9" t="s">
        <v>11</v>
      </c>
      <c r="E163" s="9" t="s">
        <v>11</v>
      </c>
    </row>
    <row r="164" spans="1:5" ht="15.75" thickBot="1" x14ac:dyDescent="0.3">
      <c r="A164" s="13" t="s">
        <v>58</v>
      </c>
      <c r="B164" s="14"/>
      <c r="C164" s="14"/>
      <c r="D164" s="14"/>
      <c r="E164" s="14"/>
    </row>
    <row r="165" spans="1:5" ht="15.75" thickBot="1" x14ac:dyDescent="0.3">
      <c r="A165" s="13" t="s">
        <v>59</v>
      </c>
      <c r="B165" s="15">
        <v>6954</v>
      </c>
      <c r="C165" s="14"/>
      <c r="D165" s="14"/>
      <c r="E165" s="14"/>
    </row>
    <row r="166" spans="1:5" ht="24.75" thickBot="1" x14ac:dyDescent="0.3">
      <c r="A166" s="16" t="s">
        <v>43</v>
      </c>
      <c r="B166" s="15">
        <f>B165+B164</f>
        <v>6954</v>
      </c>
      <c r="C166" s="15">
        <f>C165+C164</f>
        <v>0</v>
      </c>
      <c r="D166" s="15">
        <f>D165+D164</f>
        <v>0</v>
      </c>
      <c r="E166" s="15">
        <f>E165+E164</f>
        <v>0</v>
      </c>
    </row>
    <row r="167" spans="1:5" x14ac:dyDescent="0.25">
      <c r="A167" s="1254" t="s">
        <v>62</v>
      </c>
      <c r="B167" s="1322"/>
      <c r="C167" s="1289"/>
      <c r="D167" s="1289"/>
      <c r="E167" s="1290"/>
    </row>
    <row r="168" spans="1:5" x14ac:dyDescent="0.25">
      <c r="A168" s="1255"/>
      <c r="B168" s="1291"/>
      <c r="C168" s="1292"/>
      <c r="D168" s="1292"/>
      <c r="E168" s="1293"/>
    </row>
    <row r="169" spans="1:5" ht="15.75" thickBot="1" x14ac:dyDescent="0.3">
      <c r="A169" s="1256"/>
      <c r="B169" s="1294"/>
      <c r="C169" s="1295"/>
      <c r="D169" s="1295"/>
      <c r="E169" s="1296"/>
    </row>
    <row r="170" spans="1:5" ht="15.75" thickBot="1" x14ac:dyDescent="0.3">
      <c r="A170" s="20" t="s">
        <v>709</v>
      </c>
      <c r="B170" s="1241" t="s">
        <v>124</v>
      </c>
      <c r="C170" s="1242"/>
      <c r="D170" s="1242"/>
      <c r="E170" s="1318"/>
    </row>
    <row r="171" spans="1:5" ht="15.75" thickBot="1" x14ac:dyDescent="0.3">
      <c r="A171" s="7" t="s">
        <v>44</v>
      </c>
      <c r="B171" s="1243" t="s">
        <v>710</v>
      </c>
      <c r="C171" s="1244"/>
      <c r="D171" s="1244"/>
      <c r="E171" s="1315"/>
    </row>
    <row r="172" spans="1:5" ht="36.75" customHeight="1" thickBot="1" x14ac:dyDescent="0.3">
      <c r="A172" s="5" t="s">
        <v>17</v>
      </c>
      <c r="B172" s="1245" t="s">
        <v>711</v>
      </c>
      <c r="C172" s="1246"/>
      <c r="D172" s="1246"/>
      <c r="E172" s="1298"/>
    </row>
    <row r="173" spans="1:5" ht="15.75" thickBot="1" x14ac:dyDescent="0.3">
      <c r="A173" s="5" t="s">
        <v>18</v>
      </c>
      <c r="B173" s="1248" t="s">
        <v>1406</v>
      </c>
      <c r="C173" s="1249"/>
      <c r="D173" s="1249"/>
      <c r="E173" s="1316"/>
    </row>
    <row r="174" spans="1:5" ht="12.75" customHeight="1" x14ac:dyDescent="0.25">
      <c r="A174" s="1250"/>
      <c r="B174" s="8">
        <v>2018</v>
      </c>
      <c r="C174" s="8">
        <v>2019</v>
      </c>
      <c r="D174" s="8">
        <v>2020</v>
      </c>
      <c r="E174" s="8">
        <v>2021</v>
      </c>
    </row>
    <row r="175" spans="1:5" ht="9" customHeight="1" thickBot="1" x14ac:dyDescent="0.3">
      <c r="A175" s="1251"/>
      <c r="B175" s="9" t="s">
        <v>10</v>
      </c>
      <c r="C175" s="9" t="s">
        <v>11</v>
      </c>
      <c r="D175" s="9" t="s">
        <v>11</v>
      </c>
      <c r="E175" s="9" t="s">
        <v>11</v>
      </c>
    </row>
    <row r="176" spans="1:5" ht="15.75" thickBot="1" x14ac:dyDescent="0.3">
      <c r="A176" s="5" t="s">
        <v>19</v>
      </c>
      <c r="B176" s="10">
        <v>0</v>
      </c>
      <c r="C176" s="10"/>
      <c r="D176" s="10">
        <v>1</v>
      </c>
      <c r="E176" s="10"/>
    </row>
    <row r="177" spans="1:9" ht="15.75" thickBot="1" x14ac:dyDescent="0.3">
      <c r="A177" s="5" t="s">
        <v>20</v>
      </c>
      <c r="B177" s="10">
        <v>0</v>
      </c>
      <c r="C177" s="10">
        <v>0</v>
      </c>
      <c r="D177" s="10">
        <v>14000</v>
      </c>
      <c r="E177" s="10">
        <v>20000</v>
      </c>
    </row>
    <row r="178" spans="1:9" ht="15.75" thickBot="1" x14ac:dyDescent="0.3">
      <c r="A178" s="5" t="s">
        <v>21</v>
      </c>
      <c r="B178" s="10" t="e">
        <f>B177/B176</f>
        <v>#DIV/0!</v>
      </c>
      <c r="C178" s="10" t="e">
        <f>C177/C176</f>
        <v>#DIV/0!</v>
      </c>
      <c r="D178" s="10">
        <f>D177/D176</f>
        <v>14000</v>
      </c>
      <c r="E178" s="10" t="e">
        <f>E177/E176</f>
        <v>#DIV/0!</v>
      </c>
    </row>
    <row r="179" spans="1:9" ht="15.75" thickBot="1" x14ac:dyDescent="0.3">
      <c r="A179" s="5" t="s">
        <v>22</v>
      </c>
      <c r="B179" s="225" t="s">
        <v>23</v>
      </c>
      <c r="C179" s="11" t="e">
        <f t="shared" ref="C179:E181" si="5">C176/B176-1</f>
        <v>#DIV/0!</v>
      </c>
      <c r="D179" s="11" t="e">
        <f t="shared" si="5"/>
        <v>#DIV/0!</v>
      </c>
      <c r="E179" s="11">
        <f t="shared" si="5"/>
        <v>-1</v>
      </c>
      <c r="F179" s="12"/>
      <c r="G179" s="12"/>
      <c r="H179" s="12"/>
      <c r="I179" s="12"/>
    </row>
    <row r="180" spans="1:9" ht="15.75" thickBot="1" x14ac:dyDescent="0.3">
      <c r="A180" s="5" t="s">
        <v>24</v>
      </c>
      <c r="B180" s="225" t="s">
        <v>23</v>
      </c>
      <c r="C180" s="11" t="e">
        <f t="shared" si="5"/>
        <v>#DIV/0!</v>
      </c>
      <c r="D180" s="11" t="e">
        <f t="shared" si="5"/>
        <v>#DIV/0!</v>
      </c>
      <c r="E180" s="11">
        <f t="shared" si="5"/>
        <v>0.4285714285714286</v>
      </c>
    </row>
    <row r="181" spans="1:9" ht="23.25" thickBot="1" x14ac:dyDescent="0.3">
      <c r="A181" s="5" t="s">
        <v>25</v>
      </c>
      <c r="B181" s="225" t="s">
        <v>23</v>
      </c>
      <c r="C181" s="11" t="e">
        <f t="shared" si="5"/>
        <v>#DIV/0!</v>
      </c>
      <c r="D181" s="11" t="e">
        <f t="shared" si="5"/>
        <v>#DIV/0!</v>
      </c>
      <c r="E181" s="11" t="e">
        <f t="shared" si="5"/>
        <v>#DIV/0!</v>
      </c>
    </row>
    <row r="182" spans="1:9" ht="15.75" thickBot="1" x14ac:dyDescent="0.3">
      <c r="A182" s="1252" t="s">
        <v>884</v>
      </c>
      <c r="B182" s="1253"/>
      <c r="C182" s="1253"/>
      <c r="D182" s="1253"/>
      <c r="E182" s="1300"/>
    </row>
    <row r="183" spans="1:9" ht="12.75" customHeight="1" x14ac:dyDescent="0.25">
      <c r="A183" s="1250"/>
      <c r="B183" s="8">
        <v>2018</v>
      </c>
      <c r="C183" s="8">
        <v>2019</v>
      </c>
      <c r="D183" s="8">
        <v>2020</v>
      </c>
      <c r="E183" s="8">
        <v>2021</v>
      </c>
    </row>
    <row r="184" spans="1:9" ht="9" customHeight="1" thickBot="1" x14ac:dyDescent="0.3">
      <c r="A184" s="1251"/>
      <c r="B184" s="9" t="s">
        <v>10</v>
      </c>
      <c r="C184" s="9" t="s">
        <v>11</v>
      </c>
      <c r="D184" s="9" t="s">
        <v>11</v>
      </c>
      <c r="E184" s="9" t="s">
        <v>11</v>
      </c>
    </row>
    <row r="185" spans="1:9" ht="15.75" thickBot="1" x14ac:dyDescent="0.3">
      <c r="A185" s="13" t="s">
        <v>58</v>
      </c>
      <c r="B185" s="14"/>
      <c r="C185" s="14"/>
      <c r="D185" s="14"/>
      <c r="E185" s="14"/>
    </row>
    <row r="186" spans="1:9" ht="15.75" thickBot="1" x14ac:dyDescent="0.3">
      <c r="A186" s="13" t="s">
        <v>59</v>
      </c>
      <c r="B186" s="15"/>
      <c r="C186" s="14"/>
      <c r="D186" s="14">
        <v>14000</v>
      </c>
      <c r="E186" s="14">
        <v>20000</v>
      </c>
    </row>
    <row r="187" spans="1:9" ht="24.75" thickBot="1" x14ac:dyDescent="0.3">
      <c r="A187" s="16" t="s">
        <v>52</v>
      </c>
      <c r="B187" s="15">
        <f>B186+B185</f>
        <v>0</v>
      </c>
      <c r="C187" s="15">
        <f>C186+C185</f>
        <v>0</v>
      </c>
      <c r="D187" s="15">
        <f>D186+D185</f>
        <v>14000</v>
      </c>
      <c r="E187" s="15">
        <f>E186+E185</f>
        <v>20000</v>
      </c>
    </row>
    <row r="188" spans="1:9" x14ac:dyDescent="0.25">
      <c r="A188" s="1254" t="s">
        <v>62</v>
      </c>
      <c r="B188" s="1322"/>
      <c r="C188" s="1289"/>
      <c r="D188" s="1289"/>
      <c r="E188" s="1290"/>
    </row>
    <row r="189" spans="1:9" x14ac:dyDescent="0.25">
      <c r="A189" s="1255"/>
      <c r="B189" s="1291"/>
      <c r="C189" s="1292"/>
      <c r="D189" s="1292"/>
      <c r="E189" s="1293"/>
    </row>
    <row r="190" spans="1:9" ht="15.75" thickBot="1" x14ac:dyDescent="0.3">
      <c r="A190" s="1256"/>
      <c r="B190" s="1294"/>
      <c r="C190" s="1295"/>
      <c r="D190" s="1295"/>
      <c r="E190" s="1296"/>
    </row>
    <row r="191" spans="1:9" ht="15.75" thickBot="1" x14ac:dyDescent="0.3">
      <c r="A191" s="134"/>
      <c r="B191" s="222"/>
      <c r="C191" s="222"/>
      <c r="D191" s="222"/>
      <c r="E191" s="223"/>
    </row>
    <row r="192" spans="1:9" ht="15.75" thickBot="1" x14ac:dyDescent="0.3">
      <c r="A192" s="1275" t="s">
        <v>63</v>
      </c>
      <c r="B192" s="1276"/>
      <c r="C192" s="1276"/>
      <c r="D192" s="1276"/>
      <c r="E192" s="1317"/>
    </row>
    <row r="193" spans="1:9" ht="15.75" thickBot="1" x14ac:dyDescent="0.3">
      <c r="A193" s="1275" t="s">
        <v>64</v>
      </c>
      <c r="B193" s="1276"/>
      <c r="C193" s="1276"/>
      <c r="D193" s="1276"/>
      <c r="E193" s="1317"/>
    </row>
    <row r="194" spans="1:9" ht="15.75" thickBot="1" x14ac:dyDescent="0.3">
      <c r="A194" s="20" t="s">
        <v>712</v>
      </c>
      <c r="B194" s="1241" t="s">
        <v>124</v>
      </c>
      <c r="C194" s="1242"/>
      <c r="D194" s="1242"/>
      <c r="E194" s="1318"/>
    </row>
    <row r="195" spans="1:9" ht="21" customHeight="1" thickBot="1" x14ac:dyDescent="0.3">
      <c r="A195" s="7" t="s">
        <v>16</v>
      </c>
      <c r="B195" s="1330" t="s">
        <v>696</v>
      </c>
      <c r="C195" s="1331"/>
      <c r="D195" s="1331"/>
      <c r="E195" s="1332"/>
    </row>
    <row r="196" spans="1:9" ht="24" customHeight="1" thickBot="1" x14ac:dyDescent="0.3">
      <c r="A196" s="5" t="s">
        <v>17</v>
      </c>
      <c r="B196" s="1330" t="s">
        <v>697</v>
      </c>
      <c r="C196" s="1331"/>
      <c r="D196" s="1331"/>
      <c r="E196" s="1332"/>
    </row>
    <row r="197" spans="1:9" ht="15.75" thickBot="1" x14ac:dyDescent="0.3">
      <c r="A197" s="5" t="s">
        <v>18</v>
      </c>
      <c r="B197" s="1248" t="s">
        <v>1406</v>
      </c>
      <c r="C197" s="1249"/>
      <c r="D197" s="1249"/>
      <c r="E197" s="1316"/>
    </row>
    <row r="198" spans="1:9" ht="12.75" customHeight="1" x14ac:dyDescent="0.25">
      <c r="A198" s="1250"/>
      <c r="B198" s="8">
        <v>2018</v>
      </c>
      <c r="C198" s="8">
        <v>2019</v>
      </c>
      <c r="D198" s="8">
        <v>2020</v>
      </c>
      <c r="E198" s="8">
        <v>2021</v>
      </c>
    </row>
    <row r="199" spans="1:9" ht="9" customHeight="1" thickBot="1" x14ac:dyDescent="0.3">
      <c r="A199" s="1251"/>
      <c r="B199" s="9" t="s">
        <v>10</v>
      </c>
      <c r="C199" s="9" t="s">
        <v>11</v>
      </c>
      <c r="D199" s="9" t="s">
        <v>11</v>
      </c>
      <c r="E199" s="9" t="s">
        <v>11</v>
      </c>
    </row>
    <row r="200" spans="1:9" ht="15.75" thickBot="1" x14ac:dyDescent="0.3">
      <c r="A200" s="5" t="s">
        <v>19</v>
      </c>
      <c r="B200" s="10">
        <v>600</v>
      </c>
      <c r="C200" s="10">
        <v>600</v>
      </c>
      <c r="D200" s="10">
        <v>254</v>
      </c>
      <c r="E200" s="10">
        <v>0</v>
      </c>
    </row>
    <row r="201" spans="1:9" ht="15.75" thickBot="1" x14ac:dyDescent="0.3">
      <c r="A201" s="5" t="s">
        <v>20</v>
      </c>
      <c r="B201" s="10">
        <v>30498</v>
      </c>
      <c r="C201" s="10">
        <v>25002</v>
      </c>
      <c r="D201" s="10">
        <v>10700</v>
      </c>
      <c r="E201" s="10">
        <v>0</v>
      </c>
    </row>
    <row r="202" spans="1:9" ht="15.75" thickBot="1" x14ac:dyDescent="0.3">
      <c r="A202" s="5" t="s">
        <v>21</v>
      </c>
      <c r="B202" s="10">
        <f>B201/B200</f>
        <v>50.83</v>
      </c>
      <c r="C202" s="10">
        <f>C201/C200</f>
        <v>41.67</v>
      </c>
      <c r="D202" s="10">
        <f>D201/D200</f>
        <v>42.125984251968504</v>
      </c>
      <c r="E202" s="10" t="e">
        <f>E201/E200</f>
        <v>#DIV/0!</v>
      </c>
    </row>
    <row r="203" spans="1:9" ht="15.75" thickBot="1" x14ac:dyDescent="0.3">
      <c r="A203" s="5" t="s">
        <v>22</v>
      </c>
      <c r="B203" s="225" t="s">
        <v>23</v>
      </c>
      <c r="C203" s="11">
        <f t="shared" ref="C203:E205" si="6">C200/B200-1</f>
        <v>0</v>
      </c>
      <c r="D203" s="11">
        <f t="shared" si="6"/>
        <v>-0.57666666666666666</v>
      </c>
      <c r="E203" s="11">
        <f t="shared" si="6"/>
        <v>-1</v>
      </c>
      <c r="F203" s="12"/>
      <c r="G203" s="12"/>
      <c r="H203" s="12"/>
      <c r="I203" s="12"/>
    </row>
    <row r="204" spans="1:9" ht="15.75" thickBot="1" x14ac:dyDescent="0.3">
      <c r="A204" s="5" t="s">
        <v>24</v>
      </c>
      <c r="B204" s="225" t="s">
        <v>23</v>
      </c>
      <c r="C204" s="11">
        <f t="shared" si="6"/>
        <v>-0.18020853826480421</v>
      </c>
      <c r="D204" s="11">
        <f t="shared" si="6"/>
        <v>-0.5720342372610191</v>
      </c>
      <c r="E204" s="11">
        <f t="shared" si="6"/>
        <v>-1</v>
      </c>
    </row>
    <row r="205" spans="1:9" ht="23.25" thickBot="1" x14ac:dyDescent="0.3">
      <c r="A205" s="5" t="s">
        <v>25</v>
      </c>
      <c r="B205" s="225" t="s">
        <v>23</v>
      </c>
      <c r="C205" s="11">
        <f t="shared" si="6"/>
        <v>-0.18020853826480421</v>
      </c>
      <c r="D205" s="11">
        <f t="shared" si="6"/>
        <v>1.0942746627513822E-2</v>
      </c>
      <c r="E205" s="11" t="e">
        <f t="shared" si="6"/>
        <v>#DIV/0!</v>
      </c>
    </row>
    <row r="206" spans="1:9" ht="15.75" thickBot="1" x14ac:dyDescent="0.3">
      <c r="A206" s="1252" t="s">
        <v>633</v>
      </c>
      <c r="B206" s="1253"/>
      <c r="C206" s="1253"/>
      <c r="D206" s="1253"/>
      <c r="E206" s="1300"/>
    </row>
    <row r="207" spans="1:9" ht="12.75" customHeight="1" x14ac:dyDescent="0.25">
      <c r="A207" s="1250"/>
      <c r="B207" s="8">
        <v>2018</v>
      </c>
      <c r="C207" s="8">
        <v>2019</v>
      </c>
      <c r="D207" s="8">
        <v>2020</v>
      </c>
      <c r="E207" s="8">
        <v>2021</v>
      </c>
    </row>
    <row r="208" spans="1:9" ht="9" customHeight="1" thickBot="1" x14ac:dyDescent="0.3">
      <c r="A208" s="1251"/>
      <c r="B208" s="9" t="s">
        <v>10</v>
      </c>
      <c r="C208" s="9" t="s">
        <v>11</v>
      </c>
      <c r="D208" s="9" t="s">
        <v>11</v>
      </c>
      <c r="E208" s="9" t="s">
        <v>11</v>
      </c>
    </row>
    <row r="209" spans="1:9" ht="15.75" thickBot="1" x14ac:dyDescent="0.3">
      <c r="A209" s="13" t="s">
        <v>58</v>
      </c>
      <c r="B209" s="14"/>
      <c r="C209" s="14"/>
      <c r="D209" s="14"/>
      <c r="E209" s="14"/>
    </row>
    <row r="210" spans="1:9" ht="15.75" thickBot="1" x14ac:dyDescent="0.3">
      <c r="A210" s="13" t="s">
        <v>59</v>
      </c>
      <c r="B210" s="15">
        <v>30498</v>
      </c>
      <c r="C210" s="14">
        <v>25002</v>
      </c>
      <c r="D210" s="14">
        <v>10700</v>
      </c>
      <c r="E210" s="14">
        <v>0</v>
      </c>
    </row>
    <row r="211" spans="1:9" ht="24.75" thickBot="1" x14ac:dyDescent="0.3">
      <c r="A211" s="16" t="s">
        <v>40</v>
      </c>
      <c r="B211" s="15">
        <f>B210+B209</f>
        <v>30498</v>
      </c>
      <c r="C211" s="15">
        <f>C210+C209</f>
        <v>25002</v>
      </c>
      <c r="D211" s="15">
        <f>D210+D209</f>
        <v>10700</v>
      </c>
      <c r="E211" s="15">
        <f>E210+E209</f>
        <v>0</v>
      </c>
    </row>
    <row r="212" spans="1:9" x14ac:dyDescent="0.25">
      <c r="A212" s="1254" t="s">
        <v>60</v>
      </c>
      <c r="B212" s="1322"/>
      <c r="C212" s="1289"/>
      <c r="D212" s="1289"/>
      <c r="E212" s="1290"/>
    </row>
    <row r="213" spans="1:9" x14ac:dyDescent="0.25">
      <c r="A213" s="1255"/>
      <c r="B213" s="1291"/>
      <c r="C213" s="1292"/>
      <c r="D213" s="1292"/>
      <c r="E213" s="1293"/>
    </row>
    <row r="214" spans="1:9" ht="15.75" thickBot="1" x14ac:dyDescent="0.3">
      <c r="A214" s="1256"/>
      <c r="B214" s="1294"/>
      <c r="C214" s="1295"/>
      <c r="D214" s="1295"/>
      <c r="E214" s="1296"/>
    </row>
    <row r="215" spans="1:9" ht="15.75" thickBot="1" x14ac:dyDescent="0.3">
      <c r="A215" s="20" t="s">
        <v>713</v>
      </c>
      <c r="B215" s="1241" t="s">
        <v>124</v>
      </c>
      <c r="C215" s="1242"/>
      <c r="D215" s="1242"/>
      <c r="E215" s="1318"/>
    </row>
    <row r="216" spans="1:9" ht="15.75" thickBot="1" x14ac:dyDescent="0.3">
      <c r="A216" s="7" t="s">
        <v>42</v>
      </c>
      <c r="B216" s="1243" t="s">
        <v>698</v>
      </c>
      <c r="C216" s="1244"/>
      <c r="D216" s="1244"/>
      <c r="E216" s="1315"/>
    </row>
    <row r="217" spans="1:9" ht="17.25" customHeight="1" thickBot="1" x14ac:dyDescent="0.3">
      <c r="A217" s="5" t="s">
        <v>17</v>
      </c>
      <c r="B217" s="1243" t="s">
        <v>714</v>
      </c>
      <c r="C217" s="1244"/>
      <c r="D217" s="1244"/>
      <c r="E217" s="1315"/>
    </row>
    <row r="218" spans="1:9" ht="15.75" thickBot="1" x14ac:dyDescent="0.3">
      <c r="A218" s="5" t="s">
        <v>18</v>
      </c>
      <c r="B218" s="1248" t="s">
        <v>1405</v>
      </c>
      <c r="C218" s="1249"/>
      <c r="D218" s="1249"/>
      <c r="E218" s="1316"/>
    </row>
    <row r="219" spans="1:9" ht="12.75" customHeight="1" x14ac:dyDescent="0.25">
      <c r="A219" s="1250"/>
      <c r="B219" s="8">
        <v>2018</v>
      </c>
      <c r="C219" s="8">
        <v>2019</v>
      </c>
      <c r="D219" s="8">
        <v>2020</v>
      </c>
      <c r="E219" s="8">
        <v>2021</v>
      </c>
    </row>
    <row r="220" spans="1:9" ht="9" customHeight="1" thickBot="1" x14ac:dyDescent="0.3">
      <c r="A220" s="1251"/>
      <c r="B220" s="9" t="s">
        <v>10</v>
      </c>
      <c r="C220" s="9" t="s">
        <v>11</v>
      </c>
      <c r="D220" s="9" t="s">
        <v>11</v>
      </c>
      <c r="E220" s="9" t="s">
        <v>11</v>
      </c>
    </row>
    <row r="221" spans="1:9" ht="15.75" thickBot="1" x14ac:dyDescent="0.3">
      <c r="A221" s="5" t="s">
        <v>19</v>
      </c>
      <c r="B221" s="10">
        <v>1</v>
      </c>
      <c r="C221" s="10">
        <v>1</v>
      </c>
      <c r="D221" s="10">
        <v>1</v>
      </c>
      <c r="E221" s="10">
        <v>1</v>
      </c>
    </row>
    <row r="222" spans="1:9" ht="15.75" thickBot="1" x14ac:dyDescent="0.3">
      <c r="A222" s="5" t="s">
        <v>20</v>
      </c>
      <c r="B222" s="10">
        <v>9450</v>
      </c>
      <c r="C222" s="10">
        <v>20000</v>
      </c>
      <c r="D222" s="10">
        <v>20000</v>
      </c>
      <c r="E222" s="10">
        <v>21720</v>
      </c>
    </row>
    <row r="223" spans="1:9" ht="15.75" thickBot="1" x14ac:dyDescent="0.3">
      <c r="A223" t="s">
        <v>21</v>
      </c>
      <c r="B223" s="10">
        <f>B222/B221</f>
        <v>9450</v>
      </c>
      <c r="C223" s="10">
        <f>C222/C221</f>
        <v>20000</v>
      </c>
      <c r="D223" s="10">
        <f>D222/D221</f>
        <v>20000</v>
      </c>
      <c r="E223" s="10">
        <f>E222/E221</f>
        <v>21720</v>
      </c>
    </row>
    <row r="224" spans="1:9" ht="15.75" thickBot="1" x14ac:dyDescent="0.3">
      <c r="A224" s="5" t="s">
        <v>22</v>
      </c>
      <c r="B224" s="225" t="s">
        <v>23</v>
      </c>
      <c r="C224" s="11">
        <f t="shared" ref="C224:E226" si="7">C221/B221-1</f>
        <v>0</v>
      </c>
      <c r="D224" s="11">
        <f t="shared" si="7"/>
        <v>0</v>
      </c>
      <c r="E224" s="11">
        <f t="shared" si="7"/>
        <v>0</v>
      </c>
      <c r="F224" s="12"/>
      <c r="G224" s="12"/>
      <c r="H224" s="12"/>
      <c r="I224" s="12"/>
    </row>
    <row r="225" spans="1:5" ht="15.75" thickBot="1" x14ac:dyDescent="0.3">
      <c r="A225" s="5" t="s">
        <v>24</v>
      </c>
      <c r="B225" s="225" t="s">
        <v>23</v>
      </c>
      <c r="C225" s="11">
        <f t="shared" si="7"/>
        <v>1.1164021164021163</v>
      </c>
      <c r="D225" s="11">
        <f t="shared" si="7"/>
        <v>0</v>
      </c>
      <c r="E225" s="11">
        <f t="shared" si="7"/>
        <v>8.6000000000000076E-2</v>
      </c>
    </row>
    <row r="226" spans="1:5" ht="23.25" thickBot="1" x14ac:dyDescent="0.3">
      <c r="A226" s="5" t="s">
        <v>25</v>
      </c>
      <c r="B226" s="225" t="s">
        <v>23</v>
      </c>
      <c r="C226" s="11">
        <f t="shared" si="7"/>
        <v>1.1164021164021163</v>
      </c>
      <c r="D226" s="11">
        <f t="shared" si="7"/>
        <v>0</v>
      </c>
      <c r="E226" s="11">
        <f t="shared" si="7"/>
        <v>8.6000000000000076E-2</v>
      </c>
    </row>
    <row r="227" spans="1:5" ht="15.75" thickBot="1" x14ac:dyDescent="0.3">
      <c r="A227" s="1252" t="s">
        <v>884</v>
      </c>
      <c r="B227" s="1253"/>
      <c r="C227" s="1253"/>
      <c r="D227" s="1253"/>
      <c r="E227" s="1300"/>
    </row>
    <row r="228" spans="1:5" ht="12.75" customHeight="1" x14ac:dyDescent="0.25">
      <c r="A228" s="1250"/>
      <c r="B228" s="8">
        <v>2018</v>
      </c>
      <c r="C228" s="8">
        <v>2019</v>
      </c>
      <c r="D228" s="8">
        <v>2020</v>
      </c>
      <c r="E228" s="8">
        <v>2021</v>
      </c>
    </row>
    <row r="229" spans="1:5" ht="9" customHeight="1" thickBot="1" x14ac:dyDescent="0.3">
      <c r="A229" s="1251"/>
      <c r="B229" s="9" t="s">
        <v>10</v>
      </c>
      <c r="C229" s="9" t="s">
        <v>11</v>
      </c>
      <c r="D229" s="9" t="s">
        <v>11</v>
      </c>
      <c r="E229" s="9" t="s">
        <v>11</v>
      </c>
    </row>
    <row r="230" spans="1:5" ht="15.75" thickBot="1" x14ac:dyDescent="0.3">
      <c r="A230" s="13" t="s">
        <v>58</v>
      </c>
      <c r="B230" s="14">
        <v>9450</v>
      </c>
      <c r="C230" s="14">
        <v>20000</v>
      </c>
      <c r="D230" s="14">
        <v>20000</v>
      </c>
      <c r="E230" s="14">
        <v>21720</v>
      </c>
    </row>
    <row r="231" spans="1:5" ht="15.75" thickBot="1" x14ac:dyDescent="0.3">
      <c r="A231" s="13" t="s">
        <v>59</v>
      </c>
      <c r="B231" s="15"/>
      <c r="C231" s="14"/>
      <c r="D231" s="14"/>
      <c r="E231" s="14"/>
    </row>
    <row r="232" spans="1:5" ht="24.75" thickBot="1" x14ac:dyDescent="0.3">
      <c r="A232" s="16" t="s">
        <v>43</v>
      </c>
      <c r="B232" s="15">
        <f>B231+B230</f>
        <v>9450</v>
      </c>
      <c r="C232" s="15">
        <f>C231+C230</f>
        <v>20000</v>
      </c>
      <c r="D232" s="15">
        <f>D231+D230</f>
        <v>20000</v>
      </c>
      <c r="E232" s="15">
        <f>E231+E230</f>
        <v>21720</v>
      </c>
    </row>
    <row r="233" spans="1:5" x14ac:dyDescent="0.25">
      <c r="A233" s="1254" t="s">
        <v>62</v>
      </c>
      <c r="B233" s="1322"/>
      <c r="C233" s="1289"/>
      <c r="D233" s="1289"/>
      <c r="E233" s="1290"/>
    </row>
    <row r="234" spans="1:5" x14ac:dyDescent="0.25">
      <c r="A234" s="1255"/>
      <c r="B234" s="1291"/>
      <c r="C234" s="1292"/>
      <c r="D234" s="1292"/>
      <c r="E234" s="1293"/>
    </row>
    <row r="235" spans="1:5" ht="15.75" thickBot="1" x14ac:dyDescent="0.3">
      <c r="A235" s="1256"/>
      <c r="B235" s="1294"/>
      <c r="C235" s="1295"/>
      <c r="D235" s="1295"/>
      <c r="E235" s="1296"/>
    </row>
    <row r="236" spans="1:5" ht="15.75" thickBot="1" x14ac:dyDescent="0.3">
      <c r="A236" s="20" t="s">
        <v>702</v>
      </c>
      <c r="B236" s="1241" t="s">
        <v>124</v>
      </c>
      <c r="C236" s="1242"/>
      <c r="D236" s="1242"/>
      <c r="E236" s="1318"/>
    </row>
    <row r="237" spans="1:5" ht="21" customHeight="1" thickBot="1" x14ac:dyDescent="0.3">
      <c r="A237" s="7" t="s">
        <v>42</v>
      </c>
      <c r="B237" s="1330" t="s">
        <v>700</v>
      </c>
      <c r="C237" s="1331"/>
      <c r="D237" s="1331"/>
      <c r="E237" s="1332"/>
    </row>
    <row r="238" spans="1:5" ht="23.25" customHeight="1" thickBot="1" x14ac:dyDescent="0.3">
      <c r="A238" s="5" t="s">
        <v>17</v>
      </c>
      <c r="B238" s="1330" t="s">
        <v>700</v>
      </c>
      <c r="C238" s="1331"/>
      <c r="D238" s="1331"/>
      <c r="E238" s="1332"/>
    </row>
    <row r="239" spans="1:5" ht="15.75" thickBot="1" x14ac:dyDescent="0.3">
      <c r="A239" s="5" t="s">
        <v>18</v>
      </c>
      <c r="B239" s="1248" t="s">
        <v>701</v>
      </c>
      <c r="C239" s="1249"/>
      <c r="D239" s="1249"/>
      <c r="E239" s="1316"/>
    </row>
    <row r="240" spans="1:5" ht="12.75" customHeight="1" x14ac:dyDescent="0.25">
      <c r="A240" s="1250"/>
      <c r="B240" s="8">
        <v>2018</v>
      </c>
      <c r="C240" s="8">
        <v>2019</v>
      </c>
      <c r="D240" s="8">
        <v>2020</v>
      </c>
      <c r="E240" s="8">
        <v>2021</v>
      </c>
    </row>
    <row r="241" spans="1:9" ht="9" customHeight="1" thickBot="1" x14ac:dyDescent="0.3">
      <c r="A241" s="1251"/>
      <c r="B241" s="9" t="s">
        <v>10</v>
      </c>
      <c r="C241" s="9" t="s">
        <v>11</v>
      </c>
      <c r="D241" s="9" t="s">
        <v>11</v>
      </c>
      <c r="E241" s="9" t="s">
        <v>11</v>
      </c>
    </row>
    <row r="242" spans="1:9" ht="15.75" thickBot="1" x14ac:dyDescent="0.3">
      <c r="A242" s="5" t="s">
        <v>19</v>
      </c>
      <c r="B242" s="10">
        <v>1</v>
      </c>
      <c r="C242" s="10">
        <v>0</v>
      </c>
      <c r="D242" s="10">
        <v>0</v>
      </c>
      <c r="E242" s="10">
        <v>0</v>
      </c>
    </row>
    <row r="243" spans="1:9" ht="15.75" thickBot="1" x14ac:dyDescent="0.3">
      <c r="A243" s="5" t="s">
        <v>20</v>
      </c>
      <c r="B243" s="10">
        <v>7200</v>
      </c>
      <c r="C243" s="10">
        <v>0</v>
      </c>
      <c r="D243" s="10">
        <v>0</v>
      </c>
      <c r="E243" s="10">
        <v>0</v>
      </c>
    </row>
    <row r="244" spans="1:9" ht="15.75" thickBot="1" x14ac:dyDescent="0.3">
      <c r="A244" s="5" t="s">
        <v>21</v>
      </c>
      <c r="B244" s="10">
        <f>B243/B242</f>
        <v>7200</v>
      </c>
      <c r="C244" s="10" t="e">
        <f>C243/C242</f>
        <v>#DIV/0!</v>
      </c>
      <c r="D244" s="10" t="e">
        <f>D243/D242</f>
        <v>#DIV/0!</v>
      </c>
      <c r="E244" s="10" t="e">
        <f>E243/E242</f>
        <v>#DIV/0!</v>
      </c>
    </row>
    <row r="245" spans="1:9" ht="15.75" thickBot="1" x14ac:dyDescent="0.3">
      <c r="A245" s="5" t="s">
        <v>22</v>
      </c>
      <c r="B245" s="225" t="s">
        <v>23</v>
      </c>
      <c r="C245" s="11">
        <f t="shared" ref="C245:E247" si="8">C242/B242-1</f>
        <v>-1</v>
      </c>
      <c r="D245" s="11" t="e">
        <f t="shared" si="8"/>
        <v>#DIV/0!</v>
      </c>
      <c r="E245" s="11" t="e">
        <f t="shared" si="8"/>
        <v>#DIV/0!</v>
      </c>
      <c r="F245" s="12"/>
      <c r="G245" s="12"/>
      <c r="H245" s="12"/>
      <c r="I245" s="12"/>
    </row>
    <row r="246" spans="1:9" ht="15.75" thickBot="1" x14ac:dyDescent="0.3">
      <c r="A246" s="5" t="s">
        <v>24</v>
      </c>
      <c r="B246" s="225" t="s">
        <v>23</v>
      </c>
      <c r="C246" s="11">
        <f t="shared" si="8"/>
        <v>-1</v>
      </c>
      <c r="D246" s="11" t="e">
        <f t="shared" si="8"/>
        <v>#DIV/0!</v>
      </c>
      <c r="E246" s="11" t="e">
        <f t="shared" si="8"/>
        <v>#DIV/0!</v>
      </c>
    </row>
    <row r="247" spans="1:9" ht="23.25" thickBot="1" x14ac:dyDescent="0.3">
      <c r="A247" s="5" t="s">
        <v>25</v>
      </c>
      <c r="B247" s="225" t="s">
        <v>23</v>
      </c>
      <c r="C247" s="11" t="e">
        <f t="shared" si="8"/>
        <v>#DIV/0!</v>
      </c>
      <c r="D247" s="11" t="e">
        <f t="shared" si="8"/>
        <v>#DIV/0!</v>
      </c>
      <c r="E247" s="11" t="e">
        <f t="shared" si="8"/>
        <v>#DIV/0!</v>
      </c>
    </row>
    <row r="248" spans="1:9" ht="15.75" thickBot="1" x14ac:dyDescent="0.3">
      <c r="A248" s="1252" t="s">
        <v>872</v>
      </c>
      <c r="B248" s="1253"/>
      <c r="C248" s="1253"/>
      <c r="D248" s="1253"/>
      <c r="E248" s="1300"/>
    </row>
    <row r="249" spans="1:9" ht="12.75" customHeight="1" x14ac:dyDescent="0.25">
      <c r="A249" s="1250"/>
      <c r="B249" s="8">
        <v>2018</v>
      </c>
      <c r="C249" s="8">
        <v>2019</v>
      </c>
      <c r="D249" s="8">
        <v>2020</v>
      </c>
      <c r="E249" s="8">
        <v>2021</v>
      </c>
    </row>
    <row r="250" spans="1:9" ht="9" customHeight="1" thickBot="1" x14ac:dyDescent="0.3">
      <c r="A250" s="1251"/>
      <c r="B250" s="9" t="s">
        <v>10</v>
      </c>
      <c r="C250" s="9" t="s">
        <v>11</v>
      </c>
      <c r="D250" s="9" t="s">
        <v>11</v>
      </c>
      <c r="E250" s="9" t="s">
        <v>11</v>
      </c>
    </row>
    <row r="251" spans="1:9" ht="15.75" thickBot="1" x14ac:dyDescent="0.3">
      <c r="A251" s="13" t="s">
        <v>58</v>
      </c>
      <c r="B251" s="14">
        <v>7200</v>
      </c>
      <c r="C251" s="14"/>
      <c r="D251" s="14"/>
      <c r="E251" s="14"/>
    </row>
    <row r="252" spans="1:9" ht="15.75" thickBot="1" x14ac:dyDescent="0.3">
      <c r="A252" s="13" t="s">
        <v>59</v>
      </c>
      <c r="B252" s="15"/>
      <c r="C252" s="14"/>
      <c r="D252" s="14"/>
      <c r="E252" s="14"/>
    </row>
    <row r="253" spans="1:9" ht="24.75" thickBot="1" x14ac:dyDescent="0.3">
      <c r="A253" s="16" t="s">
        <v>52</v>
      </c>
      <c r="B253" s="15">
        <f>B252+B251</f>
        <v>7200</v>
      </c>
      <c r="C253" s="15">
        <f>C252+C251</f>
        <v>0</v>
      </c>
      <c r="D253" s="15">
        <f>D252+D251</f>
        <v>0</v>
      </c>
      <c r="E253" s="15">
        <f>E252+E251</f>
        <v>0</v>
      </c>
    </row>
    <row r="254" spans="1:9" x14ac:dyDescent="0.25">
      <c r="A254" s="1254" t="s">
        <v>62</v>
      </c>
      <c r="B254" s="1322"/>
      <c r="C254" s="1289"/>
      <c r="D254" s="1289"/>
      <c r="E254" s="1290"/>
    </row>
    <row r="255" spans="1:9" x14ac:dyDescent="0.25">
      <c r="A255" s="1255"/>
      <c r="B255" s="1291"/>
      <c r="C255" s="1292"/>
      <c r="D255" s="1292"/>
      <c r="E255" s="1293"/>
    </row>
    <row r="256" spans="1:9" ht="15.75" thickBot="1" x14ac:dyDescent="0.3">
      <c r="A256" s="1256"/>
      <c r="B256" s="1294"/>
      <c r="C256" s="1295"/>
      <c r="D256" s="1295"/>
      <c r="E256" s="1296"/>
    </row>
    <row r="257" spans="1:5" ht="15.75" thickBot="1" x14ac:dyDescent="0.3">
      <c r="A257" s="22"/>
      <c r="B257" s="23"/>
      <c r="C257" s="23"/>
      <c r="D257" s="23"/>
      <c r="E257" s="23"/>
    </row>
    <row r="258" spans="1:5" ht="27" customHeight="1" thickBot="1" x14ac:dyDescent="0.3">
      <c r="A258" s="6" t="s">
        <v>82</v>
      </c>
      <c r="B258" s="24">
        <f>B222+B201+B156+B135+B69+B38+B243+B100</f>
        <v>102258</v>
      </c>
      <c r="C258" s="24">
        <f>C222+C201+C156+C135+C69+C38+C243+C100</f>
        <v>102560</v>
      </c>
      <c r="D258" s="24">
        <f>D222+D201+D156+D135+D69+D38+D243+D100+D177</f>
        <v>102258</v>
      </c>
      <c r="E258" s="24">
        <f>E222+E201+E156+E135+E69+E38+E243+E100+E177</f>
        <v>102254</v>
      </c>
    </row>
    <row r="259" spans="1:5" ht="36.75" thickBot="1" x14ac:dyDescent="0.3">
      <c r="A259" s="6" t="s">
        <v>83</v>
      </c>
      <c r="B259" s="24">
        <f>B261+B263+B265+B267+B269+B271</f>
        <v>102258</v>
      </c>
      <c r="C259" s="24">
        <f>C261+C263+C265+C267+C269+C271</f>
        <v>102560</v>
      </c>
      <c r="D259" s="24">
        <f>D261+D263+D265+D267+D269+D271</f>
        <v>102258</v>
      </c>
      <c r="E259" s="24">
        <f>E261+E263+E265+E267+E269+E271</f>
        <v>102254</v>
      </c>
    </row>
    <row r="260" spans="1:5" ht="36.75" thickBot="1" x14ac:dyDescent="0.3">
      <c r="A260" s="25" t="s">
        <v>84</v>
      </c>
      <c r="B260" s="26"/>
      <c r="C260" s="27">
        <f>C259/B259-1</f>
        <v>2.9533141661288731E-3</v>
      </c>
      <c r="D260" s="27">
        <f>D259/C259-1</f>
        <v>-2.9446177847113342E-3</v>
      </c>
      <c r="E260" s="27">
        <f>E259/D259-1</f>
        <v>-3.911674392220732E-5</v>
      </c>
    </row>
    <row r="261" spans="1:5" ht="15.75" thickBot="1" x14ac:dyDescent="0.3">
      <c r="A261" s="13" t="s">
        <v>26</v>
      </c>
      <c r="B261" s="14">
        <f>B77+B46+B108</f>
        <v>27780</v>
      </c>
      <c r="C261" s="14">
        <f>C77+C46+C108</f>
        <v>36369</v>
      </c>
      <c r="D261" s="14">
        <f>D77+D46+D108</f>
        <v>36369</v>
      </c>
      <c r="E261" s="14">
        <f>E77+E46+E108</f>
        <v>36369</v>
      </c>
    </row>
    <row r="262" spans="1:5" ht="15.75" thickBot="1" x14ac:dyDescent="0.3">
      <c r="A262" s="28" t="s">
        <v>85</v>
      </c>
      <c r="B262" s="15"/>
      <c r="C262" s="29">
        <f>C261/B261-1</f>
        <v>0.30917926565874732</v>
      </c>
      <c r="D262" s="29">
        <f>D261/C261-1</f>
        <v>0</v>
      </c>
      <c r="E262" s="29">
        <f>E261/D261-1</f>
        <v>0</v>
      </c>
    </row>
    <row r="263" spans="1:5" ht="24.75" thickBot="1" x14ac:dyDescent="0.3">
      <c r="A263" s="13" t="s">
        <v>28</v>
      </c>
      <c r="B263" s="14">
        <f>B80+B49+B111</f>
        <v>5563</v>
      </c>
      <c r="C263" s="14">
        <f>C80+C49+C111</f>
        <v>5965</v>
      </c>
      <c r="D263" s="14">
        <f>D80+D49+D111</f>
        <v>5965</v>
      </c>
      <c r="E263" s="14">
        <f>E80+E49+E111</f>
        <v>5965</v>
      </c>
    </row>
    <row r="264" spans="1:5" ht="24.75" thickBot="1" x14ac:dyDescent="0.3">
      <c r="A264" s="28" t="s">
        <v>86</v>
      </c>
      <c r="B264" s="15"/>
      <c r="C264" s="29">
        <f>C263/B263-1</f>
        <v>7.226316735574323E-2</v>
      </c>
      <c r="D264" s="29">
        <f>D263/C263-1</f>
        <v>0</v>
      </c>
      <c r="E264" s="29">
        <f>E263/D263-1</f>
        <v>0</v>
      </c>
    </row>
    <row r="265" spans="1:5" ht="15.75" thickBot="1" x14ac:dyDescent="0.3">
      <c r="A265" s="13" t="s">
        <v>30</v>
      </c>
      <c r="B265" s="14">
        <f>B83+B52+B114</f>
        <v>14589</v>
      </c>
      <c r="C265" s="14">
        <f>C83+C52+C114</f>
        <v>12224</v>
      </c>
      <c r="D265" s="14">
        <f>D83+D52+D114</f>
        <v>12224</v>
      </c>
      <c r="E265" s="14">
        <f>E83+E52+E114</f>
        <v>13200</v>
      </c>
    </row>
    <row r="266" spans="1:5" ht="24.75" thickBot="1" x14ac:dyDescent="0.3">
      <c r="A266" s="28" t="s">
        <v>87</v>
      </c>
      <c r="B266" s="15"/>
      <c r="C266" s="29">
        <f>C265/B265-1</f>
        <v>-0.16210843786414419</v>
      </c>
      <c r="D266" s="29">
        <f>D265/C265-1</f>
        <v>0</v>
      </c>
      <c r="E266" s="29">
        <f>E265/D265-1</f>
        <v>7.9842931937172734E-2</v>
      </c>
    </row>
    <row r="267" spans="1:5" ht="24.75" thickBot="1" x14ac:dyDescent="0.3">
      <c r="A267" s="13" t="s">
        <v>38</v>
      </c>
      <c r="B267" s="14">
        <f>B86+B55+B117</f>
        <v>0</v>
      </c>
      <c r="C267" s="14">
        <f>C86+C55+C117</f>
        <v>0</v>
      </c>
      <c r="D267" s="14">
        <f>D86+D55+D117</f>
        <v>0</v>
      </c>
      <c r="E267" s="14">
        <f>E86+E55+E117</f>
        <v>0</v>
      </c>
    </row>
    <row r="268" spans="1:5" ht="24.75" thickBot="1" x14ac:dyDescent="0.3">
      <c r="A268" s="28" t="s">
        <v>91</v>
      </c>
      <c r="B268" s="15"/>
      <c r="C268" s="29" t="e">
        <f>C267/B267-1</f>
        <v>#DIV/0!</v>
      </c>
      <c r="D268" s="29" t="e">
        <f>D267/C267-1</f>
        <v>#DIV/0!</v>
      </c>
      <c r="E268" s="29" t="e">
        <f>E267/D267-1</f>
        <v>#DIV/0!</v>
      </c>
    </row>
    <row r="269" spans="1:5" ht="15.75" thickBot="1" x14ac:dyDescent="0.3">
      <c r="A269" s="13" t="s">
        <v>92</v>
      </c>
      <c r="B269" s="14">
        <f>B143+B164+B209+B230+B251+B185</f>
        <v>16650</v>
      </c>
      <c r="C269" s="14">
        <f>C143+C164+C209+C230+C251+C185</f>
        <v>20000</v>
      </c>
      <c r="D269" s="14">
        <f>D143+D164+D209+D230+D251+D185</f>
        <v>20000</v>
      </c>
      <c r="E269" s="14">
        <f>E143+E164+E209+E230+E251+E185</f>
        <v>21720</v>
      </c>
    </row>
    <row r="270" spans="1:5" ht="24.75" thickBot="1" x14ac:dyDescent="0.3">
      <c r="A270" s="28" t="s">
        <v>93</v>
      </c>
      <c r="B270" s="15"/>
      <c r="C270" s="29">
        <f>C269/B269-1</f>
        <v>0.20120120120120122</v>
      </c>
      <c r="D270" s="29">
        <f>D269/C269-1</f>
        <v>0</v>
      </c>
      <c r="E270" s="29">
        <f>E269/D269-1</f>
        <v>8.6000000000000076E-2</v>
      </c>
    </row>
    <row r="271" spans="1:5" ht="15.75" thickBot="1" x14ac:dyDescent="0.3">
      <c r="A271" s="13" t="s">
        <v>94</v>
      </c>
      <c r="B271" s="14">
        <f>B144+B165+B210+B231+B252+B186</f>
        <v>37676</v>
      </c>
      <c r="C271" s="14">
        <f>C144+C165+C210+C231+C252+C186</f>
        <v>28002</v>
      </c>
      <c r="D271" s="14">
        <f>D144+D165+D210+D231+D252+D186</f>
        <v>27700</v>
      </c>
      <c r="E271" s="14">
        <f>E144+E165+E210+E231+E252+E186</f>
        <v>25000</v>
      </c>
    </row>
    <row r="272" spans="1:5" ht="24.75" thickBot="1" x14ac:dyDescent="0.3">
      <c r="A272" s="28" t="s">
        <v>95</v>
      </c>
      <c r="B272" s="15"/>
      <c r="C272" s="29">
        <f>C271/B271-1</f>
        <v>-0.2567682344197898</v>
      </c>
      <c r="D272" s="29">
        <f>D271/C271-1</f>
        <v>-1.078494393257623E-2</v>
      </c>
      <c r="E272" s="29">
        <f>E271/D271-1</f>
        <v>-9.7472924187725685E-2</v>
      </c>
    </row>
    <row r="273" spans="1:5" x14ac:dyDescent="0.25">
      <c r="A273" s="1306" t="s">
        <v>871</v>
      </c>
      <c r="B273" s="1309"/>
      <c r="C273" s="1309"/>
      <c r="D273" s="1309"/>
      <c r="E273" s="1310"/>
    </row>
    <row r="274" spans="1:5" x14ac:dyDescent="0.25">
      <c r="A274" s="1307"/>
      <c r="B274" s="1311"/>
      <c r="C274" s="1311"/>
      <c r="D274" s="1311"/>
      <c r="E274" s="1312"/>
    </row>
    <row r="275" spans="1:5" ht="15.75" thickBot="1" x14ac:dyDescent="0.3">
      <c r="A275" s="1308"/>
      <c r="B275" s="1313"/>
      <c r="C275" s="1313"/>
      <c r="D275" s="1313"/>
      <c r="E275" s="1314"/>
    </row>
    <row r="276" spans="1:5" ht="15.75" thickBot="1" x14ac:dyDescent="0.3">
      <c r="A276" s="17" t="s">
        <v>41</v>
      </c>
      <c r="B276" s="18">
        <f>IF(B259-B258=0,0,"Error")</f>
        <v>0</v>
      </c>
      <c r="C276" s="18">
        <f>IF(C259-C258=0,0,"Error")</f>
        <v>0</v>
      </c>
      <c r="D276" s="18">
        <f>IF(D259-D258=0,0,"Error")</f>
        <v>0</v>
      </c>
      <c r="E276" s="18">
        <f>IF(E259-E258=0,0,"Error")</f>
        <v>0</v>
      </c>
    </row>
    <row r="277" spans="1:5" ht="36.75" thickBot="1" x14ac:dyDescent="0.3">
      <c r="A277" s="30" t="s">
        <v>96</v>
      </c>
      <c r="B277" s="14">
        <v>21</v>
      </c>
      <c r="C277" s="14">
        <v>40</v>
      </c>
      <c r="D277" s="14">
        <v>40</v>
      </c>
      <c r="E277" s="14">
        <v>40</v>
      </c>
    </row>
    <row r="278" spans="1:5" ht="36.75" thickBot="1" x14ac:dyDescent="0.3">
      <c r="A278" s="30" t="s">
        <v>97</v>
      </c>
      <c r="B278" s="14">
        <v>0</v>
      </c>
      <c r="C278" s="14">
        <v>0</v>
      </c>
      <c r="D278" s="14">
        <v>0</v>
      </c>
      <c r="E278" s="14">
        <v>0</v>
      </c>
    </row>
  </sheetData>
  <mergeCells count="103">
    <mergeCell ref="B195:E195"/>
    <mergeCell ref="B196:E196"/>
    <mergeCell ref="B197:E197"/>
    <mergeCell ref="B15:E15"/>
    <mergeCell ref="B16:E16"/>
    <mergeCell ref="B17:E17"/>
    <mergeCell ref="A18:E18"/>
    <mergeCell ref="A127:E127"/>
    <mergeCell ref="A126:E126"/>
    <mergeCell ref="B152:E152"/>
    <mergeCell ref="A153:A154"/>
    <mergeCell ref="A161:E161"/>
    <mergeCell ref="B167:E169"/>
    <mergeCell ref="B170:E170"/>
    <mergeCell ref="B171:E171"/>
    <mergeCell ref="B172:E172"/>
    <mergeCell ref="B173:E173"/>
    <mergeCell ref="A174:A175"/>
    <mergeCell ref="A19:E21"/>
    <mergeCell ref="B22:E22"/>
    <mergeCell ref="A23:A24"/>
    <mergeCell ref="B26:E26"/>
    <mergeCell ref="A27:E27"/>
    <mergeCell ref="A75:A76"/>
    <mergeCell ref="A90:A92"/>
    <mergeCell ref="A12:E12"/>
    <mergeCell ref="A13:E13"/>
    <mergeCell ref="A105:E105"/>
    <mergeCell ref="A106:A107"/>
    <mergeCell ref="A121:A123"/>
    <mergeCell ref="B121:E123"/>
    <mergeCell ref="B90:E92"/>
    <mergeCell ref="A44:A45"/>
    <mergeCell ref="A31:E31"/>
    <mergeCell ref="B32:E32"/>
    <mergeCell ref="B33:E33"/>
    <mergeCell ref="B34:E34"/>
    <mergeCell ref="A35:A36"/>
    <mergeCell ref="A43:E43"/>
    <mergeCell ref="B94:E94"/>
    <mergeCell ref="B95:E95"/>
    <mergeCell ref="B96:E96"/>
    <mergeCell ref="A98:A99"/>
    <mergeCell ref="A67:A68"/>
    <mergeCell ref="B218:E218"/>
    <mergeCell ref="A193:E193"/>
    <mergeCell ref="B194:E194"/>
    <mergeCell ref="A132:A133"/>
    <mergeCell ref="B146:E148"/>
    <mergeCell ref="A162:A163"/>
    <mergeCell ref="A167:A169"/>
    <mergeCell ref="B128:E128"/>
    <mergeCell ref="B129:E129"/>
    <mergeCell ref="B130:E130"/>
    <mergeCell ref="B131:E131"/>
    <mergeCell ref="A140:E140"/>
    <mergeCell ref="A141:A142"/>
    <mergeCell ref="A146:A148"/>
    <mergeCell ref="A198:A199"/>
    <mergeCell ref="A183:A184"/>
    <mergeCell ref="A188:A190"/>
    <mergeCell ref="B188:E190"/>
    <mergeCell ref="A192:E192"/>
    <mergeCell ref="A182:E182"/>
    <mergeCell ref="A207:A208"/>
    <mergeCell ref="B149:E149"/>
    <mergeCell ref="B150:E150"/>
    <mergeCell ref="B151:E151"/>
    <mergeCell ref="A273:A275"/>
    <mergeCell ref="B273:E275"/>
    <mergeCell ref="A228:A229"/>
    <mergeCell ref="A233:A235"/>
    <mergeCell ref="B233:E235"/>
    <mergeCell ref="B236:E236"/>
    <mergeCell ref="B237:E237"/>
    <mergeCell ref="B238:E238"/>
    <mergeCell ref="B239:E239"/>
    <mergeCell ref="A240:A241"/>
    <mergeCell ref="A248:E248"/>
    <mergeCell ref="B5:E5"/>
    <mergeCell ref="B6:E6"/>
    <mergeCell ref="B7:E7"/>
    <mergeCell ref="C8:E8"/>
    <mergeCell ref="C9:E9"/>
    <mergeCell ref="C10:E10"/>
    <mergeCell ref="A249:A250"/>
    <mergeCell ref="A254:A256"/>
    <mergeCell ref="B254:E256"/>
    <mergeCell ref="A206:E206"/>
    <mergeCell ref="A212:A214"/>
    <mergeCell ref="B212:E214"/>
    <mergeCell ref="B215:E215"/>
    <mergeCell ref="B216:E216"/>
    <mergeCell ref="B217:E217"/>
    <mergeCell ref="A219:A220"/>
    <mergeCell ref="A227:E227"/>
    <mergeCell ref="A30:E30"/>
    <mergeCell ref="A59:A61"/>
    <mergeCell ref="B59:E61"/>
    <mergeCell ref="B63:E63"/>
    <mergeCell ref="B64:E64"/>
    <mergeCell ref="B65:E65"/>
    <mergeCell ref="A74:E74"/>
  </mergeCells>
  <printOptions horizontalCentered="1" verticalCentered="1"/>
  <pageMargins left="0.25" right="0.25" top="0.75" bottom="0.75" header="0.3" footer="0.3"/>
  <pageSetup paperSize="9" scale="5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2:K547"/>
  <sheetViews>
    <sheetView view="pageBreakPreview" topLeftCell="A517" zoomScale="60" zoomScaleNormal="100" workbookViewId="0">
      <selection activeCell="N556" sqref="N556"/>
    </sheetView>
  </sheetViews>
  <sheetFormatPr defaultRowHeight="15" x14ac:dyDescent="0.25"/>
  <cols>
    <col min="1" max="1" width="31.85546875" customWidth="1"/>
    <col min="2" max="2" width="11.7109375" customWidth="1"/>
    <col min="3" max="3" width="13.85546875" customWidth="1"/>
    <col min="4" max="4" width="11.7109375" customWidth="1"/>
    <col min="5" max="5" width="13.85546875" customWidth="1"/>
    <col min="6" max="6" width="11" customWidth="1"/>
    <col min="7" max="7" width="11" bestFit="1" customWidth="1"/>
  </cols>
  <sheetData>
    <row r="2" spans="1:5" x14ac:dyDescent="0.25">
      <c r="A2" s="189" t="s">
        <v>898</v>
      </c>
      <c r="B2" s="188"/>
      <c r="C2" s="188"/>
      <c r="D2" s="188"/>
    </row>
    <row r="4" spans="1:5" ht="15.75" thickBot="1" x14ac:dyDescent="0.3"/>
    <row r="5" spans="1:5" ht="32.25" thickBot="1" x14ac:dyDescent="0.3">
      <c r="A5" s="168" t="s">
        <v>897</v>
      </c>
      <c r="B5" s="2227" t="s">
        <v>1404</v>
      </c>
      <c r="C5" s="1553"/>
      <c r="D5" s="1553"/>
      <c r="E5" s="1554"/>
    </row>
    <row r="6" spans="1:5" ht="32.25" thickBot="1" x14ac:dyDescent="0.3">
      <c r="A6" s="36" t="s">
        <v>895</v>
      </c>
      <c r="B6" s="2110" t="s">
        <v>1403</v>
      </c>
      <c r="C6" s="2111"/>
      <c r="D6" s="2111"/>
      <c r="E6" s="2228"/>
    </row>
    <row r="7" spans="1:5" ht="95.25" customHeight="1" thickBot="1" x14ac:dyDescent="0.3">
      <c r="A7" s="36" t="s">
        <v>893</v>
      </c>
      <c r="B7" s="1283" t="s">
        <v>1402</v>
      </c>
      <c r="C7" s="2114"/>
      <c r="D7" s="2114"/>
      <c r="E7" s="2168"/>
    </row>
    <row r="8" spans="1:5" ht="32.25" thickBot="1" x14ac:dyDescent="0.3">
      <c r="A8" s="36" t="s">
        <v>891</v>
      </c>
      <c r="B8" s="167" t="s">
        <v>3</v>
      </c>
      <c r="C8" s="1093" t="s">
        <v>7</v>
      </c>
      <c r="D8" s="1093"/>
      <c r="E8" s="1094"/>
    </row>
    <row r="9" spans="1:5" ht="16.5" thickBot="1" x14ac:dyDescent="0.3">
      <c r="A9" s="36" t="s">
        <v>715</v>
      </c>
      <c r="B9" s="810" t="s">
        <v>691</v>
      </c>
      <c r="C9" s="2114" t="s">
        <v>1401</v>
      </c>
      <c r="D9" s="2114"/>
      <c r="E9" s="2168"/>
    </row>
    <row r="11" spans="1:5" ht="18" customHeight="1" x14ac:dyDescent="0.25">
      <c r="A11" s="1" t="s">
        <v>122</v>
      </c>
      <c r="B11" s="1"/>
      <c r="C11" s="1"/>
      <c r="D11" s="1"/>
      <c r="E11" s="1"/>
    </row>
    <row r="12" spans="1:5" ht="15.75" thickBot="1" x14ac:dyDescent="0.3"/>
    <row r="13" spans="1:5" ht="15.75" thickBot="1" x14ac:dyDescent="0.3">
      <c r="A13" s="2" t="s">
        <v>2</v>
      </c>
      <c r="B13" s="2247" t="s">
        <v>715</v>
      </c>
      <c r="C13" s="2247"/>
      <c r="D13" s="2247"/>
      <c r="E13" s="2247"/>
    </row>
    <row r="14" spans="1:5" ht="15.75" thickBot="1" x14ac:dyDescent="0.3">
      <c r="A14" s="2" t="s">
        <v>3</v>
      </c>
      <c r="B14" s="2110" t="s">
        <v>691</v>
      </c>
      <c r="C14" s="2111"/>
      <c r="D14" s="2111"/>
      <c r="E14" s="2228"/>
    </row>
    <row r="15" spans="1:5" ht="15.75" thickBot="1" x14ac:dyDescent="0.3">
      <c r="A15" s="2" t="s">
        <v>5</v>
      </c>
      <c r="B15" s="2113" t="s">
        <v>6</v>
      </c>
      <c r="C15" s="2114"/>
      <c r="D15" s="2114"/>
      <c r="E15" s="2168"/>
    </row>
    <row r="16" spans="1:5" ht="15.75" thickBot="1" x14ac:dyDescent="0.3">
      <c r="A16" s="1266" t="s">
        <v>7</v>
      </c>
      <c r="B16" s="1267"/>
      <c r="C16" s="1267"/>
      <c r="D16" s="1267"/>
      <c r="E16" s="1297"/>
    </row>
    <row r="17" spans="1:8" ht="15.75" thickBot="1" x14ac:dyDescent="0.3">
      <c r="A17" s="2248" t="s">
        <v>1401</v>
      </c>
      <c r="B17" s="2249"/>
      <c r="C17" s="2249"/>
      <c r="D17" s="2249"/>
      <c r="E17" s="2250"/>
    </row>
    <row r="18" spans="1:8" ht="22.5" customHeight="1" thickBot="1" x14ac:dyDescent="0.3">
      <c r="A18" s="2248"/>
      <c r="B18" s="2249"/>
      <c r="C18" s="2249"/>
      <c r="D18" s="2249"/>
      <c r="E18" s="2250"/>
    </row>
    <row r="19" spans="1:8" ht="57" customHeight="1" thickBot="1" x14ac:dyDescent="0.3">
      <c r="A19" s="3" t="s">
        <v>1400</v>
      </c>
      <c r="B19" s="2191" t="s">
        <v>1399</v>
      </c>
      <c r="C19" s="1276"/>
      <c r="D19" s="1276"/>
      <c r="E19" s="1317"/>
    </row>
    <row r="20" spans="1:8" ht="23.25" customHeight="1" x14ac:dyDescent="0.25">
      <c r="A20" s="2251" t="s">
        <v>9</v>
      </c>
      <c r="B20" s="8">
        <v>2018</v>
      </c>
      <c r="C20" s="8">
        <v>2019</v>
      </c>
      <c r="D20" s="8">
        <v>2020</v>
      </c>
      <c r="E20" s="8">
        <v>2021</v>
      </c>
    </row>
    <row r="21" spans="1:8" ht="15.75" thickBot="1" x14ac:dyDescent="0.3">
      <c r="A21" s="2252"/>
      <c r="B21" s="9" t="s">
        <v>10</v>
      </c>
      <c r="C21" s="9" t="s">
        <v>11</v>
      </c>
      <c r="D21" s="9" t="s">
        <v>11</v>
      </c>
      <c r="E21" s="9" t="s">
        <v>11</v>
      </c>
    </row>
    <row r="22" spans="1:8" ht="51" customHeight="1" thickBot="1" x14ac:dyDescent="0.3">
      <c r="A22" s="809" t="s">
        <v>1398</v>
      </c>
      <c r="B22" s="800" t="s">
        <v>1377</v>
      </c>
      <c r="C22" s="800" t="s">
        <v>1376</v>
      </c>
      <c r="D22" s="800" t="s">
        <v>1375</v>
      </c>
      <c r="E22" s="800" t="s">
        <v>1375</v>
      </c>
    </row>
    <row r="23" spans="1:8" ht="47.25" customHeight="1" thickBot="1" x14ac:dyDescent="0.3">
      <c r="A23" s="5" t="s">
        <v>1397</v>
      </c>
      <c r="B23" s="10">
        <v>56</v>
      </c>
      <c r="C23" s="60">
        <v>65</v>
      </c>
      <c r="D23" s="60">
        <v>75</v>
      </c>
      <c r="E23" s="60">
        <v>80</v>
      </c>
    </row>
    <row r="24" spans="1:8" ht="54.75" customHeight="1" thickBot="1" x14ac:dyDescent="0.3">
      <c r="A24" s="5" t="s">
        <v>1396</v>
      </c>
      <c r="B24" s="10">
        <v>2835</v>
      </c>
      <c r="C24" s="10">
        <v>2830</v>
      </c>
      <c r="D24" s="10">
        <v>3040</v>
      </c>
      <c r="E24" s="10">
        <v>3050</v>
      </c>
    </row>
    <row r="25" spans="1:8" ht="84.75" customHeight="1" thickBot="1" x14ac:dyDescent="0.3">
      <c r="A25" s="5" t="s">
        <v>1395</v>
      </c>
      <c r="B25" s="10">
        <v>620</v>
      </c>
      <c r="C25" s="60">
        <v>675</v>
      </c>
      <c r="D25" s="60">
        <v>730</v>
      </c>
      <c r="E25" s="60">
        <v>730</v>
      </c>
    </row>
    <row r="26" spans="1:8" ht="52.5" customHeight="1" thickBot="1" x14ac:dyDescent="0.3">
      <c r="A26" s="121" t="s">
        <v>12</v>
      </c>
      <c r="B26" s="2238" t="s">
        <v>1394</v>
      </c>
      <c r="C26" s="1352"/>
      <c r="D26" s="1352"/>
      <c r="E26" s="1353"/>
    </row>
    <row r="27" spans="1:8" ht="23.25" customHeight="1" thickBot="1" x14ac:dyDescent="0.3">
      <c r="A27" s="1245" t="s">
        <v>13</v>
      </c>
      <c r="B27" s="1246"/>
      <c r="C27" s="1246"/>
      <c r="D27" s="1246"/>
      <c r="E27" s="1298"/>
      <c r="F27" s="35"/>
      <c r="H27" s="35"/>
    </row>
    <row r="28" spans="1:8" ht="15.75" thickBot="1" x14ac:dyDescent="0.3">
      <c r="A28" s="221" t="s">
        <v>1393</v>
      </c>
      <c r="B28" s="800">
        <v>5</v>
      </c>
      <c r="C28" s="800" t="s">
        <v>1377</v>
      </c>
      <c r="D28" s="800" t="s">
        <v>1377</v>
      </c>
      <c r="E28" s="800" t="s">
        <v>1377</v>
      </c>
    </row>
    <row r="29" spans="1:8" ht="15.75" thickBot="1" x14ac:dyDescent="0.3">
      <c r="A29" s="1273" t="s">
        <v>14</v>
      </c>
      <c r="B29" s="1274"/>
      <c r="C29" s="1274"/>
      <c r="D29" s="1274"/>
      <c r="E29" s="1299"/>
    </row>
    <row r="30" spans="1:8" ht="15.75" thickBot="1" x14ac:dyDescent="0.3">
      <c r="A30" s="1275" t="s">
        <v>70</v>
      </c>
      <c r="B30" s="1276"/>
      <c r="C30" s="1276"/>
      <c r="D30" s="1276"/>
      <c r="E30" s="1317"/>
    </row>
    <row r="31" spans="1:8" ht="39" customHeight="1" thickBot="1" x14ac:dyDescent="0.3">
      <c r="A31" s="802" t="s">
        <v>16</v>
      </c>
      <c r="B31" s="1252" t="s">
        <v>1392</v>
      </c>
      <c r="C31" s="1253"/>
      <c r="D31" s="1253"/>
      <c r="E31" s="1300"/>
    </row>
    <row r="32" spans="1:8" ht="26.25" customHeight="1" thickBot="1" x14ac:dyDescent="0.3">
      <c r="A32" s="5" t="s">
        <v>17</v>
      </c>
      <c r="B32" s="1252" t="s">
        <v>1391</v>
      </c>
      <c r="C32" s="1253"/>
      <c r="D32" s="1253"/>
      <c r="E32" s="1300"/>
    </row>
    <row r="33" spans="1:9" ht="15.75" thickBot="1" x14ac:dyDescent="0.3">
      <c r="A33" s="5" t="s">
        <v>18</v>
      </c>
      <c r="B33" s="1248" t="s">
        <v>1390</v>
      </c>
      <c r="C33" s="1249"/>
      <c r="D33" s="1249"/>
      <c r="E33" s="1316"/>
    </row>
    <row r="34" spans="1:9" ht="12.75" customHeight="1" x14ac:dyDescent="0.25">
      <c r="A34" s="1250"/>
      <c r="B34" s="8">
        <v>2018</v>
      </c>
      <c r="C34" s="8">
        <v>2019</v>
      </c>
      <c r="D34" s="8">
        <v>2020</v>
      </c>
      <c r="E34" s="8">
        <v>2021</v>
      </c>
    </row>
    <row r="35" spans="1:9" ht="12.75" customHeight="1" thickBot="1" x14ac:dyDescent="0.3">
      <c r="A35" s="1251"/>
      <c r="B35" s="9" t="s">
        <v>10</v>
      </c>
      <c r="C35" s="9" t="s">
        <v>11</v>
      </c>
      <c r="D35" s="9" t="s">
        <v>11</v>
      </c>
      <c r="E35" s="9" t="s">
        <v>11</v>
      </c>
    </row>
    <row r="36" spans="1:9" ht="15.75" thickBot="1" x14ac:dyDescent="0.3">
      <c r="A36" s="5" t="s">
        <v>19</v>
      </c>
      <c r="B36" s="10">
        <v>5</v>
      </c>
      <c r="C36" s="10">
        <v>5</v>
      </c>
      <c r="D36" s="10">
        <v>5</v>
      </c>
      <c r="E36" s="10">
        <v>5</v>
      </c>
    </row>
    <row r="37" spans="1:9" ht="15.75" thickBot="1" x14ac:dyDescent="0.3">
      <c r="A37" s="5" t="s">
        <v>20</v>
      </c>
      <c r="B37" s="10">
        <f>B66</f>
        <v>4120</v>
      </c>
      <c r="C37" s="10">
        <f>C66</f>
        <v>4377</v>
      </c>
      <c r="D37" s="10">
        <f>D66</f>
        <v>4534.8099999999995</v>
      </c>
      <c r="E37" s="10">
        <f>E66</f>
        <v>4693.4542999999994</v>
      </c>
    </row>
    <row r="38" spans="1:9" ht="15.75" thickBot="1" x14ac:dyDescent="0.3">
      <c r="A38" s="5" t="s">
        <v>21</v>
      </c>
      <c r="B38" s="10">
        <f>B37/B36</f>
        <v>824</v>
      </c>
      <c r="C38" s="10">
        <f>C37/C36</f>
        <v>875.4</v>
      </c>
      <c r="D38" s="10">
        <f>D37/D36</f>
        <v>906.96199999999988</v>
      </c>
      <c r="E38" s="10">
        <f>E37/E36</f>
        <v>938.69085999999993</v>
      </c>
    </row>
    <row r="39" spans="1:9" ht="15.75" thickBot="1" x14ac:dyDescent="0.3">
      <c r="A39" s="5" t="s">
        <v>22</v>
      </c>
      <c r="B39" s="225" t="s">
        <v>23</v>
      </c>
      <c r="C39" s="11">
        <f t="shared" ref="C39:E41" si="0">C36/B36-1</f>
        <v>0</v>
      </c>
      <c r="D39" s="11">
        <f t="shared" si="0"/>
        <v>0</v>
      </c>
      <c r="E39" s="11">
        <f t="shared" si="0"/>
        <v>0</v>
      </c>
      <c r="F39" s="12"/>
      <c r="G39" s="12"/>
      <c r="H39" s="12"/>
      <c r="I39" s="12"/>
    </row>
    <row r="40" spans="1:9" ht="15.75" thickBot="1" x14ac:dyDescent="0.3">
      <c r="A40" s="5" t="s">
        <v>24</v>
      </c>
      <c r="B40" s="225" t="s">
        <v>23</v>
      </c>
      <c r="C40" s="11">
        <f t="shared" si="0"/>
        <v>6.2378640776699079E-2</v>
      </c>
      <c r="D40" s="11">
        <f t="shared" si="0"/>
        <v>3.605437514279175E-2</v>
      </c>
      <c r="E40" s="11">
        <f t="shared" si="0"/>
        <v>3.498367076018627E-2</v>
      </c>
    </row>
    <row r="41" spans="1:9" ht="15.75" thickBot="1" x14ac:dyDescent="0.3">
      <c r="A41" s="5" t="s">
        <v>25</v>
      </c>
      <c r="B41" s="225" t="s">
        <v>23</v>
      </c>
      <c r="C41" s="11">
        <f t="shared" si="0"/>
        <v>6.2378640776699079E-2</v>
      </c>
      <c r="D41" s="11">
        <f t="shared" si="0"/>
        <v>3.605437514279175E-2</v>
      </c>
      <c r="E41" s="11">
        <f t="shared" si="0"/>
        <v>3.498367076018627E-2</v>
      </c>
    </row>
    <row r="42" spans="1:9" ht="15.75" thickBot="1" x14ac:dyDescent="0.3">
      <c r="A42" s="1252" t="s">
        <v>633</v>
      </c>
      <c r="B42" s="1253"/>
      <c r="C42" s="1253"/>
      <c r="D42" s="1253"/>
      <c r="E42" s="1300"/>
    </row>
    <row r="43" spans="1:9" ht="12.75" customHeight="1" x14ac:dyDescent="0.25">
      <c r="A43" s="1250"/>
      <c r="B43" s="8">
        <v>2018</v>
      </c>
      <c r="C43" s="8">
        <v>2019</v>
      </c>
      <c r="D43" s="8">
        <v>2020</v>
      </c>
      <c r="E43" s="8">
        <v>2021</v>
      </c>
    </row>
    <row r="44" spans="1:9" ht="15.75" customHeight="1" thickBot="1" x14ac:dyDescent="0.3">
      <c r="A44" s="1251"/>
      <c r="B44" s="9" t="s">
        <v>10</v>
      </c>
      <c r="C44" s="9" t="s">
        <v>11</v>
      </c>
      <c r="D44" s="9" t="s">
        <v>11</v>
      </c>
      <c r="E44" s="9" t="s">
        <v>11</v>
      </c>
    </row>
    <row r="45" spans="1:9" ht="15.75" thickBot="1" x14ac:dyDescent="0.3">
      <c r="A45" s="13" t="s">
        <v>26</v>
      </c>
      <c r="B45" s="14">
        <v>2800</v>
      </c>
      <c r="C45" s="14">
        <v>3000</v>
      </c>
      <c r="D45" s="14">
        <v>3100</v>
      </c>
      <c r="E45" s="14">
        <v>3200</v>
      </c>
    </row>
    <row r="46" spans="1:9" ht="24.75" thickBot="1" x14ac:dyDescent="0.3">
      <c r="A46" s="28" t="s">
        <v>27</v>
      </c>
      <c r="B46" s="15"/>
      <c r="C46" s="141"/>
      <c r="D46" s="141"/>
      <c r="E46" s="141"/>
    </row>
    <row r="47" spans="1:9" ht="24.75" thickBot="1" x14ac:dyDescent="0.3">
      <c r="A47" s="28" t="s">
        <v>863</v>
      </c>
      <c r="B47" s="15"/>
      <c r="C47" s="29"/>
      <c r="D47" s="29"/>
      <c r="E47" s="29"/>
    </row>
    <row r="48" spans="1:9" ht="24.75" thickBot="1" x14ac:dyDescent="0.3">
      <c r="A48" s="13" t="s">
        <v>28</v>
      </c>
      <c r="B48" s="14">
        <v>420</v>
      </c>
      <c r="C48" s="14">
        <v>450</v>
      </c>
      <c r="D48" s="14">
        <v>480</v>
      </c>
      <c r="E48" s="14">
        <v>510</v>
      </c>
    </row>
    <row r="49" spans="1:5" ht="36.75" thickBot="1" x14ac:dyDescent="0.3">
      <c r="A49" s="28" t="s">
        <v>29</v>
      </c>
      <c r="B49" s="15"/>
      <c r="C49" s="14"/>
      <c r="D49" s="14"/>
      <c r="E49" s="14"/>
    </row>
    <row r="50" spans="1:5" ht="36.75" thickBot="1" x14ac:dyDescent="0.3">
      <c r="A50" s="28" t="s">
        <v>864</v>
      </c>
      <c r="B50" s="15"/>
      <c r="C50" s="14"/>
      <c r="D50" s="14"/>
      <c r="E50" s="14"/>
    </row>
    <row r="51" spans="1:5" ht="15.75" thickBot="1" x14ac:dyDescent="0.3">
      <c r="A51" s="13" t="s">
        <v>30</v>
      </c>
      <c r="B51" s="15">
        <v>900</v>
      </c>
      <c r="C51" s="14">
        <f>B51+B51*3/100</f>
        <v>927</v>
      </c>
      <c r="D51" s="14">
        <f>C51+C51*3/100</f>
        <v>954.81</v>
      </c>
      <c r="E51" s="14">
        <f>D51+D51*3/100</f>
        <v>983.45429999999999</v>
      </c>
    </row>
    <row r="52" spans="1:5" ht="24.75" thickBot="1" x14ac:dyDescent="0.3">
      <c r="A52" s="28" t="s">
        <v>31</v>
      </c>
      <c r="B52" s="15"/>
      <c r="C52" s="14"/>
      <c r="D52" s="14"/>
      <c r="E52" s="14"/>
    </row>
    <row r="53" spans="1:5" ht="24.75" thickBot="1" x14ac:dyDescent="0.3">
      <c r="A53" s="28" t="s">
        <v>865</v>
      </c>
      <c r="B53" s="15"/>
      <c r="C53" s="14"/>
      <c r="D53" s="14"/>
      <c r="E53" s="14"/>
    </row>
    <row r="54" spans="1:5" ht="15.75" thickBot="1" x14ac:dyDescent="0.3">
      <c r="A54" s="13" t="s">
        <v>32</v>
      </c>
      <c r="B54" s="15">
        <v>0</v>
      </c>
      <c r="C54" s="14">
        <v>0</v>
      </c>
      <c r="D54" s="14">
        <v>0</v>
      </c>
      <c r="E54" s="14">
        <v>0</v>
      </c>
    </row>
    <row r="55" spans="1:5" ht="24.75" thickBot="1" x14ac:dyDescent="0.3">
      <c r="A55" s="28" t="s">
        <v>33</v>
      </c>
      <c r="B55" s="15"/>
      <c r="C55" s="14"/>
      <c r="D55" s="14"/>
      <c r="E55" s="14"/>
    </row>
    <row r="56" spans="1:5" ht="24.75" thickBot="1" x14ac:dyDescent="0.3">
      <c r="A56" s="28" t="s">
        <v>866</v>
      </c>
      <c r="B56" s="15"/>
      <c r="C56" s="14"/>
      <c r="D56" s="14"/>
      <c r="E56" s="14"/>
    </row>
    <row r="57" spans="1:5" ht="15.75" thickBot="1" x14ac:dyDescent="0.3">
      <c r="A57" s="13" t="s">
        <v>34</v>
      </c>
      <c r="B57" s="15">
        <v>0</v>
      </c>
      <c r="C57" s="14">
        <v>0</v>
      </c>
      <c r="D57" s="14">
        <v>0</v>
      </c>
      <c r="E57" s="14">
        <v>0</v>
      </c>
    </row>
    <row r="58" spans="1:5" ht="24.75" thickBot="1" x14ac:dyDescent="0.3">
      <c r="A58" s="28" t="s">
        <v>35</v>
      </c>
      <c r="B58" s="15"/>
      <c r="C58" s="14"/>
      <c r="D58" s="14"/>
      <c r="E58" s="14"/>
    </row>
    <row r="59" spans="1:5" ht="24.75" thickBot="1" x14ac:dyDescent="0.3">
      <c r="A59" s="28" t="s">
        <v>867</v>
      </c>
      <c r="B59" s="15"/>
      <c r="C59" s="14"/>
      <c r="D59" s="14"/>
      <c r="E59" s="14"/>
    </row>
    <row r="60" spans="1:5" ht="15.75" thickBot="1" x14ac:dyDescent="0.3">
      <c r="A60" s="13" t="s">
        <v>36</v>
      </c>
      <c r="B60" s="15">
        <v>0</v>
      </c>
      <c r="C60" s="14">
        <v>0</v>
      </c>
      <c r="D60" s="14">
        <v>0</v>
      </c>
      <c r="E60" s="14">
        <v>0</v>
      </c>
    </row>
    <row r="61" spans="1:5" ht="36.75" customHeight="1" thickBot="1" x14ac:dyDescent="0.3">
      <c r="A61" s="28" t="s">
        <v>37</v>
      </c>
      <c r="B61" s="15"/>
      <c r="C61" s="14"/>
      <c r="D61" s="14"/>
      <c r="E61" s="14"/>
    </row>
    <row r="62" spans="1:5" ht="24.75" thickBot="1" x14ac:dyDescent="0.3">
      <c r="A62" s="28" t="s">
        <v>868</v>
      </c>
      <c r="B62" s="15"/>
      <c r="C62" s="14"/>
      <c r="D62" s="14"/>
      <c r="E62" s="14"/>
    </row>
    <row r="63" spans="1:5" ht="15.75" thickBot="1" x14ac:dyDescent="0.3">
      <c r="A63" s="13" t="s">
        <v>38</v>
      </c>
      <c r="B63" s="15">
        <v>0</v>
      </c>
      <c r="C63" s="14">
        <v>0</v>
      </c>
      <c r="D63" s="14">
        <v>0</v>
      </c>
      <c r="E63" s="14">
        <v>0</v>
      </c>
    </row>
    <row r="64" spans="1:5" ht="36.75" thickBot="1" x14ac:dyDescent="0.3">
      <c r="A64" s="28" t="s">
        <v>39</v>
      </c>
      <c r="B64" s="15"/>
      <c r="C64" s="14"/>
      <c r="D64" s="14"/>
      <c r="E64" s="14"/>
    </row>
    <row r="65" spans="1:6" ht="36.75" thickBot="1" x14ac:dyDescent="0.3">
      <c r="A65" s="28" t="s">
        <v>869</v>
      </c>
      <c r="B65" s="15"/>
      <c r="C65" s="14"/>
      <c r="D65" s="14"/>
      <c r="E65" s="14"/>
    </row>
    <row r="66" spans="1:6" ht="15.75" thickBot="1" x14ac:dyDescent="0.3">
      <c r="A66" s="16" t="s">
        <v>40</v>
      </c>
      <c r="B66" s="15">
        <f>B63+B60+B57+B54+B51+B48+B45</f>
        <v>4120</v>
      </c>
      <c r="C66" s="15">
        <f>C63+C60+C57+C54+C51+C48+C45</f>
        <v>4377</v>
      </c>
      <c r="D66" s="15">
        <f>D63+D60+D57+D54+D51+D48+D45</f>
        <v>4534.8099999999995</v>
      </c>
      <c r="E66" s="15">
        <f>E63+E60+E57+E54+E51+E48+E45</f>
        <v>4693.4542999999994</v>
      </c>
    </row>
    <row r="67" spans="1:6" ht="15.75" thickBot="1" x14ac:dyDescent="0.3">
      <c r="A67" s="808" t="s">
        <v>41</v>
      </c>
      <c r="B67" s="807">
        <f>IF(B66-B37=0,0,"Error")</f>
        <v>0</v>
      </c>
      <c r="C67" s="807">
        <f>IF(C66-C37=0,0,"Error")</f>
        <v>0</v>
      </c>
      <c r="D67" s="807">
        <f>IF(D66-D37=0,0,"Error")</f>
        <v>0</v>
      </c>
      <c r="E67" s="807">
        <f>IF(E66-E37=0,0,"Error")</f>
        <v>0</v>
      </c>
    </row>
    <row r="68" spans="1:6" ht="53.25" customHeight="1" thickBot="1" x14ac:dyDescent="0.3">
      <c r="A68" s="806" t="s">
        <v>67</v>
      </c>
      <c r="B68" s="2241" t="s">
        <v>1389</v>
      </c>
      <c r="C68" s="2242"/>
      <c r="D68" s="2242"/>
      <c r="E68" s="2243"/>
      <c r="F68" s="235"/>
    </row>
    <row r="69" spans="1:6" ht="15.75" customHeight="1" thickBot="1" x14ac:dyDescent="0.3">
      <c r="A69" s="2244" t="s">
        <v>68</v>
      </c>
      <c r="B69" s="2245"/>
      <c r="C69" s="2245"/>
      <c r="D69" s="2245"/>
      <c r="E69" s="2246"/>
    </row>
    <row r="70" spans="1:6" ht="36.75" customHeight="1" thickBot="1" x14ac:dyDescent="0.3">
      <c r="A70" s="805" t="s">
        <v>718</v>
      </c>
      <c r="B70" s="10">
        <v>56</v>
      </c>
      <c r="C70" s="60">
        <v>65</v>
      </c>
      <c r="D70" s="60">
        <v>75</v>
      </c>
      <c r="E70" s="60">
        <v>80</v>
      </c>
    </row>
    <row r="71" spans="1:6" ht="36" customHeight="1" thickBot="1" x14ac:dyDescent="0.3">
      <c r="A71" s="804" t="s">
        <v>1388</v>
      </c>
      <c r="B71" s="10">
        <v>15</v>
      </c>
      <c r="C71" s="10">
        <v>15</v>
      </c>
      <c r="D71" s="10">
        <v>20</v>
      </c>
      <c r="E71" s="10">
        <v>25</v>
      </c>
    </row>
    <row r="72" spans="1:6" ht="77.25" customHeight="1" thickBot="1" x14ac:dyDescent="0.3">
      <c r="A72" s="5" t="s">
        <v>1387</v>
      </c>
      <c r="B72" s="10">
        <v>2810</v>
      </c>
      <c r="C72" s="10">
        <v>2815</v>
      </c>
      <c r="D72" s="10">
        <v>3020</v>
      </c>
      <c r="E72" s="10">
        <v>3025</v>
      </c>
    </row>
    <row r="73" spans="1:6" ht="23.25" customHeight="1" thickBot="1" x14ac:dyDescent="0.3">
      <c r="A73" s="1278" t="s">
        <v>69</v>
      </c>
      <c r="B73" s="1279"/>
      <c r="C73" s="1279"/>
      <c r="D73" s="1279"/>
      <c r="E73" s="1355"/>
    </row>
    <row r="74" spans="1:6" ht="23.25" customHeight="1" thickBot="1" x14ac:dyDescent="0.3">
      <c r="A74" s="1280" t="s">
        <v>70</v>
      </c>
      <c r="B74" s="1281"/>
      <c r="C74" s="1281"/>
      <c r="D74" s="1281"/>
      <c r="E74" s="1354"/>
    </row>
    <row r="75" spans="1:6" ht="12.75" customHeight="1" x14ac:dyDescent="0.25">
      <c r="A75" s="1250"/>
      <c r="B75" s="8">
        <v>2018</v>
      </c>
      <c r="C75" s="8">
        <v>2019</v>
      </c>
      <c r="D75" s="8">
        <v>2020</v>
      </c>
      <c r="E75" s="8">
        <v>2021</v>
      </c>
    </row>
    <row r="76" spans="1:6" ht="13.5" customHeight="1" thickBot="1" x14ac:dyDescent="0.3">
      <c r="A76" s="1251"/>
      <c r="B76" s="9" t="s">
        <v>10</v>
      </c>
      <c r="C76" s="9" t="s">
        <v>11</v>
      </c>
      <c r="D76" s="9" t="s">
        <v>11</v>
      </c>
      <c r="E76" s="9" t="s">
        <v>11</v>
      </c>
    </row>
    <row r="77" spans="1:6" ht="26.25" customHeight="1" thickBot="1" x14ac:dyDescent="0.3">
      <c r="A77" s="7" t="s">
        <v>16</v>
      </c>
      <c r="B77" s="1323" t="s">
        <v>1386</v>
      </c>
      <c r="C77" s="1324"/>
      <c r="D77" s="1324"/>
      <c r="E77" s="1325"/>
    </row>
    <row r="78" spans="1:6" ht="33" customHeight="1" thickBot="1" x14ac:dyDescent="0.3">
      <c r="A78" s="5" t="s">
        <v>17</v>
      </c>
      <c r="B78" s="1323" t="s">
        <v>1385</v>
      </c>
      <c r="C78" s="1324"/>
      <c r="D78" s="1324"/>
      <c r="E78" s="1325"/>
    </row>
    <row r="79" spans="1:6" ht="15.75" customHeight="1" thickBot="1" x14ac:dyDescent="0.3">
      <c r="A79" s="5" t="s">
        <v>18</v>
      </c>
      <c r="B79" s="2235" t="s">
        <v>719</v>
      </c>
      <c r="C79" s="2236"/>
      <c r="D79" s="2236"/>
      <c r="E79" s="2237"/>
    </row>
    <row r="80" spans="1:6" ht="12.75" customHeight="1" x14ac:dyDescent="0.25">
      <c r="A80" s="1250"/>
      <c r="B80" s="8">
        <v>2018</v>
      </c>
      <c r="C80" s="8">
        <v>2019</v>
      </c>
      <c r="D80" s="8">
        <v>2020</v>
      </c>
      <c r="E80" s="8">
        <v>2021</v>
      </c>
    </row>
    <row r="81" spans="1:5" ht="12.75" customHeight="1" thickBot="1" x14ac:dyDescent="0.3">
      <c r="A81" s="1251"/>
      <c r="B81" s="9" t="s">
        <v>10</v>
      </c>
      <c r="C81" s="9" t="s">
        <v>11</v>
      </c>
      <c r="D81" s="9" t="s">
        <v>11</v>
      </c>
      <c r="E81" s="9" t="s">
        <v>11</v>
      </c>
    </row>
    <row r="82" spans="1:5" ht="15.75" customHeight="1" thickBot="1" x14ac:dyDescent="0.3">
      <c r="A82" s="5" t="s">
        <v>19</v>
      </c>
      <c r="B82" s="10">
        <v>56</v>
      </c>
      <c r="C82" s="60">
        <v>60</v>
      </c>
      <c r="D82" s="60">
        <v>65</v>
      </c>
      <c r="E82" s="60">
        <v>70</v>
      </c>
    </row>
    <row r="83" spans="1:5" ht="15.75" thickBot="1" x14ac:dyDescent="0.3">
      <c r="A83" s="5" t="s">
        <v>20</v>
      </c>
      <c r="B83" s="10">
        <f>B112</f>
        <v>7068</v>
      </c>
      <c r="C83" s="10">
        <f>C112</f>
        <v>7365.6</v>
      </c>
      <c r="D83" s="10">
        <f>D112</f>
        <v>7642.5680000000002</v>
      </c>
      <c r="E83" s="10">
        <f>E112</f>
        <v>8040.9450400000005</v>
      </c>
    </row>
    <row r="84" spans="1:5" ht="15.75" thickBot="1" x14ac:dyDescent="0.3">
      <c r="A84" s="5" t="s">
        <v>21</v>
      </c>
      <c r="B84" s="10">
        <f>B83/B82</f>
        <v>126.21428571428571</v>
      </c>
      <c r="C84" s="10">
        <f>C83/C82</f>
        <v>122.76</v>
      </c>
      <c r="D84" s="10">
        <f>D83/D82</f>
        <v>117.57796923076923</v>
      </c>
      <c r="E84" s="10">
        <f>E83/E82</f>
        <v>114.87064342857144</v>
      </c>
    </row>
    <row r="85" spans="1:5" ht="15.75" thickBot="1" x14ac:dyDescent="0.3">
      <c r="A85" s="5" t="s">
        <v>22</v>
      </c>
      <c r="B85" s="225"/>
      <c r="C85" s="11">
        <f t="shared" ref="C85:E87" si="1">C82/B82-1</f>
        <v>7.1428571428571397E-2</v>
      </c>
      <c r="D85" s="11">
        <f t="shared" si="1"/>
        <v>8.3333333333333259E-2</v>
      </c>
      <c r="E85" s="11">
        <f t="shared" si="1"/>
        <v>7.6923076923076872E-2</v>
      </c>
    </row>
    <row r="86" spans="1:5" ht="15.75" thickBot="1" x14ac:dyDescent="0.3">
      <c r="A86" s="5" t="s">
        <v>24</v>
      </c>
      <c r="B86" s="225"/>
      <c r="C86" s="11">
        <f t="shared" si="1"/>
        <v>4.2105263157894868E-2</v>
      </c>
      <c r="D86" s="11">
        <f t="shared" si="1"/>
        <v>3.7602910828717251E-2</v>
      </c>
      <c r="E86" s="11">
        <f t="shared" si="1"/>
        <v>5.2126070713404138E-2</v>
      </c>
    </row>
    <row r="87" spans="1:5" ht="15.75" thickBot="1" x14ac:dyDescent="0.3">
      <c r="A87" s="5" t="s">
        <v>25</v>
      </c>
      <c r="B87" s="225"/>
      <c r="C87" s="11">
        <f t="shared" si="1"/>
        <v>-2.7368421052631486E-2</v>
      </c>
      <c r="D87" s="11">
        <f t="shared" si="1"/>
        <v>-4.2212697696568768E-2</v>
      </c>
      <c r="E87" s="11">
        <f t="shared" si="1"/>
        <v>-2.3025791480410285E-2</v>
      </c>
    </row>
    <row r="88" spans="1:5" ht="15.75" thickBot="1" x14ac:dyDescent="0.3">
      <c r="A88" s="1252" t="s">
        <v>636</v>
      </c>
      <c r="B88" s="1253"/>
      <c r="C88" s="1253"/>
      <c r="D88" s="1253"/>
      <c r="E88" s="1300"/>
    </row>
    <row r="89" spans="1:5" ht="12.75" customHeight="1" x14ac:dyDescent="0.25">
      <c r="A89" s="1250"/>
      <c r="B89" s="8">
        <v>2018</v>
      </c>
      <c r="C89" s="8">
        <v>2019</v>
      </c>
      <c r="D89" s="8">
        <v>2020</v>
      </c>
      <c r="E89" s="8">
        <v>2021</v>
      </c>
    </row>
    <row r="90" spans="1:5" ht="13.5" customHeight="1" thickBot="1" x14ac:dyDescent="0.3">
      <c r="A90" s="1251"/>
      <c r="B90" s="9" t="s">
        <v>10</v>
      </c>
      <c r="C90" s="9" t="s">
        <v>11</v>
      </c>
      <c r="D90" s="9" t="s">
        <v>11</v>
      </c>
      <c r="E90" s="9" t="s">
        <v>11</v>
      </c>
    </row>
    <row r="91" spans="1:5" ht="15.75" thickBot="1" x14ac:dyDescent="0.3">
      <c r="A91" s="13" t="s">
        <v>26</v>
      </c>
      <c r="B91" s="14">
        <v>4800</v>
      </c>
      <c r="C91" s="14">
        <v>5000</v>
      </c>
      <c r="D91" s="14">
        <v>5200</v>
      </c>
      <c r="E91" s="14">
        <v>5500</v>
      </c>
    </row>
    <row r="92" spans="1:5" ht="24.75" thickBot="1" x14ac:dyDescent="0.3">
      <c r="A92" s="28" t="s">
        <v>27</v>
      </c>
      <c r="B92" s="15"/>
      <c r="C92" s="29"/>
      <c r="D92" s="29"/>
      <c r="E92" s="29"/>
    </row>
    <row r="93" spans="1:5" ht="24.75" thickBot="1" x14ac:dyDescent="0.3">
      <c r="A93" s="28" t="s">
        <v>45</v>
      </c>
      <c r="B93" s="15"/>
      <c r="C93" s="29"/>
      <c r="D93" s="29"/>
      <c r="E93" s="29"/>
    </row>
    <row r="94" spans="1:5" ht="24.75" thickBot="1" x14ac:dyDescent="0.3">
      <c r="A94" s="13" t="s">
        <v>28</v>
      </c>
      <c r="B94" s="14">
        <v>748</v>
      </c>
      <c r="C94" s="14">
        <v>800</v>
      </c>
      <c r="D94" s="14">
        <v>830</v>
      </c>
      <c r="E94" s="14">
        <v>880</v>
      </c>
    </row>
    <row r="95" spans="1:5" ht="36.75" thickBot="1" x14ac:dyDescent="0.3">
      <c r="A95" s="28" t="s">
        <v>29</v>
      </c>
      <c r="B95" s="15"/>
      <c r="C95" s="14"/>
      <c r="D95" s="14"/>
      <c r="E95" s="14"/>
    </row>
    <row r="96" spans="1:5" ht="36.75" thickBot="1" x14ac:dyDescent="0.3">
      <c r="A96" s="28" t="s">
        <v>46</v>
      </c>
      <c r="B96" s="15"/>
      <c r="C96" s="14"/>
      <c r="D96" s="14"/>
      <c r="E96" s="14"/>
    </row>
    <row r="97" spans="1:5" ht="15.75" thickBot="1" x14ac:dyDescent="0.3">
      <c r="A97" s="13" t="s">
        <v>30</v>
      </c>
      <c r="B97" s="15">
        <v>1520</v>
      </c>
      <c r="C97" s="14">
        <f>B97+B97*3/100</f>
        <v>1565.6</v>
      </c>
      <c r="D97" s="14">
        <f>C97+C97*3/100</f>
        <v>1612.568</v>
      </c>
      <c r="E97" s="14">
        <f>D97+D97*3/100</f>
        <v>1660.9450400000001</v>
      </c>
    </row>
    <row r="98" spans="1:5" ht="24.75" thickBot="1" x14ac:dyDescent="0.3">
      <c r="A98" s="28" t="s">
        <v>31</v>
      </c>
      <c r="B98" s="15"/>
      <c r="C98" s="14"/>
      <c r="D98" s="14"/>
      <c r="E98" s="14"/>
    </row>
    <row r="99" spans="1:5" ht="24.75" thickBot="1" x14ac:dyDescent="0.3">
      <c r="A99" s="28" t="s">
        <v>47</v>
      </c>
      <c r="B99" s="15"/>
      <c r="C99" s="14"/>
      <c r="D99" s="14"/>
      <c r="E99" s="14"/>
    </row>
    <row r="100" spans="1:5" ht="15.75" thickBot="1" x14ac:dyDescent="0.3">
      <c r="A100" s="13" t="s">
        <v>32</v>
      </c>
      <c r="B100" s="15">
        <v>0</v>
      </c>
      <c r="C100" s="14">
        <v>0</v>
      </c>
      <c r="D100" s="14">
        <v>0</v>
      </c>
      <c r="E100" s="14">
        <v>0</v>
      </c>
    </row>
    <row r="101" spans="1:5" ht="24.75" thickBot="1" x14ac:dyDescent="0.3">
      <c r="A101" s="28" t="s">
        <v>33</v>
      </c>
      <c r="B101" s="15"/>
      <c r="C101" s="14"/>
      <c r="D101" s="14"/>
      <c r="E101" s="14"/>
    </row>
    <row r="102" spans="1:5" ht="24.75" thickBot="1" x14ac:dyDescent="0.3">
      <c r="A102" s="28" t="s">
        <v>48</v>
      </c>
      <c r="B102" s="15"/>
      <c r="C102" s="14"/>
      <c r="D102" s="14"/>
      <c r="E102" s="14"/>
    </row>
    <row r="103" spans="1:5" ht="15.75" thickBot="1" x14ac:dyDescent="0.3">
      <c r="A103" s="13" t="s">
        <v>34</v>
      </c>
      <c r="B103" s="15">
        <v>0</v>
      </c>
      <c r="C103" s="14">
        <v>0</v>
      </c>
      <c r="D103" s="14">
        <v>0</v>
      </c>
      <c r="E103" s="14">
        <v>0</v>
      </c>
    </row>
    <row r="104" spans="1:5" ht="24.75" thickBot="1" x14ac:dyDescent="0.3">
      <c r="A104" s="28" t="s">
        <v>35</v>
      </c>
      <c r="B104" s="15"/>
      <c r="C104" s="14"/>
      <c r="D104" s="14"/>
      <c r="E104" s="14"/>
    </row>
    <row r="105" spans="1:5" ht="24.75" thickBot="1" x14ac:dyDescent="0.3">
      <c r="A105" s="28" t="s">
        <v>49</v>
      </c>
      <c r="B105" s="15"/>
      <c r="C105" s="14"/>
      <c r="D105" s="14"/>
      <c r="E105" s="14"/>
    </row>
    <row r="106" spans="1:5" ht="15.75" thickBot="1" x14ac:dyDescent="0.3">
      <c r="A106" s="13" t="s">
        <v>36</v>
      </c>
      <c r="B106" s="15">
        <v>0</v>
      </c>
      <c r="C106" s="14">
        <v>0</v>
      </c>
      <c r="D106" s="14">
        <v>0</v>
      </c>
      <c r="E106" s="14">
        <v>0</v>
      </c>
    </row>
    <row r="107" spans="1:5" ht="36.75" customHeight="1" thickBot="1" x14ac:dyDescent="0.3">
      <c r="A107" s="28" t="s">
        <v>37</v>
      </c>
      <c r="B107" s="15"/>
      <c r="C107" s="14"/>
      <c r="D107" s="14"/>
      <c r="E107" s="14"/>
    </row>
    <row r="108" spans="1:5" ht="24.75" thickBot="1" x14ac:dyDescent="0.3">
      <c r="A108" s="28" t="s">
        <v>50</v>
      </c>
      <c r="B108" s="15"/>
      <c r="C108" s="14"/>
      <c r="D108" s="14"/>
      <c r="E108" s="14"/>
    </row>
    <row r="109" spans="1:5" ht="15.75" thickBot="1" x14ac:dyDescent="0.3">
      <c r="A109" s="13" t="s">
        <v>38</v>
      </c>
      <c r="B109" s="15">
        <v>0</v>
      </c>
      <c r="C109" s="14">
        <v>0</v>
      </c>
      <c r="D109" s="14">
        <v>0</v>
      </c>
      <c r="E109" s="14">
        <v>0</v>
      </c>
    </row>
    <row r="110" spans="1:5" ht="36.75" thickBot="1" x14ac:dyDescent="0.3">
      <c r="A110" s="28" t="s">
        <v>39</v>
      </c>
      <c r="B110" s="15"/>
      <c r="C110" s="14"/>
      <c r="D110" s="14"/>
      <c r="E110" s="14"/>
    </row>
    <row r="111" spans="1:5" ht="36.75" thickBot="1" x14ac:dyDescent="0.3">
      <c r="A111" s="28" t="s">
        <v>51</v>
      </c>
      <c r="B111" s="15"/>
      <c r="C111" s="14"/>
      <c r="D111" s="14"/>
      <c r="E111" s="14"/>
    </row>
    <row r="112" spans="1:5" ht="24.75" thickBot="1" x14ac:dyDescent="0.3">
      <c r="A112" s="799" t="s">
        <v>71</v>
      </c>
      <c r="B112" s="138">
        <f>B109+B106+B103+B100+B97+B94+B91</f>
        <v>7068</v>
      </c>
      <c r="C112" s="138">
        <f>C109+C106+C103+C100+C97+C94+C91</f>
        <v>7365.6</v>
      </c>
      <c r="D112" s="138">
        <f>D109+D106+D103+D100+D97+D94+D91</f>
        <v>7642.5680000000002</v>
      </c>
      <c r="E112" s="138">
        <f>E109+E106+E103+E100+E97+E94+E91</f>
        <v>8040.9450400000005</v>
      </c>
    </row>
    <row r="113" spans="1:5" ht="15.75" thickBot="1" x14ac:dyDescent="0.3">
      <c r="A113" s="17" t="s">
        <v>41</v>
      </c>
      <c r="B113" s="18">
        <f>IF(B112-B83=0,0,"Error")</f>
        <v>0</v>
      </c>
      <c r="C113" s="18">
        <f>IF(C112-C83=0,0,"Error")</f>
        <v>0</v>
      </c>
      <c r="D113" s="18">
        <f>IF(D112-D83=0,0,"Error")</f>
        <v>0</v>
      </c>
      <c r="E113" s="18">
        <f>IF(E112-E83=0,0,"Error")</f>
        <v>0</v>
      </c>
    </row>
    <row r="114" spans="1:5" ht="42.75" customHeight="1" thickBot="1" x14ac:dyDescent="0.3">
      <c r="A114" s="213" t="s">
        <v>42</v>
      </c>
      <c r="B114" s="1252" t="s">
        <v>1384</v>
      </c>
      <c r="C114" s="2233"/>
      <c r="D114" s="2233"/>
      <c r="E114" s="2234"/>
    </row>
    <row r="115" spans="1:5" ht="36.75" customHeight="1" thickBot="1" x14ac:dyDescent="0.3">
      <c r="A115" s="5" t="s">
        <v>17</v>
      </c>
      <c r="B115" s="1252" t="s">
        <v>1383</v>
      </c>
      <c r="C115" s="2233"/>
      <c r="D115" s="2233"/>
      <c r="E115" s="2234"/>
    </row>
    <row r="116" spans="1:5" ht="15.75" thickBot="1" x14ac:dyDescent="0.3">
      <c r="A116" s="5" t="s">
        <v>18</v>
      </c>
      <c r="B116" s="1396" t="s">
        <v>1380</v>
      </c>
      <c r="C116" s="1397"/>
      <c r="D116" s="1397"/>
      <c r="E116" s="1398"/>
    </row>
    <row r="117" spans="1:5" ht="12.75" customHeight="1" x14ac:dyDescent="0.25">
      <c r="A117" s="1250"/>
      <c r="B117" s="8">
        <v>2018</v>
      </c>
      <c r="C117" s="8">
        <v>2019</v>
      </c>
      <c r="D117" s="8">
        <v>2020</v>
      </c>
      <c r="E117" s="8">
        <v>2021</v>
      </c>
    </row>
    <row r="118" spans="1:5" ht="13.5" customHeight="1" thickBot="1" x14ac:dyDescent="0.3">
      <c r="A118" s="1251"/>
      <c r="B118" s="9" t="s">
        <v>10</v>
      </c>
      <c r="C118" s="9" t="s">
        <v>11</v>
      </c>
      <c r="D118" s="9" t="s">
        <v>11</v>
      </c>
      <c r="E118" s="9" t="s">
        <v>11</v>
      </c>
    </row>
    <row r="119" spans="1:5" ht="15.75" thickBot="1" x14ac:dyDescent="0.3">
      <c r="A119" s="5" t="s">
        <v>19</v>
      </c>
      <c r="B119" s="10">
        <v>2810</v>
      </c>
      <c r="C119" s="10">
        <v>2815</v>
      </c>
      <c r="D119" s="10">
        <v>3020</v>
      </c>
      <c r="E119" s="10">
        <v>3025</v>
      </c>
    </row>
    <row r="120" spans="1:5" ht="15.75" thickBot="1" x14ac:dyDescent="0.3">
      <c r="A120" s="5" t="s">
        <v>20</v>
      </c>
      <c r="B120" s="10">
        <f>B149</f>
        <v>6990</v>
      </c>
      <c r="C120" s="10">
        <f>C149</f>
        <v>7246.3</v>
      </c>
      <c r="D120" s="10">
        <f>D149</f>
        <v>7491.9589999999998</v>
      </c>
      <c r="E120" s="10">
        <f>E149</f>
        <v>7552.0177700000004</v>
      </c>
    </row>
    <row r="121" spans="1:5" ht="15.75" thickBot="1" x14ac:dyDescent="0.3">
      <c r="A121" s="5" t="s">
        <v>21</v>
      </c>
      <c r="B121" s="10">
        <f>B120/B119</f>
        <v>2.487544483985765</v>
      </c>
      <c r="C121" s="10">
        <f>C120/C119</f>
        <v>2.5741740674955595</v>
      </c>
      <c r="D121" s="10">
        <f>D120/D119</f>
        <v>2.4807811258278143</v>
      </c>
      <c r="E121" s="10">
        <f>E120/E119</f>
        <v>2.4965348000000001</v>
      </c>
    </row>
    <row r="122" spans="1:5" ht="15.75" thickBot="1" x14ac:dyDescent="0.3">
      <c r="A122" s="5" t="s">
        <v>22</v>
      </c>
      <c r="B122" s="225"/>
      <c r="C122" s="11">
        <f t="shared" ref="C122:E124" si="2">C119/B119-1</f>
        <v>1.779359430605032E-3</v>
      </c>
      <c r="D122" s="11">
        <f t="shared" si="2"/>
        <v>7.2824156305506316E-2</v>
      </c>
      <c r="E122" s="11">
        <f t="shared" si="2"/>
        <v>1.6556291390728006E-3</v>
      </c>
    </row>
    <row r="123" spans="1:5" ht="15.75" thickBot="1" x14ac:dyDescent="0.3">
      <c r="A123" s="5" t="s">
        <v>24</v>
      </c>
      <c r="B123" s="225"/>
      <c r="C123" s="11">
        <f t="shared" si="2"/>
        <v>3.6666666666666625E-2</v>
      </c>
      <c r="D123" s="11">
        <f t="shared" si="2"/>
        <v>3.3901301353794322E-2</v>
      </c>
      <c r="E123" s="11">
        <f t="shared" si="2"/>
        <v>8.0164306825492027E-3</v>
      </c>
    </row>
    <row r="124" spans="1:5" ht="15.75" thickBot="1" x14ac:dyDescent="0.3">
      <c r="A124" s="5" t="s">
        <v>25</v>
      </c>
      <c r="B124" s="225"/>
      <c r="C124" s="11">
        <f t="shared" si="2"/>
        <v>3.4825340438129126E-2</v>
      </c>
      <c r="D124" s="11">
        <f t="shared" si="2"/>
        <v>-3.628074062551967E-2</v>
      </c>
      <c r="E124" s="11">
        <f t="shared" si="2"/>
        <v>6.3502878219170444E-3</v>
      </c>
    </row>
    <row r="125" spans="1:5" ht="15.75" thickBot="1" x14ac:dyDescent="0.3">
      <c r="A125" s="1252" t="s">
        <v>884</v>
      </c>
      <c r="B125" s="1253"/>
      <c r="C125" s="1253"/>
      <c r="D125" s="1253"/>
      <c r="E125" s="1300"/>
    </row>
    <row r="126" spans="1:5" ht="12.75" customHeight="1" x14ac:dyDescent="0.25">
      <c r="A126" s="1250"/>
      <c r="B126" s="8">
        <v>2018</v>
      </c>
      <c r="C126" s="8">
        <v>2019</v>
      </c>
      <c r="D126" s="8">
        <v>2020</v>
      </c>
      <c r="E126" s="8">
        <v>2021</v>
      </c>
    </row>
    <row r="127" spans="1:5" ht="12.75" customHeight="1" thickBot="1" x14ac:dyDescent="0.3">
      <c r="A127" s="1251"/>
      <c r="B127" s="9" t="s">
        <v>10</v>
      </c>
      <c r="C127" s="9" t="s">
        <v>11</v>
      </c>
      <c r="D127" s="9" t="s">
        <v>11</v>
      </c>
      <c r="E127" s="9" t="s">
        <v>11</v>
      </c>
    </row>
    <row r="128" spans="1:5" ht="15.75" thickBot="1" x14ac:dyDescent="0.3">
      <c r="A128" s="13" t="s">
        <v>26</v>
      </c>
      <c r="B128" s="14">
        <v>4800</v>
      </c>
      <c r="C128" s="14">
        <v>5010</v>
      </c>
      <c r="D128" s="14">
        <v>5160</v>
      </c>
      <c r="E128" s="14">
        <v>5170</v>
      </c>
    </row>
    <row r="129" spans="1:5" ht="24.75" thickBot="1" x14ac:dyDescent="0.3">
      <c r="A129" s="28" t="s">
        <v>27</v>
      </c>
      <c r="B129" s="15"/>
      <c r="C129" s="29"/>
      <c r="D129" s="29"/>
      <c r="E129" s="29"/>
    </row>
    <row r="130" spans="1:5" ht="24.75" thickBot="1" x14ac:dyDescent="0.3">
      <c r="A130" s="28" t="s">
        <v>45</v>
      </c>
      <c r="B130" s="15"/>
      <c r="C130" s="29"/>
      <c r="D130" s="29"/>
      <c r="E130" s="29"/>
    </row>
    <row r="131" spans="1:5" ht="24.75" thickBot="1" x14ac:dyDescent="0.3">
      <c r="A131" s="13" t="s">
        <v>28</v>
      </c>
      <c r="B131" s="14">
        <v>680</v>
      </c>
      <c r="C131" s="14">
        <v>681</v>
      </c>
      <c r="D131" s="14">
        <v>730</v>
      </c>
      <c r="E131" s="14">
        <v>732</v>
      </c>
    </row>
    <row r="132" spans="1:5" ht="36.75" thickBot="1" x14ac:dyDescent="0.3">
      <c r="A132" s="28" t="s">
        <v>29</v>
      </c>
      <c r="B132" s="15"/>
      <c r="C132" s="14"/>
      <c r="D132" s="14"/>
      <c r="E132" s="14"/>
    </row>
    <row r="133" spans="1:5" ht="36.75" thickBot="1" x14ac:dyDescent="0.3">
      <c r="A133" s="28" t="s">
        <v>46</v>
      </c>
      <c r="B133" s="15"/>
      <c r="C133" s="14"/>
      <c r="D133" s="14"/>
      <c r="E133" s="14"/>
    </row>
    <row r="134" spans="1:5" ht="15.75" thickBot="1" x14ac:dyDescent="0.3">
      <c r="A134" s="13" t="s">
        <v>30</v>
      </c>
      <c r="B134" s="15">
        <v>1510</v>
      </c>
      <c r="C134" s="14">
        <f>B134+B134*3/100</f>
        <v>1555.3</v>
      </c>
      <c r="D134" s="14">
        <f>C134+C134*3/100</f>
        <v>1601.9590000000001</v>
      </c>
      <c r="E134" s="14">
        <f>D134+D134*3/100</f>
        <v>1650.0177700000002</v>
      </c>
    </row>
    <row r="135" spans="1:5" ht="24.75" thickBot="1" x14ac:dyDescent="0.3">
      <c r="A135" s="28" t="s">
        <v>31</v>
      </c>
      <c r="B135" s="15"/>
      <c r="C135" s="14"/>
      <c r="D135" s="14"/>
      <c r="E135" s="14"/>
    </row>
    <row r="136" spans="1:5" ht="24.75" thickBot="1" x14ac:dyDescent="0.3">
      <c r="A136" s="28" t="s">
        <v>47</v>
      </c>
      <c r="B136" s="15"/>
      <c r="C136" s="14"/>
      <c r="D136" s="14"/>
      <c r="E136" s="14"/>
    </row>
    <row r="137" spans="1:5" ht="15.75" thickBot="1" x14ac:dyDescent="0.3">
      <c r="A137" s="13" t="s">
        <v>32</v>
      </c>
      <c r="B137" s="15">
        <v>0</v>
      </c>
      <c r="C137" s="14">
        <v>0</v>
      </c>
      <c r="D137" s="14">
        <v>0</v>
      </c>
      <c r="E137" s="14">
        <v>0</v>
      </c>
    </row>
    <row r="138" spans="1:5" ht="24.75" thickBot="1" x14ac:dyDescent="0.3">
      <c r="A138" s="28" t="s">
        <v>33</v>
      </c>
      <c r="B138" s="15"/>
      <c r="C138" s="14"/>
      <c r="D138" s="14"/>
      <c r="E138" s="14"/>
    </row>
    <row r="139" spans="1:5" ht="24.75" thickBot="1" x14ac:dyDescent="0.3">
      <c r="A139" s="28" t="s">
        <v>48</v>
      </c>
      <c r="B139" s="15"/>
      <c r="C139" s="14"/>
      <c r="D139" s="14"/>
      <c r="E139" s="14"/>
    </row>
    <row r="140" spans="1:5" ht="15.75" thickBot="1" x14ac:dyDescent="0.3">
      <c r="A140" s="13" t="s">
        <v>34</v>
      </c>
      <c r="B140" s="15">
        <v>0</v>
      </c>
      <c r="C140" s="14">
        <v>0</v>
      </c>
      <c r="D140" s="14">
        <v>0</v>
      </c>
      <c r="E140" s="14">
        <v>0</v>
      </c>
    </row>
    <row r="141" spans="1:5" ht="24.75" thickBot="1" x14ac:dyDescent="0.3">
      <c r="A141" s="28" t="s">
        <v>35</v>
      </c>
      <c r="B141" s="15"/>
      <c r="C141" s="14"/>
      <c r="D141" s="14"/>
      <c r="E141" s="14"/>
    </row>
    <row r="142" spans="1:5" ht="24.75" thickBot="1" x14ac:dyDescent="0.3">
      <c r="A142" s="28" t="s">
        <v>49</v>
      </c>
      <c r="B142" s="15"/>
      <c r="C142" s="14"/>
      <c r="D142" s="14"/>
      <c r="E142" s="14"/>
    </row>
    <row r="143" spans="1:5" ht="15.75" thickBot="1" x14ac:dyDescent="0.3">
      <c r="A143" s="13" t="s">
        <v>36</v>
      </c>
      <c r="B143" s="15">
        <v>0</v>
      </c>
      <c r="C143" s="14">
        <v>0</v>
      </c>
      <c r="D143" s="14">
        <v>0</v>
      </c>
      <c r="E143" s="14">
        <v>0</v>
      </c>
    </row>
    <row r="144" spans="1:5" ht="36.75" customHeight="1" thickBot="1" x14ac:dyDescent="0.3">
      <c r="A144" s="28" t="s">
        <v>37</v>
      </c>
      <c r="B144" s="15"/>
      <c r="C144" s="14"/>
      <c r="D144" s="14"/>
      <c r="E144" s="14"/>
    </row>
    <row r="145" spans="1:5" ht="24.75" thickBot="1" x14ac:dyDescent="0.3">
      <c r="A145" s="28" t="s">
        <v>50</v>
      </c>
      <c r="B145" s="15"/>
      <c r="C145" s="14"/>
      <c r="D145" s="14"/>
      <c r="E145" s="14"/>
    </row>
    <row r="146" spans="1:5" ht="15.75" thickBot="1" x14ac:dyDescent="0.3">
      <c r="A146" s="13" t="s">
        <v>38</v>
      </c>
      <c r="B146" s="15">
        <v>0</v>
      </c>
      <c r="C146" s="14">
        <v>0</v>
      </c>
      <c r="D146" s="14">
        <v>0</v>
      </c>
      <c r="E146" s="14">
        <v>0</v>
      </c>
    </row>
    <row r="147" spans="1:5" ht="36.75" thickBot="1" x14ac:dyDescent="0.3">
      <c r="A147" s="28" t="s">
        <v>39</v>
      </c>
      <c r="B147" s="15"/>
      <c r="C147" s="14"/>
      <c r="D147" s="14"/>
      <c r="E147" s="14"/>
    </row>
    <row r="148" spans="1:5" ht="36.75" thickBot="1" x14ac:dyDescent="0.3">
      <c r="A148" s="28" t="s">
        <v>51</v>
      </c>
      <c r="B148" s="15"/>
      <c r="C148" s="14"/>
      <c r="D148" s="14"/>
      <c r="E148" s="14"/>
    </row>
    <row r="149" spans="1:5" ht="24.75" thickBot="1" x14ac:dyDescent="0.3">
      <c r="A149" s="799" t="s">
        <v>71</v>
      </c>
      <c r="B149" s="140">
        <f>B146+B140+B143+B137+B134+B131+B128</f>
        <v>6990</v>
      </c>
      <c r="C149" s="140">
        <f>C146+C140+C143+C137+C134+C131+C128</f>
        <v>7246.3</v>
      </c>
      <c r="D149" s="140">
        <f>D146+D140+D143+D137+D134+D131+D128</f>
        <v>7491.9589999999998</v>
      </c>
      <c r="E149" s="140">
        <f>E146+E140+E143+E137+E134+E131+E128</f>
        <v>7552.0177700000004</v>
      </c>
    </row>
    <row r="150" spans="1:5" ht="15.75" thickBot="1" x14ac:dyDescent="0.3">
      <c r="A150" s="17" t="s">
        <v>41</v>
      </c>
      <c r="B150" s="18">
        <f>IF(B149-B120=0,0,"Error")</f>
        <v>0</v>
      </c>
      <c r="C150" s="18">
        <f>IF(C149-C120=0,0,"Error")</f>
        <v>0</v>
      </c>
      <c r="D150" s="18">
        <f>IF(D149-D120=0,0,"Error")</f>
        <v>0</v>
      </c>
      <c r="E150" s="18">
        <f>IF(E149-E120=0,0,"Error")</f>
        <v>0</v>
      </c>
    </row>
    <row r="151" spans="1:5" ht="42.75" customHeight="1" thickBot="1" x14ac:dyDescent="0.3">
      <c r="A151" s="213" t="s">
        <v>44</v>
      </c>
      <c r="B151" s="1252" t="s">
        <v>1382</v>
      </c>
      <c r="C151" s="2233"/>
      <c r="D151" s="2233"/>
      <c r="E151" s="2234"/>
    </row>
    <row r="152" spans="1:5" ht="36.75" customHeight="1" thickBot="1" x14ac:dyDescent="0.3">
      <c r="A152" s="5" t="s">
        <v>17</v>
      </c>
      <c r="B152" s="1252" t="s">
        <v>1381</v>
      </c>
      <c r="C152" s="2233"/>
      <c r="D152" s="2233"/>
      <c r="E152" s="2234"/>
    </row>
    <row r="153" spans="1:5" ht="15.75" thickBot="1" x14ac:dyDescent="0.3">
      <c r="A153" s="5" t="s">
        <v>18</v>
      </c>
      <c r="B153" s="1396" t="s">
        <v>1380</v>
      </c>
      <c r="C153" s="1397"/>
      <c r="D153" s="1397"/>
      <c r="E153" s="1398"/>
    </row>
    <row r="154" spans="1:5" ht="12.75" customHeight="1" x14ac:dyDescent="0.25">
      <c r="A154" s="1250"/>
      <c r="B154" s="8">
        <v>2018</v>
      </c>
      <c r="C154" s="8">
        <v>2019</v>
      </c>
      <c r="D154" s="8">
        <v>2020</v>
      </c>
      <c r="E154" s="8">
        <v>2021</v>
      </c>
    </row>
    <row r="155" spans="1:5" ht="13.5" customHeight="1" thickBot="1" x14ac:dyDescent="0.3">
      <c r="A155" s="1251"/>
      <c r="B155" s="9" t="s">
        <v>10</v>
      </c>
      <c r="C155" s="9" t="s">
        <v>11</v>
      </c>
      <c r="D155" s="9" t="s">
        <v>11</v>
      </c>
      <c r="E155" s="9" t="s">
        <v>11</v>
      </c>
    </row>
    <row r="156" spans="1:5" ht="15.75" thickBot="1" x14ac:dyDescent="0.3">
      <c r="A156" s="5" t="s">
        <v>19</v>
      </c>
      <c r="B156" s="10">
        <v>15</v>
      </c>
      <c r="C156" s="10">
        <v>15</v>
      </c>
      <c r="D156" s="10">
        <v>20</v>
      </c>
      <c r="E156" s="10">
        <v>25</v>
      </c>
    </row>
    <row r="157" spans="1:5" ht="15.75" thickBot="1" x14ac:dyDescent="0.3">
      <c r="A157" s="5" t="s">
        <v>20</v>
      </c>
      <c r="B157" s="10">
        <f>B186</f>
        <v>6612</v>
      </c>
      <c r="C157" s="10">
        <f>C186</f>
        <v>7390.2999999999993</v>
      </c>
      <c r="D157" s="10">
        <f>D186</f>
        <v>7670.3590000000004</v>
      </c>
      <c r="E157" s="10">
        <f>E186</f>
        <v>8068.5177700000004</v>
      </c>
    </row>
    <row r="158" spans="1:5" ht="15.75" thickBot="1" x14ac:dyDescent="0.3">
      <c r="A158" s="5" t="s">
        <v>21</v>
      </c>
      <c r="B158" s="10">
        <f>B157/B156</f>
        <v>440.8</v>
      </c>
      <c r="C158" s="10">
        <f>C157/C156</f>
        <v>492.68666666666661</v>
      </c>
      <c r="D158" s="10">
        <f>D157/D156</f>
        <v>383.51795000000004</v>
      </c>
      <c r="E158" s="10">
        <f>E157/E156</f>
        <v>322.74071079999999</v>
      </c>
    </row>
    <row r="159" spans="1:5" ht="15.75" thickBot="1" x14ac:dyDescent="0.3">
      <c r="A159" s="5" t="s">
        <v>22</v>
      </c>
      <c r="B159" s="225"/>
      <c r="C159" s="11">
        <f t="shared" ref="C159:E161" si="3">C156/B156-1</f>
        <v>0</v>
      </c>
      <c r="D159" s="11">
        <f t="shared" si="3"/>
        <v>0.33333333333333326</v>
      </c>
      <c r="E159" s="11">
        <f t="shared" si="3"/>
        <v>0.25</v>
      </c>
    </row>
    <row r="160" spans="1:5" ht="15.75" thickBot="1" x14ac:dyDescent="0.3">
      <c r="A160" s="5" t="s">
        <v>24</v>
      </c>
      <c r="B160" s="225"/>
      <c r="C160" s="11">
        <f t="shared" si="3"/>
        <v>0.1177102238354506</v>
      </c>
      <c r="D160" s="11">
        <f t="shared" si="3"/>
        <v>3.7895484621734088E-2</v>
      </c>
      <c r="E160" s="11">
        <f t="shared" si="3"/>
        <v>5.1908752901917543E-2</v>
      </c>
    </row>
    <row r="161" spans="1:8" ht="15.75" thickBot="1" x14ac:dyDescent="0.3">
      <c r="A161" s="5" t="s">
        <v>25</v>
      </c>
      <c r="B161" s="225"/>
      <c r="C161" s="11">
        <f t="shared" si="3"/>
        <v>0.1177102238354506</v>
      </c>
      <c r="D161" s="11">
        <f t="shared" si="3"/>
        <v>-0.22157838653369943</v>
      </c>
      <c r="E161" s="11">
        <f t="shared" si="3"/>
        <v>-0.15847299767846601</v>
      </c>
    </row>
    <row r="162" spans="1:8" ht="15.75" thickBot="1" x14ac:dyDescent="0.3">
      <c r="A162" s="1252" t="s">
        <v>884</v>
      </c>
      <c r="B162" s="1253"/>
      <c r="C162" s="1253"/>
      <c r="D162" s="1253"/>
      <c r="E162" s="1300"/>
    </row>
    <row r="163" spans="1:8" ht="12.75" customHeight="1" x14ac:dyDescent="0.25">
      <c r="A163" s="1250"/>
      <c r="B163" s="8">
        <v>2018</v>
      </c>
      <c r="C163" s="8">
        <v>2019</v>
      </c>
      <c r="D163" s="8">
        <v>2020</v>
      </c>
      <c r="E163" s="8">
        <v>2021</v>
      </c>
    </row>
    <row r="164" spans="1:8" ht="12.75" customHeight="1" thickBot="1" x14ac:dyDescent="0.3">
      <c r="A164" s="1251"/>
      <c r="B164" s="9" t="s">
        <v>10</v>
      </c>
      <c r="C164" s="9" t="s">
        <v>11</v>
      </c>
      <c r="D164" s="9" t="s">
        <v>11</v>
      </c>
      <c r="E164" s="9" t="s">
        <v>11</v>
      </c>
    </row>
    <row r="165" spans="1:8" ht="15.75" thickBot="1" x14ac:dyDescent="0.3">
      <c r="A165" s="13" t="s">
        <v>26</v>
      </c>
      <c r="B165" s="14">
        <v>4356</v>
      </c>
      <c r="C165" s="14">
        <v>5000</v>
      </c>
      <c r="D165" s="14">
        <v>5200</v>
      </c>
      <c r="E165" s="14">
        <v>5500</v>
      </c>
    </row>
    <row r="166" spans="1:8" ht="24.75" thickBot="1" x14ac:dyDescent="0.3">
      <c r="A166" s="28" t="s">
        <v>27</v>
      </c>
      <c r="B166" s="15"/>
      <c r="C166" s="29"/>
      <c r="D166" s="29"/>
      <c r="E166" s="29"/>
    </row>
    <row r="167" spans="1:8" ht="24.75" thickBot="1" x14ac:dyDescent="0.3">
      <c r="A167" s="28" t="s">
        <v>45</v>
      </c>
      <c r="B167" s="15"/>
      <c r="C167" s="29"/>
      <c r="D167" s="29"/>
      <c r="E167" s="29"/>
      <c r="H167" s="12"/>
    </row>
    <row r="168" spans="1:8" ht="24.75" thickBot="1" x14ac:dyDescent="0.3">
      <c r="A168" s="13" t="s">
        <v>28</v>
      </c>
      <c r="B168" s="14">
        <v>746</v>
      </c>
      <c r="C168" s="14">
        <f>16.7/100*C165</f>
        <v>834.99999999999989</v>
      </c>
      <c r="D168" s="14">
        <f>16.7/100*D165</f>
        <v>868.39999999999986</v>
      </c>
      <c r="E168" s="14">
        <f>16.7/100*E165</f>
        <v>918.49999999999989</v>
      </c>
    </row>
    <row r="169" spans="1:8" ht="36.75" thickBot="1" x14ac:dyDescent="0.3">
      <c r="A169" s="28" t="s">
        <v>29</v>
      </c>
      <c r="B169" s="15"/>
      <c r="C169" s="14"/>
      <c r="D169" s="14"/>
      <c r="E169" s="14"/>
    </row>
    <row r="170" spans="1:8" ht="36.75" thickBot="1" x14ac:dyDescent="0.3">
      <c r="A170" s="28" t="s">
        <v>46</v>
      </c>
      <c r="B170" s="15"/>
      <c r="C170" s="14"/>
      <c r="D170" s="14"/>
      <c r="E170" s="14"/>
    </row>
    <row r="171" spans="1:8" ht="15.75" thickBot="1" x14ac:dyDescent="0.3">
      <c r="A171" s="13" t="s">
        <v>30</v>
      </c>
      <c r="B171" s="15">
        <v>1510</v>
      </c>
      <c r="C171" s="14">
        <f>B171+B171*3/100</f>
        <v>1555.3</v>
      </c>
      <c r="D171" s="14">
        <f>C171+C171*3/100</f>
        <v>1601.9590000000001</v>
      </c>
      <c r="E171" s="14">
        <f>D171+D171*3/100</f>
        <v>1650.0177700000002</v>
      </c>
    </row>
    <row r="172" spans="1:8" ht="24.75" thickBot="1" x14ac:dyDescent="0.3">
      <c r="A172" s="28" t="s">
        <v>31</v>
      </c>
      <c r="B172" s="15"/>
      <c r="C172" s="14"/>
      <c r="D172" s="14"/>
      <c r="E172" s="14"/>
    </row>
    <row r="173" spans="1:8" ht="24.75" thickBot="1" x14ac:dyDescent="0.3">
      <c r="A173" s="28" t="s">
        <v>47</v>
      </c>
      <c r="B173" s="15"/>
      <c r="C173" s="14"/>
      <c r="D173" s="14"/>
      <c r="E173" s="14"/>
    </row>
    <row r="174" spans="1:8" ht="15.75" thickBot="1" x14ac:dyDescent="0.3">
      <c r="A174" s="13" t="s">
        <v>32</v>
      </c>
      <c r="B174" s="15">
        <v>0</v>
      </c>
      <c r="C174" s="14">
        <v>0</v>
      </c>
      <c r="D174" s="14">
        <v>0</v>
      </c>
      <c r="E174" s="14">
        <v>0</v>
      </c>
    </row>
    <row r="175" spans="1:8" ht="24.75" thickBot="1" x14ac:dyDescent="0.3">
      <c r="A175" s="28" t="s">
        <v>33</v>
      </c>
      <c r="B175" s="15"/>
      <c r="C175" s="14"/>
      <c r="D175" s="14"/>
      <c r="E175" s="14"/>
    </row>
    <row r="176" spans="1:8" ht="24.75" thickBot="1" x14ac:dyDescent="0.3">
      <c r="A176" s="28" t="s">
        <v>48</v>
      </c>
      <c r="B176" s="15"/>
      <c r="C176" s="14"/>
      <c r="D176" s="14"/>
      <c r="E176" s="14"/>
    </row>
    <row r="177" spans="1:8" ht="15.75" thickBot="1" x14ac:dyDescent="0.3">
      <c r="A177" s="13" t="s">
        <v>34</v>
      </c>
      <c r="B177" s="15">
        <v>0</v>
      </c>
      <c r="C177" s="14">
        <v>0</v>
      </c>
      <c r="D177" s="14">
        <v>0</v>
      </c>
      <c r="E177" s="14">
        <v>0</v>
      </c>
    </row>
    <row r="178" spans="1:8" ht="24.75" thickBot="1" x14ac:dyDescent="0.3">
      <c r="A178" s="28" t="s">
        <v>35</v>
      </c>
      <c r="B178" s="15"/>
      <c r="C178" s="14"/>
      <c r="D178" s="14"/>
      <c r="E178" s="14"/>
    </row>
    <row r="179" spans="1:8" ht="24.75" thickBot="1" x14ac:dyDescent="0.3">
      <c r="A179" s="28" t="s">
        <v>49</v>
      </c>
      <c r="B179" s="15"/>
      <c r="C179" s="14"/>
      <c r="D179" s="14"/>
      <c r="E179" s="14"/>
    </row>
    <row r="180" spans="1:8" ht="15.75" thickBot="1" x14ac:dyDescent="0.3">
      <c r="A180" s="13" t="s">
        <v>36</v>
      </c>
      <c r="B180" s="15">
        <v>0</v>
      </c>
      <c r="C180" s="14">
        <v>0</v>
      </c>
      <c r="D180" s="14">
        <v>0</v>
      </c>
      <c r="E180" s="14">
        <v>0</v>
      </c>
    </row>
    <row r="181" spans="1:8" ht="36.75" customHeight="1" thickBot="1" x14ac:dyDescent="0.3">
      <c r="A181" s="28" t="s">
        <v>37</v>
      </c>
      <c r="B181" s="15"/>
      <c r="C181" s="14"/>
      <c r="D181" s="14"/>
      <c r="E181" s="14"/>
    </row>
    <row r="182" spans="1:8" ht="24.75" thickBot="1" x14ac:dyDescent="0.3">
      <c r="A182" s="28" t="s">
        <v>50</v>
      </c>
      <c r="B182" s="15"/>
      <c r="C182" s="14"/>
      <c r="D182" s="14"/>
      <c r="E182" s="14"/>
    </row>
    <row r="183" spans="1:8" ht="15.75" thickBot="1" x14ac:dyDescent="0.3">
      <c r="A183" s="13" t="s">
        <v>38</v>
      </c>
      <c r="B183" s="15">
        <v>0</v>
      </c>
      <c r="C183" s="14">
        <v>0</v>
      </c>
      <c r="D183" s="14">
        <v>0</v>
      </c>
      <c r="E183" s="14">
        <v>0</v>
      </c>
    </row>
    <row r="184" spans="1:8" ht="36.75" thickBot="1" x14ac:dyDescent="0.3">
      <c r="A184" s="28" t="s">
        <v>39</v>
      </c>
      <c r="B184" s="15"/>
      <c r="C184" s="14"/>
      <c r="D184" s="14"/>
      <c r="E184" s="14"/>
    </row>
    <row r="185" spans="1:8" ht="36.75" thickBot="1" x14ac:dyDescent="0.3">
      <c r="A185" s="28" t="s">
        <v>51</v>
      </c>
      <c r="B185" s="15"/>
      <c r="C185" s="14"/>
      <c r="D185" s="14"/>
      <c r="E185" s="14"/>
    </row>
    <row r="186" spans="1:8" ht="24.75" thickBot="1" x14ac:dyDescent="0.3">
      <c r="A186" s="799" t="s">
        <v>71</v>
      </c>
      <c r="B186" s="140">
        <f>B183+B177+B180+B174+B171+B168+B165</f>
        <v>6612</v>
      </c>
      <c r="C186" s="140">
        <f>C183+C177+C180+C174+C171+C168+C165</f>
        <v>7390.2999999999993</v>
      </c>
      <c r="D186" s="140">
        <f>D183+D177+D180+D174+D171+D168+D165</f>
        <v>7670.3590000000004</v>
      </c>
      <c r="E186" s="140">
        <f>E183+E177+E180+E174+E171+E168+E165</f>
        <v>8068.5177700000004</v>
      </c>
    </row>
    <row r="187" spans="1:8" ht="15.75" thickBot="1" x14ac:dyDescent="0.3">
      <c r="A187" s="17" t="s">
        <v>41</v>
      </c>
      <c r="B187" s="18">
        <f>IF(B186-B157=0,0,"Error")</f>
        <v>0</v>
      </c>
      <c r="C187" s="18">
        <f>IF(C186-C157=0,0,"Error")</f>
        <v>0</v>
      </c>
      <c r="D187" s="18">
        <f>IF(D186-D157=0,0,"Error")</f>
        <v>0</v>
      </c>
      <c r="E187" s="18">
        <f>IF(E186-E157=0,0,"Error")</f>
        <v>0</v>
      </c>
    </row>
    <row r="188" spans="1:8" ht="53.25" customHeight="1" thickBot="1" x14ac:dyDescent="0.3">
      <c r="A188" s="121" t="s">
        <v>75</v>
      </c>
      <c r="B188" s="2238" t="s">
        <v>1379</v>
      </c>
      <c r="C188" s="2239"/>
      <c r="D188" s="2239"/>
      <c r="E188" s="2240"/>
      <c r="F188" s="235"/>
    </row>
    <row r="189" spans="1:8" ht="23.25" customHeight="1" thickBot="1" x14ac:dyDescent="0.3">
      <c r="A189" s="1245" t="s">
        <v>76</v>
      </c>
      <c r="B189" s="1246"/>
      <c r="C189" s="1246"/>
      <c r="D189" s="1246"/>
      <c r="E189" s="1298"/>
      <c r="F189" s="35"/>
      <c r="H189" s="35"/>
    </row>
    <row r="190" spans="1:8" ht="23.25" customHeight="1" thickBot="1" x14ac:dyDescent="0.3">
      <c r="A190" s="5" t="s">
        <v>1378</v>
      </c>
      <c r="B190" s="800" t="s">
        <v>1377</v>
      </c>
      <c r="C190" s="800" t="s">
        <v>1376</v>
      </c>
      <c r="D190" s="800" t="s">
        <v>1375</v>
      </c>
      <c r="E190" s="800" t="s">
        <v>1375</v>
      </c>
      <c r="F190" s="35"/>
      <c r="H190" s="35"/>
    </row>
    <row r="191" spans="1:8" ht="23.25" customHeight="1" thickBot="1" x14ac:dyDescent="0.3">
      <c r="A191" s="5" t="s">
        <v>1374</v>
      </c>
      <c r="B191" s="10">
        <v>11</v>
      </c>
      <c r="C191" s="10">
        <v>15</v>
      </c>
      <c r="D191" s="10">
        <v>15</v>
      </c>
      <c r="E191" s="10">
        <v>15</v>
      </c>
      <c r="F191" s="35"/>
      <c r="H191" s="35"/>
    </row>
    <row r="192" spans="1:8" ht="15.75" thickBot="1" x14ac:dyDescent="0.3">
      <c r="A192" s="5" t="s">
        <v>1373</v>
      </c>
      <c r="B192" s="803" t="s">
        <v>1372</v>
      </c>
      <c r="C192" s="803" t="s">
        <v>1372</v>
      </c>
      <c r="D192" s="803" t="s">
        <v>1372</v>
      </c>
      <c r="E192" s="803" t="s">
        <v>1372</v>
      </c>
    </row>
    <row r="193" spans="1:9" ht="15.75" thickBot="1" x14ac:dyDescent="0.3">
      <c r="A193" s="1273" t="s">
        <v>77</v>
      </c>
      <c r="B193" s="1274"/>
      <c r="C193" s="1274"/>
      <c r="D193" s="1274"/>
      <c r="E193" s="1299"/>
    </row>
    <row r="194" spans="1:9" ht="15.75" thickBot="1" x14ac:dyDescent="0.3">
      <c r="A194" s="1275" t="s">
        <v>70</v>
      </c>
      <c r="B194" s="1276"/>
      <c r="C194" s="1276"/>
      <c r="D194" s="1276"/>
      <c r="E194" s="1317"/>
    </row>
    <row r="195" spans="1:9" ht="39" customHeight="1" thickBot="1" x14ac:dyDescent="0.3">
      <c r="A195" s="802" t="s">
        <v>16</v>
      </c>
      <c r="B195" s="1252" t="s">
        <v>716</v>
      </c>
      <c r="C195" s="1253"/>
      <c r="D195" s="1253"/>
      <c r="E195" s="1300"/>
    </row>
    <row r="196" spans="1:9" ht="48.75" customHeight="1" thickBot="1" x14ac:dyDescent="0.3">
      <c r="A196" s="5" t="s">
        <v>17</v>
      </c>
      <c r="B196" s="1278" t="s">
        <v>1371</v>
      </c>
      <c r="C196" s="1279"/>
      <c r="D196" s="1279"/>
      <c r="E196" s="1355"/>
    </row>
    <row r="197" spans="1:9" ht="15.75" thickBot="1" x14ac:dyDescent="0.3">
      <c r="A197" s="5" t="s">
        <v>18</v>
      </c>
      <c r="B197" s="1248" t="s">
        <v>717</v>
      </c>
      <c r="C197" s="1249"/>
      <c r="D197" s="1249"/>
      <c r="E197" s="1316"/>
    </row>
    <row r="198" spans="1:9" ht="12.75" customHeight="1" x14ac:dyDescent="0.25">
      <c r="A198" s="1250"/>
      <c r="B198" s="8">
        <v>2018</v>
      </c>
      <c r="C198" s="8">
        <v>2019</v>
      </c>
      <c r="D198" s="8">
        <v>2020</v>
      </c>
      <c r="E198" s="8">
        <v>2021</v>
      </c>
    </row>
    <row r="199" spans="1:9" ht="12.75" customHeight="1" thickBot="1" x14ac:dyDescent="0.3">
      <c r="A199" s="1251"/>
      <c r="B199" s="9" t="s">
        <v>10</v>
      </c>
      <c r="C199" s="9" t="s">
        <v>11</v>
      </c>
      <c r="D199" s="9" t="s">
        <v>11</v>
      </c>
      <c r="E199" s="9" t="s">
        <v>11</v>
      </c>
    </row>
    <row r="200" spans="1:9" ht="15.75" thickBot="1" x14ac:dyDescent="0.3">
      <c r="A200" s="5" t="s">
        <v>19</v>
      </c>
      <c r="B200" s="10">
        <v>2</v>
      </c>
      <c r="C200" s="10">
        <v>3</v>
      </c>
      <c r="D200" s="10">
        <v>5</v>
      </c>
      <c r="E200" s="10">
        <v>5</v>
      </c>
    </row>
    <row r="201" spans="1:9" ht="15.75" thickBot="1" x14ac:dyDescent="0.3">
      <c r="A201" s="5" t="s">
        <v>20</v>
      </c>
      <c r="B201" s="10">
        <f>B230</f>
        <v>2817.3</v>
      </c>
      <c r="C201" s="10">
        <f>C230</f>
        <v>3302</v>
      </c>
      <c r="D201" s="10">
        <f>D230</f>
        <v>3554.04</v>
      </c>
      <c r="E201" s="10">
        <f>E230</f>
        <v>3806.6361999999999</v>
      </c>
    </row>
    <row r="202" spans="1:9" ht="15.75" thickBot="1" x14ac:dyDescent="0.3">
      <c r="A202" s="5" t="s">
        <v>21</v>
      </c>
      <c r="B202" s="10">
        <f>B201/B200</f>
        <v>1408.65</v>
      </c>
      <c r="C202" s="10">
        <f>C201/C200</f>
        <v>1100.6666666666667</v>
      </c>
      <c r="D202" s="10">
        <f>D201/D200</f>
        <v>710.80799999999999</v>
      </c>
      <c r="E202" s="10">
        <f>E201/E200</f>
        <v>761.32723999999996</v>
      </c>
    </row>
    <row r="203" spans="1:9" ht="15.75" thickBot="1" x14ac:dyDescent="0.3">
      <c r="A203" s="5" t="s">
        <v>22</v>
      </c>
      <c r="B203" s="225" t="s">
        <v>23</v>
      </c>
      <c r="C203" s="11">
        <f t="shared" ref="C203:E205" si="4">C200/B200-1</f>
        <v>0.5</v>
      </c>
      <c r="D203" s="11">
        <f t="shared" si="4"/>
        <v>0.66666666666666674</v>
      </c>
      <c r="E203" s="11">
        <f t="shared" si="4"/>
        <v>0</v>
      </c>
      <c r="F203" s="12"/>
      <c r="G203" s="12"/>
      <c r="H203" s="12"/>
      <c r="I203" s="12"/>
    </row>
    <row r="204" spans="1:9" ht="15.75" thickBot="1" x14ac:dyDescent="0.3">
      <c r="A204" s="5" t="s">
        <v>24</v>
      </c>
      <c r="B204" s="225" t="s">
        <v>23</v>
      </c>
      <c r="C204" s="11">
        <f t="shared" si="4"/>
        <v>0.17204415575196097</v>
      </c>
      <c r="D204" s="11">
        <f t="shared" si="4"/>
        <v>7.6329497274379099E-2</v>
      </c>
      <c r="E204" s="11">
        <f t="shared" si="4"/>
        <v>7.1072976106065111E-2</v>
      </c>
    </row>
    <row r="205" spans="1:9" ht="15.75" thickBot="1" x14ac:dyDescent="0.3">
      <c r="A205" s="5" t="s">
        <v>25</v>
      </c>
      <c r="B205" s="225" t="s">
        <v>23</v>
      </c>
      <c r="C205" s="11">
        <f t="shared" si="4"/>
        <v>-0.21863722949869258</v>
      </c>
      <c r="D205" s="11">
        <f t="shared" si="4"/>
        <v>-0.35420230163537259</v>
      </c>
      <c r="E205" s="11">
        <f t="shared" si="4"/>
        <v>7.1072976106065111E-2</v>
      </c>
    </row>
    <row r="206" spans="1:9" ht="15.75" thickBot="1" x14ac:dyDescent="0.3">
      <c r="A206" s="1252" t="s">
        <v>633</v>
      </c>
      <c r="B206" s="1253"/>
      <c r="C206" s="1253"/>
      <c r="D206" s="1253"/>
      <c r="E206" s="1300"/>
    </row>
    <row r="207" spans="1:9" ht="12.75" customHeight="1" x14ac:dyDescent="0.25">
      <c r="A207" s="1250"/>
      <c r="B207" s="8">
        <v>2018</v>
      </c>
      <c r="C207" s="8">
        <v>2019</v>
      </c>
      <c r="D207" s="8">
        <v>2020</v>
      </c>
      <c r="E207" s="8">
        <v>2021</v>
      </c>
    </row>
    <row r="208" spans="1:9" ht="15.75" customHeight="1" thickBot="1" x14ac:dyDescent="0.3">
      <c r="A208" s="1251"/>
      <c r="B208" s="9" t="s">
        <v>10</v>
      </c>
      <c r="C208" s="9" t="s">
        <v>11</v>
      </c>
      <c r="D208" s="9" t="s">
        <v>11</v>
      </c>
      <c r="E208" s="9" t="s">
        <v>11</v>
      </c>
    </row>
    <row r="209" spans="1:5" ht="15.75" thickBot="1" x14ac:dyDescent="0.3">
      <c r="A209" s="13" t="s">
        <v>26</v>
      </c>
      <c r="B209" s="14">
        <v>1900</v>
      </c>
      <c r="C209" s="14">
        <v>2300</v>
      </c>
      <c r="D209" s="14">
        <v>2500</v>
      </c>
      <c r="E209" s="14">
        <v>2700</v>
      </c>
    </row>
    <row r="210" spans="1:5" ht="24.75" thickBot="1" x14ac:dyDescent="0.3">
      <c r="A210" s="28" t="s">
        <v>27</v>
      </c>
      <c r="B210" s="15"/>
      <c r="C210" s="141"/>
      <c r="D210" s="141"/>
      <c r="E210" s="141"/>
    </row>
    <row r="211" spans="1:5" ht="24.75" thickBot="1" x14ac:dyDescent="0.3">
      <c r="A211" s="28" t="s">
        <v>863</v>
      </c>
      <c r="B211" s="15"/>
      <c r="C211" s="29"/>
      <c r="D211" s="29"/>
      <c r="E211" s="29"/>
    </row>
    <row r="212" spans="1:5" ht="24.75" thickBot="1" x14ac:dyDescent="0.3">
      <c r="A212" s="13" t="s">
        <v>28</v>
      </c>
      <c r="B212" s="14">
        <f>B209*16.7/100</f>
        <v>317.3</v>
      </c>
      <c r="C212" s="14">
        <v>384</v>
      </c>
      <c r="D212" s="14">
        <f>D209*16.7/100</f>
        <v>417.5</v>
      </c>
      <c r="E212" s="14">
        <v>451</v>
      </c>
    </row>
    <row r="213" spans="1:5" ht="36.75" thickBot="1" x14ac:dyDescent="0.3">
      <c r="A213" s="28" t="s">
        <v>29</v>
      </c>
      <c r="B213" s="15"/>
      <c r="C213" s="14"/>
      <c r="D213" s="14"/>
      <c r="E213" s="14"/>
    </row>
    <row r="214" spans="1:5" ht="36.75" thickBot="1" x14ac:dyDescent="0.3">
      <c r="A214" s="28" t="s">
        <v>864</v>
      </c>
      <c r="B214" s="15"/>
      <c r="C214" s="14"/>
      <c r="D214" s="14"/>
      <c r="E214" s="14"/>
    </row>
    <row r="215" spans="1:5" ht="15.75" thickBot="1" x14ac:dyDescent="0.3">
      <c r="A215" s="13" t="s">
        <v>30</v>
      </c>
      <c r="B215" s="15">
        <v>600</v>
      </c>
      <c r="C215" s="14">
        <f>B215+B215*3/100</f>
        <v>618</v>
      </c>
      <c r="D215" s="14">
        <f>C215+C215*3/100</f>
        <v>636.54</v>
      </c>
      <c r="E215" s="14">
        <f>D215+D215*3/100</f>
        <v>655.63619999999992</v>
      </c>
    </row>
    <row r="216" spans="1:5" ht="24.75" thickBot="1" x14ac:dyDescent="0.3">
      <c r="A216" s="28" t="s">
        <v>31</v>
      </c>
      <c r="B216" s="15"/>
      <c r="C216" s="14"/>
      <c r="D216" s="14"/>
      <c r="E216" s="14"/>
    </row>
    <row r="217" spans="1:5" ht="24.75" thickBot="1" x14ac:dyDescent="0.3">
      <c r="A217" s="28" t="s">
        <v>865</v>
      </c>
      <c r="B217" s="15"/>
      <c r="C217" s="14"/>
      <c r="D217" s="14"/>
      <c r="E217" s="14"/>
    </row>
    <row r="218" spans="1:5" ht="15.75" thickBot="1" x14ac:dyDescent="0.3">
      <c r="A218" s="13" t="s">
        <v>32</v>
      </c>
      <c r="B218" s="15">
        <v>0</v>
      </c>
      <c r="C218" s="14">
        <v>0</v>
      </c>
      <c r="D218" s="14">
        <v>0</v>
      </c>
      <c r="E218" s="14">
        <v>0</v>
      </c>
    </row>
    <row r="219" spans="1:5" ht="24.75" thickBot="1" x14ac:dyDescent="0.3">
      <c r="A219" s="28" t="s">
        <v>33</v>
      </c>
      <c r="B219" s="15"/>
      <c r="C219" s="14"/>
      <c r="D219" s="14"/>
      <c r="E219" s="14"/>
    </row>
    <row r="220" spans="1:5" ht="24.75" thickBot="1" x14ac:dyDescent="0.3">
      <c r="A220" s="28" t="s">
        <v>866</v>
      </c>
      <c r="B220" s="15"/>
      <c r="C220" s="14"/>
      <c r="D220" s="14"/>
      <c r="E220" s="14"/>
    </row>
    <row r="221" spans="1:5" ht="15.75" thickBot="1" x14ac:dyDescent="0.3">
      <c r="A221" s="13" t="s">
        <v>34</v>
      </c>
      <c r="B221" s="15">
        <v>0</v>
      </c>
      <c r="C221" s="14">
        <v>0</v>
      </c>
      <c r="D221" s="14">
        <v>0</v>
      </c>
      <c r="E221" s="14">
        <v>0</v>
      </c>
    </row>
    <row r="222" spans="1:5" ht="24.75" thickBot="1" x14ac:dyDescent="0.3">
      <c r="A222" s="28" t="s">
        <v>35</v>
      </c>
      <c r="B222" s="15"/>
      <c r="C222" s="14"/>
      <c r="D222" s="14"/>
      <c r="E222" s="14"/>
    </row>
    <row r="223" spans="1:5" ht="24.75" thickBot="1" x14ac:dyDescent="0.3">
      <c r="A223" s="28" t="s">
        <v>867</v>
      </c>
      <c r="B223" s="15"/>
      <c r="C223" s="14"/>
      <c r="D223" s="14"/>
      <c r="E223" s="14"/>
    </row>
    <row r="224" spans="1:5" ht="15.75" thickBot="1" x14ac:dyDescent="0.3">
      <c r="A224" s="13" t="s">
        <v>36</v>
      </c>
      <c r="B224" s="15">
        <v>0</v>
      </c>
      <c r="C224" s="14">
        <v>0</v>
      </c>
      <c r="D224" s="14">
        <v>0</v>
      </c>
      <c r="E224" s="14">
        <v>0</v>
      </c>
    </row>
    <row r="225" spans="1:9" ht="36.75" customHeight="1" thickBot="1" x14ac:dyDescent="0.3">
      <c r="A225" s="28" t="s">
        <v>37</v>
      </c>
      <c r="B225" s="15"/>
      <c r="C225" s="14"/>
      <c r="D225" s="14"/>
      <c r="E225" s="14"/>
    </row>
    <row r="226" spans="1:9" ht="24.75" thickBot="1" x14ac:dyDescent="0.3">
      <c r="A226" s="28" t="s">
        <v>868</v>
      </c>
      <c r="B226" s="15"/>
      <c r="C226" s="14"/>
      <c r="D226" s="14"/>
      <c r="E226" s="14"/>
    </row>
    <row r="227" spans="1:9" ht="15.75" thickBot="1" x14ac:dyDescent="0.3">
      <c r="A227" s="13" t="s">
        <v>38</v>
      </c>
      <c r="B227" s="15">
        <v>0</v>
      </c>
      <c r="C227" s="14">
        <v>0</v>
      </c>
      <c r="D227" s="14">
        <v>0</v>
      </c>
      <c r="E227" s="14">
        <v>0</v>
      </c>
    </row>
    <row r="228" spans="1:9" ht="36.75" thickBot="1" x14ac:dyDescent="0.3">
      <c r="A228" s="28" t="s">
        <v>39</v>
      </c>
      <c r="B228" s="15"/>
      <c r="C228" s="14"/>
      <c r="D228" s="14"/>
      <c r="E228" s="14"/>
    </row>
    <row r="229" spans="1:9" ht="36.75" thickBot="1" x14ac:dyDescent="0.3">
      <c r="A229" s="28" t="s">
        <v>869</v>
      </c>
      <c r="B229" s="15"/>
      <c r="C229" s="14"/>
      <c r="D229" s="14"/>
      <c r="E229" s="14"/>
    </row>
    <row r="230" spans="1:9" ht="15.75" thickBot="1" x14ac:dyDescent="0.3">
      <c r="A230" s="793" t="s">
        <v>40</v>
      </c>
      <c r="B230" s="15">
        <f>B227+B224+B221+B218+B215+B212+B209</f>
        <v>2817.3</v>
      </c>
      <c r="C230" s="15">
        <f>C227+C224+C221+C218+C215+C212+C209</f>
        <v>3302</v>
      </c>
      <c r="D230" s="15">
        <f>D227+D224+D221+D218+D215+D212+D209</f>
        <v>3554.04</v>
      </c>
      <c r="E230" s="15">
        <f>E227+E224+E221+E218+E215+E212+E209</f>
        <v>3806.6361999999999</v>
      </c>
    </row>
    <row r="231" spans="1:9" ht="15.75" thickBot="1" x14ac:dyDescent="0.3">
      <c r="A231" s="17" t="s">
        <v>41</v>
      </c>
      <c r="B231" s="18">
        <f>IF(B230-B201=0,0,"Error")</f>
        <v>0</v>
      </c>
      <c r="C231" s="18">
        <f>IF(C230-C201=0,0,"Error")</f>
        <v>0</v>
      </c>
      <c r="D231" s="18">
        <f>IF(D230-D201=0,0,"Error")</f>
        <v>0</v>
      </c>
      <c r="E231" s="18">
        <f>IF(E230-E201=0,0,"Error")</f>
        <v>0</v>
      </c>
    </row>
    <row r="232" spans="1:9" ht="39" customHeight="1" thickBot="1" x14ac:dyDescent="0.3">
      <c r="A232" s="802" t="s">
        <v>42</v>
      </c>
      <c r="B232" s="1252" t="s">
        <v>1370</v>
      </c>
      <c r="C232" s="1253"/>
      <c r="D232" s="1253"/>
      <c r="E232" s="1300"/>
    </row>
    <row r="233" spans="1:9" ht="48.75" customHeight="1" thickBot="1" x14ac:dyDescent="0.3">
      <c r="A233" s="5" t="s">
        <v>17</v>
      </c>
      <c r="B233" s="1278" t="s">
        <v>1369</v>
      </c>
      <c r="C233" s="1279"/>
      <c r="D233" s="1279"/>
      <c r="E233" s="1355"/>
    </row>
    <row r="234" spans="1:9" ht="15.75" thickBot="1" x14ac:dyDescent="0.3">
      <c r="A234" s="5" t="s">
        <v>18</v>
      </c>
      <c r="B234" s="1248" t="s">
        <v>725</v>
      </c>
      <c r="C234" s="1249"/>
      <c r="D234" s="1249"/>
      <c r="E234" s="1316"/>
    </row>
    <row r="235" spans="1:9" ht="12.75" customHeight="1" x14ac:dyDescent="0.25">
      <c r="A235" s="1250"/>
      <c r="B235" s="8">
        <v>2018</v>
      </c>
      <c r="C235" s="8">
        <v>2019</v>
      </c>
      <c r="D235" s="8">
        <v>2020</v>
      </c>
      <c r="E235" s="8">
        <v>2021</v>
      </c>
    </row>
    <row r="236" spans="1:9" ht="12.75" customHeight="1" thickBot="1" x14ac:dyDescent="0.3">
      <c r="A236" s="1251"/>
      <c r="B236" s="9" t="s">
        <v>10</v>
      </c>
      <c r="C236" s="9" t="s">
        <v>11</v>
      </c>
      <c r="D236" s="9" t="s">
        <v>11</v>
      </c>
      <c r="E236" s="9" t="s">
        <v>11</v>
      </c>
    </row>
    <row r="237" spans="1:9" ht="15.75" thickBot="1" x14ac:dyDescent="0.3">
      <c r="A237" s="5" t="s">
        <v>19</v>
      </c>
      <c r="B237" s="10">
        <v>11</v>
      </c>
      <c r="C237" s="10">
        <v>15</v>
      </c>
      <c r="D237" s="10">
        <v>15</v>
      </c>
      <c r="E237" s="10">
        <v>15</v>
      </c>
    </row>
    <row r="238" spans="1:9" ht="15.75" thickBot="1" x14ac:dyDescent="0.3">
      <c r="A238" s="5" t="s">
        <v>20</v>
      </c>
      <c r="B238" s="10">
        <f>B267</f>
        <v>3817</v>
      </c>
      <c r="C238" s="10">
        <f>C267</f>
        <v>4469</v>
      </c>
      <c r="D238" s="10">
        <f>D267</f>
        <v>4721.54</v>
      </c>
      <c r="E238" s="10">
        <f>E267</f>
        <v>4973.5362000000005</v>
      </c>
    </row>
    <row r="239" spans="1:9" ht="15.75" thickBot="1" x14ac:dyDescent="0.3">
      <c r="A239" s="5" t="s">
        <v>21</v>
      </c>
      <c r="B239" s="10">
        <f>B238/B237</f>
        <v>347</v>
      </c>
      <c r="C239" s="10">
        <f>C238/C237</f>
        <v>297.93333333333334</v>
      </c>
      <c r="D239" s="10">
        <f>D238/D237</f>
        <v>314.76933333333335</v>
      </c>
      <c r="E239" s="10">
        <f>E238/E237</f>
        <v>331.56908000000004</v>
      </c>
    </row>
    <row r="240" spans="1:9" ht="15.75" thickBot="1" x14ac:dyDescent="0.3">
      <c r="A240" s="5" t="s">
        <v>22</v>
      </c>
      <c r="B240" s="225" t="s">
        <v>23</v>
      </c>
      <c r="C240" s="11">
        <f t="shared" ref="C240:E242" si="5">C237/B237-1</f>
        <v>0.36363636363636354</v>
      </c>
      <c r="D240" s="11">
        <f t="shared" si="5"/>
        <v>0</v>
      </c>
      <c r="E240" s="11">
        <f t="shared" si="5"/>
        <v>0</v>
      </c>
      <c r="F240" s="12"/>
      <c r="G240" s="12"/>
      <c r="H240" s="12"/>
      <c r="I240" s="12"/>
    </row>
    <row r="241" spans="1:5" ht="15.75" thickBot="1" x14ac:dyDescent="0.3">
      <c r="A241" s="5" t="s">
        <v>24</v>
      </c>
      <c r="B241" s="225" t="s">
        <v>23</v>
      </c>
      <c r="C241" s="11">
        <f t="shared" si="5"/>
        <v>0.17081477600209594</v>
      </c>
      <c r="D241" s="11">
        <f t="shared" si="5"/>
        <v>5.6509286193779262E-2</v>
      </c>
      <c r="E241" s="11">
        <f t="shared" si="5"/>
        <v>5.3371611804623242E-2</v>
      </c>
    </row>
    <row r="242" spans="1:5" ht="15.75" thickBot="1" x14ac:dyDescent="0.3">
      <c r="A242" s="5" t="s">
        <v>25</v>
      </c>
      <c r="B242" s="225" t="s">
        <v>23</v>
      </c>
      <c r="C242" s="11">
        <f t="shared" si="5"/>
        <v>-0.14140249759846302</v>
      </c>
      <c r="D242" s="11">
        <f t="shared" si="5"/>
        <v>5.6509286193779484E-2</v>
      </c>
      <c r="E242" s="11">
        <f t="shared" si="5"/>
        <v>5.3371611804623242E-2</v>
      </c>
    </row>
    <row r="243" spans="1:5" ht="15.75" thickBot="1" x14ac:dyDescent="0.3">
      <c r="A243" s="1252" t="s">
        <v>633</v>
      </c>
      <c r="B243" s="1253"/>
      <c r="C243" s="1253"/>
      <c r="D243" s="1253"/>
      <c r="E243" s="1300"/>
    </row>
    <row r="244" spans="1:5" ht="12.75" customHeight="1" x14ac:dyDescent="0.25">
      <c r="A244" s="1250"/>
      <c r="B244" s="8">
        <v>2018</v>
      </c>
      <c r="C244" s="8">
        <v>2019</v>
      </c>
      <c r="D244" s="8">
        <v>2020</v>
      </c>
      <c r="E244" s="8">
        <v>2021</v>
      </c>
    </row>
    <row r="245" spans="1:5" ht="15.75" customHeight="1" thickBot="1" x14ac:dyDescent="0.3">
      <c r="A245" s="1251"/>
      <c r="B245" s="9" t="s">
        <v>10</v>
      </c>
      <c r="C245" s="9" t="s">
        <v>11</v>
      </c>
      <c r="D245" s="9" t="s">
        <v>11</v>
      </c>
      <c r="E245" s="9" t="s">
        <v>11</v>
      </c>
    </row>
    <row r="246" spans="1:5" ht="15.75" thickBot="1" x14ac:dyDescent="0.3">
      <c r="A246" s="13" t="s">
        <v>26</v>
      </c>
      <c r="B246" s="14">
        <v>2900</v>
      </c>
      <c r="C246" s="14">
        <v>3300</v>
      </c>
      <c r="D246" s="14">
        <v>3500</v>
      </c>
      <c r="E246" s="14">
        <v>3700</v>
      </c>
    </row>
    <row r="247" spans="1:5" ht="24.75" thickBot="1" x14ac:dyDescent="0.3">
      <c r="A247" s="28" t="s">
        <v>27</v>
      </c>
      <c r="B247" s="15"/>
      <c r="C247" s="141"/>
      <c r="D247" s="141"/>
      <c r="E247" s="141"/>
    </row>
    <row r="248" spans="1:5" ht="24.75" thickBot="1" x14ac:dyDescent="0.3">
      <c r="A248" s="28" t="s">
        <v>863</v>
      </c>
      <c r="B248" s="15"/>
      <c r="C248" s="29"/>
      <c r="D248" s="29"/>
      <c r="E248" s="29"/>
    </row>
    <row r="249" spans="1:5" ht="24.75" thickBot="1" x14ac:dyDescent="0.3">
      <c r="A249" s="13" t="s">
        <v>28</v>
      </c>
      <c r="B249" s="14">
        <v>317</v>
      </c>
      <c r="C249" s="14">
        <v>551</v>
      </c>
      <c r="D249" s="14">
        <v>585</v>
      </c>
      <c r="E249" s="14">
        <f>E246*16.7/100</f>
        <v>617.9</v>
      </c>
    </row>
    <row r="250" spans="1:5" ht="36.75" thickBot="1" x14ac:dyDescent="0.3">
      <c r="A250" s="28" t="s">
        <v>29</v>
      </c>
      <c r="B250" s="15"/>
      <c r="C250" s="14"/>
      <c r="D250" s="14"/>
      <c r="E250" s="14"/>
    </row>
    <row r="251" spans="1:5" ht="36.75" thickBot="1" x14ac:dyDescent="0.3">
      <c r="A251" s="28" t="s">
        <v>864</v>
      </c>
      <c r="B251" s="15"/>
      <c r="C251" s="14"/>
      <c r="D251" s="14"/>
      <c r="E251" s="14"/>
    </row>
    <row r="252" spans="1:5" ht="15.75" thickBot="1" x14ac:dyDescent="0.3">
      <c r="A252" s="13" t="s">
        <v>30</v>
      </c>
      <c r="B252" s="15">
        <v>600</v>
      </c>
      <c r="C252" s="14">
        <f>B252+B252*3/100</f>
        <v>618</v>
      </c>
      <c r="D252" s="14">
        <f>C252+C252*3/100</f>
        <v>636.54</v>
      </c>
      <c r="E252" s="14">
        <f>D252+D252*3/100</f>
        <v>655.63619999999992</v>
      </c>
    </row>
    <row r="253" spans="1:5" ht="24.75" thickBot="1" x14ac:dyDescent="0.3">
      <c r="A253" s="28" t="s">
        <v>31</v>
      </c>
      <c r="B253" s="15"/>
      <c r="C253" s="14"/>
      <c r="D253" s="14"/>
      <c r="E253" s="14"/>
    </row>
    <row r="254" spans="1:5" ht="24.75" thickBot="1" x14ac:dyDescent="0.3">
      <c r="A254" s="28" t="s">
        <v>865</v>
      </c>
      <c r="B254" s="15"/>
      <c r="C254" s="14"/>
      <c r="D254" s="14"/>
      <c r="E254" s="14"/>
    </row>
    <row r="255" spans="1:5" ht="15.75" thickBot="1" x14ac:dyDescent="0.3">
      <c r="A255" s="13" t="s">
        <v>32</v>
      </c>
      <c r="B255" s="15">
        <v>0</v>
      </c>
      <c r="C255" s="14">
        <v>0</v>
      </c>
      <c r="D255" s="14">
        <v>0</v>
      </c>
      <c r="E255" s="14">
        <v>0</v>
      </c>
    </row>
    <row r="256" spans="1:5" ht="24.75" thickBot="1" x14ac:dyDescent="0.3">
      <c r="A256" s="28" t="s">
        <v>33</v>
      </c>
      <c r="B256" s="15"/>
      <c r="C256" s="14"/>
      <c r="D256" s="14"/>
      <c r="E256" s="14"/>
    </row>
    <row r="257" spans="1:5" ht="24.75" thickBot="1" x14ac:dyDescent="0.3">
      <c r="A257" s="28" t="s">
        <v>866</v>
      </c>
      <c r="B257" s="15"/>
      <c r="C257" s="14"/>
      <c r="D257" s="14"/>
      <c r="E257" s="14"/>
    </row>
    <row r="258" spans="1:5" ht="15.75" thickBot="1" x14ac:dyDescent="0.3">
      <c r="A258" s="13" t="s">
        <v>34</v>
      </c>
      <c r="B258" s="15">
        <v>0</v>
      </c>
      <c r="C258" s="14">
        <v>0</v>
      </c>
      <c r="D258" s="14">
        <v>0</v>
      </c>
      <c r="E258" s="14">
        <v>0</v>
      </c>
    </row>
    <row r="259" spans="1:5" ht="24.75" thickBot="1" x14ac:dyDescent="0.3">
      <c r="A259" s="28" t="s">
        <v>35</v>
      </c>
      <c r="B259" s="15"/>
      <c r="C259" s="14"/>
      <c r="D259" s="14"/>
      <c r="E259" s="14"/>
    </row>
    <row r="260" spans="1:5" ht="24.75" thickBot="1" x14ac:dyDescent="0.3">
      <c r="A260" s="28" t="s">
        <v>867</v>
      </c>
      <c r="B260" s="15"/>
      <c r="C260" s="14"/>
      <c r="D260" s="14"/>
      <c r="E260" s="14"/>
    </row>
    <row r="261" spans="1:5" ht="15.75" thickBot="1" x14ac:dyDescent="0.3">
      <c r="A261" s="13" t="s">
        <v>36</v>
      </c>
      <c r="B261" s="15">
        <v>0</v>
      </c>
      <c r="C261" s="14">
        <v>0</v>
      </c>
      <c r="D261" s="14">
        <v>0</v>
      </c>
      <c r="E261" s="14">
        <v>0</v>
      </c>
    </row>
    <row r="262" spans="1:5" ht="36.75" customHeight="1" thickBot="1" x14ac:dyDescent="0.3">
      <c r="A262" s="28" t="s">
        <v>37</v>
      </c>
      <c r="B262" s="15"/>
      <c r="C262" s="14"/>
      <c r="D262" s="14"/>
      <c r="E262" s="14"/>
    </row>
    <row r="263" spans="1:5" ht="24.75" thickBot="1" x14ac:dyDescent="0.3">
      <c r="A263" s="28" t="s">
        <v>868</v>
      </c>
      <c r="B263" s="15"/>
      <c r="C263" s="14"/>
      <c r="D263" s="14"/>
      <c r="E263" s="14"/>
    </row>
    <row r="264" spans="1:5" ht="15.75" thickBot="1" x14ac:dyDescent="0.3">
      <c r="A264" s="13" t="s">
        <v>38</v>
      </c>
      <c r="B264" s="15">
        <v>0</v>
      </c>
      <c r="C264" s="14">
        <v>0</v>
      </c>
      <c r="D264" s="14">
        <v>0</v>
      </c>
      <c r="E264" s="14">
        <v>0</v>
      </c>
    </row>
    <row r="265" spans="1:5" ht="36.75" thickBot="1" x14ac:dyDescent="0.3">
      <c r="A265" s="28" t="s">
        <v>39</v>
      </c>
      <c r="B265" s="15"/>
      <c r="C265" s="14"/>
      <c r="D265" s="14"/>
      <c r="E265" s="14"/>
    </row>
    <row r="266" spans="1:5" ht="36.75" thickBot="1" x14ac:dyDescent="0.3">
      <c r="A266" s="28" t="s">
        <v>869</v>
      </c>
      <c r="B266" s="15"/>
      <c r="C266" s="14"/>
      <c r="D266" s="14"/>
      <c r="E266" s="14"/>
    </row>
    <row r="267" spans="1:5" ht="15.75" thickBot="1" x14ac:dyDescent="0.3">
      <c r="A267" s="793" t="s">
        <v>40</v>
      </c>
      <c r="B267" s="15">
        <f>B264+B261+B258+B255+B252+B249+B246</f>
        <v>3817</v>
      </c>
      <c r="C267" s="15">
        <f>C264+C261+C258+C255+C252+C249+C246</f>
        <v>4469</v>
      </c>
      <c r="D267" s="15">
        <f>D264+D261+D258+D255+D252+D249+D246</f>
        <v>4721.54</v>
      </c>
      <c r="E267" s="15">
        <f>E264+E261+E258+E255+E252+E249+E246</f>
        <v>4973.5362000000005</v>
      </c>
    </row>
    <row r="268" spans="1:5" ht="15.75" thickBot="1" x14ac:dyDescent="0.3">
      <c r="A268" s="17" t="s">
        <v>41</v>
      </c>
      <c r="B268" s="18">
        <f>IF(B267-B238=0,0,"Error")</f>
        <v>0</v>
      </c>
      <c r="C268" s="18">
        <f>IF(C267-C238=0,0,"Error")</f>
        <v>0</v>
      </c>
      <c r="D268" s="18">
        <f>IF(D267-D238=0,0,"Error")</f>
        <v>0</v>
      </c>
      <c r="E268" s="18">
        <f>IF(E267-E238=0,0,"Error")</f>
        <v>0</v>
      </c>
    </row>
    <row r="269" spans="1:5" ht="39" customHeight="1" thickBot="1" x14ac:dyDescent="0.3">
      <c r="A269" s="802" t="s">
        <v>44</v>
      </c>
      <c r="B269" s="1252" t="s">
        <v>1368</v>
      </c>
      <c r="C269" s="1253"/>
      <c r="D269" s="1253"/>
      <c r="E269" s="1300"/>
    </row>
    <row r="270" spans="1:5" ht="34.5" customHeight="1" thickBot="1" x14ac:dyDescent="0.3">
      <c r="A270" s="5" t="s">
        <v>17</v>
      </c>
      <c r="B270" s="1278" t="s">
        <v>1367</v>
      </c>
      <c r="C270" s="1279"/>
      <c r="D270" s="1279"/>
      <c r="E270" s="1355"/>
    </row>
    <row r="271" spans="1:5" ht="15.75" thickBot="1" x14ac:dyDescent="0.3">
      <c r="A271" s="5" t="s">
        <v>18</v>
      </c>
      <c r="B271" s="1248" t="s">
        <v>776</v>
      </c>
      <c r="C271" s="1249"/>
      <c r="D271" s="1249"/>
      <c r="E271" s="1316"/>
    </row>
    <row r="272" spans="1:5" ht="12.75" customHeight="1" x14ac:dyDescent="0.25">
      <c r="A272" s="1250"/>
      <c r="B272" s="8">
        <v>2018</v>
      </c>
      <c r="C272" s="8">
        <v>2019</v>
      </c>
      <c r="D272" s="8">
        <v>2020</v>
      </c>
      <c r="E272" s="8">
        <v>2021</v>
      </c>
    </row>
    <row r="273" spans="1:9" ht="12.75" customHeight="1" thickBot="1" x14ac:dyDescent="0.3">
      <c r="A273" s="1251"/>
      <c r="B273" s="9" t="s">
        <v>10</v>
      </c>
      <c r="C273" s="9" t="s">
        <v>11</v>
      </c>
      <c r="D273" s="9" t="s">
        <v>11</v>
      </c>
      <c r="E273" s="9" t="s">
        <v>11</v>
      </c>
    </row>
    <row r="274" spans="1:9" ht="15.75" thickBot="1" x14ac:dyDescent="0.3">
      <c r="A274" s="5" t="s">
        <v>19</v>
      </c>
      <c r="B274" s="10">
        <v>1</v>
      </c>
      <c r="C274" s="10">
        <v>1</v>
      </c>
      <c r="D274" s="10">
        <v>1</v>
      </c>
      <c r="E274" s="10">
        <v>1</v>
      </c>
    </row>
    <row r="275" spans="1:9" ht="15.75" thickBot="1" x14ac:dyDescent="0.3">
      <c r="A275" s="5" t="s">
        <v>20</v>
      </c>
      <c r="B275" s="10">
        <f>B304</f>
        <v>3878</v>
      </c>
      <c r="C275" s="10">
        <f>C304</f>
        <v>4586</v>
      </c>
      <c r="D275" s="10">
        <f>D304</f>
        <v>4721.54</v>
      </c>
      <c r="E275" s="10">
        <f>E304</f>
        <v>4973.5362000000005</v>
      </c>
    </row>
    <row r="276" spans="1:9" ht="15.75" thickBot="1" x14ac:dyDescent="0.3">
      <c r="A276" s="5" t="s">
        <v>21</v>
      </c>
      <c r="B276" s="10">
        <f>B275/B274</f>
        <v>3878</v>
      </c>
      <c r="C276" s="10">
        <f>C275/C274</f>
        <v>4586</v>
      </c>
      <c r="D276" s="10">
        <f>D275/D274</f>
        <v>4721.54</v>
      </c>
      <c r="E276" s="10">
        <f>E275/E274</f>
        <v>4973.5362000000005</v>
      </c>
    </row>
    <row r="277" spans="1:9" ht="15.75" thickBot="1" x14ac:dyDescent="0.3">
      <c r="A277" s="5" t="s">
        <v>22</v>
      </c>
      <c r="B277" s="225" t="s">
        <v>23</v>
      </c>
      <c r="C277" s="11">
        <f t="shared" ref="C277:E279" si="6">C274/B274-1</f>
        <v>0</v>
      </c>
      <c r="D277" s="11">
        <f t="shared" si="6"/>
        <v>0</v>
      </c>
      <c r="E277" s="11">
        <f t="shared" si="6"/>
        <v>0</v>
      </c>
      <c r="F277" s="12"/>
      <c r="G277" s="12"/>
      <c r="H277" s="12"/>
      <c r="I277" s="12"/>
    </row>
    <row r="278" spans="1:9" ht="15.75" thickBot="1" x14ac:dyDescent="0.3">
      <c r="A278" s="5" t="s">
        <v>24</v>
      </c>
      <c r="B278" s="225" t="s">
        <v>23</v>
      </c>
      <c r="C278" s="11">
        <f t="shared" si="6"/>
        <v>0.18256833419288299</v>
      </c>
      <c r="D278" s="11">
        <f t="shared" si="6"/>
        <v>2.9555167902311386E-2</v>
      </c>
      <c r="E278" s="11">
        <f t="shared" si="6"/>
        <v>5.3371611804623242E-2</v>
      </c>
    </row>
    <row r="279" spans="1:9" ht="15.75" thickBot="1" x14ac:dyDescent="0.3">
      <c r="A279" s="5" t="s">
        <v>25</v>
      </c>
      <c r="B279" s="225" t="s">
        <v>23</v>
      </c>
      <c r="C279" s="11">
        <f t="shared" si="6"/>
        <v>0.18256833419288299</v>
      </c>
      <c r="D279" s="11">
        <f t="shared" si="6"/>
        <v>2.9555167902311386E-2</v>
      </c>
      <c r="E279" s="11">
        <f t="shared" si="6"/>
        <v>5.3371611804623242E-2</v>
      </c>
    </row>
    <row r="280" spans="1:9" ht="15.75" thickBot="1" x14ac:dyDescent="0.3">
      <c r="A280" s="1252" t="s">
        <v>633</v>
      </c>
      <c r="B280" s="1253"/>
      <c r="C280" s="1253"/>
      <c r="D280" s="1253"/>
      <c r="E280" s="1300"/>
    </row>
    <row r="281" spans="1:9" ht="12.75" customHeight="1" x14ac:dyDescent="0.25">
      <c r="A281" s="1250"/>
      <c r="B281" s="8">
        <v>2018</v>
      </c>
      <c r="C281" s="8">
        <v>2019</v>
      </c>
      <c r="D281" s="8">
        <v>2020</v>
      </c>
      <c r="E281" s="8">
        <v>2021</v>
      </c>
    </row>
    <row r="282" spans="1:9" ht="15.75" customHeight="1" thickBot="1" x14ac:dyDescent="0.3">
      <c r="A282" s="1251"/>
      <c r="B282" s="9" t="s">
        <v>10</v>
      </c>
      <c r="C282" s="9" t="s">
        <v>11</v>
      </c>
      <c r="D282" s="9" t="s">
        <v>11</v>
      </c>
      <c r="E282" s="9" t="s">
        <v>11</v>
      </c>
    </row>
    <row r="283" spans="1:9" ht="15.75" thickBot="1" x14ac:dyDescent="0.3">
      <c r="A283" s="13" t="s">
        <v>26</v>
      </c>
      <c r="B283" s="14">
        <v>2961</v>
      </c>
      <c r="C283" s="14">
        <v>3400</v>
      </c>
      <c r="D283" s="14">
        <v>3500</v>
      </c>
      <c r="E283" s="14">
        <v>3700</v>
      </c>
    </row>
    <row r="284" spans="1:9" ht="24.75" thickBot="1" x14ac:dyDescent="0.3">
      <c r="A284" s="28" t="s">
        <v>27</v>
      </c>
      <c r="B284" s="15"/>
      <c r="C284" s="141"/>
      <c r="D284" s="141"/>
      <c r="E284" s="141"/>
    </row>
    <row r="285" spans="1:9" ht="24.75" thickBot="1" x14ac:dyDescent="0.3">
      <c r="A285" s="28" t="s">
        <v>863</v>
      </c>
      <c r="B285" s="15"/>
      <c r="C285" s="29"/>
      <c r="D285" s="29"/>
      <c r="E285" s="29"/>
    </row>
    <row r="286" spans="1:9" ht="24.75" thickBot="1" x14ac:dyDescent="0.3">
      <c r="A286" s="13" t="s">
        <v>28</v>
      </c>
      <c r="B286" s="14">
        <v>317</v>
      </c>
      <c r="C286" s="14">
        <v>568</v>
      </c>
      <c r="D286" s="14">
        <v>585</v>
      </c>
      <c r="E286" s="14">
        <f>E283*16.7/100</f>
        <v>617.9</v>
      </c>
    </row>
    <row r="287" spans="1:9" ht="36.75" thickBot="1" x14ac:dyDescent="0.3">
      <c r="A287" s="28" t="s">
        <v>29</v>
      </c>
      <c r="B287" s="15"/>
      <c r="C287" s="14"/>
      <c r="D287" s="14"/>
      <c r="E287" s="14"/>
    </row>
    <row r="288" spans="1:9" ht="36.75" thickBot="1" x14ac:dyDescent="0.3">
      <c r="A288" s="28" t="s">
        <v>864</v>
      </c>
      <c r="B288" s="15"/>
      <c r="C288" s="14"/>
      <c r="D288" s="14"/>
      <c r="E288" s="14"/>
    </row>
    <row r="289" spans="1:5" ht="15.75" thickBot="1" x14ac:dyDescent="0.3">
      <c r="A289" s="13" t="s">
        <v>30</v>
      </c>
      <c r="B289" s="15">
        <v>600</v>
      </c>
      <c r="C289" s="14">
        <f>B289+B289*3/100</f>
        <v>618</v>
      </c>
      <c r="D289" s="14">
        <f>C289+C289*3/100</f>
        <v>636.54</v>
      </c>
      <c r="E289" s="14">
        <f>D289+D289*3/100</f>
        <v>655.63619999999992</v>
      </c>
    </row>
    <row r="290" spans="1:5" ht="24.75" thickBot="1" x14ac:dyDescent="0.3">
      <c r="A290" s="28" t="s">
        <v>31</v>
      </c>
      <c r="B290" s="15"/>
      <c r="C290" s="14"/>
      <c r="D290" s="14"/>
      <c r="E290" s="14"/>
    </row>
    <row r="291" spans="1:5" ht="24.75" thickBot="1" x14ac:dyDescent="0.3">
      <c r="A291" s="28" t="s">
        <v>865</v>
      </c>
      <c r="B291" s="15"/>
      <c r="C291" s="14"/>
      <c r="D291" s="14"/>
      <c r="E291" s="14"/>
    </row>
    <row r="292" spans="1:5" ht="15.75" thickBot="1" x14ac:dyDescent="0.3">
      <c r="A292" s="13" t="s">
        <v>32</v>
      </c>
      <c r="B292" s="15">
        <v>0</v>
      </c>
      <c r="C292" s="14">
        <v>0</v>
      </c>
      <c r="D292" s="14">
        <v>0</v>
      </c>
      <c r="E292" s="14">
        <v>0</v>
      </c>
    </row>
    <row r="293" spans="1:5" ht="24.75" thickBot="1" x14ac:dyDescent="0.3">
      <c r="A293" s="28" t="s">
        <v>33</v>
      </c>
      <c r="B293" s="15"/>
      <c r="C293" s="14"/>
      <c r="D293" s="14"/>
      <c r="E293" s="14"/>
    </row>
    <row r="294" spans="1:5" ht="24.75" thickBot="1" x14ac:dyDescent="0.3">
      <c r="A294" s="28" t="s">
        <v>866</v>
      </c>
      <c r="B294" s="15"/>
      <c r="C294" s="14"/>
      <c r="D294" s="14"/>
      <c r="E294" s="14"/>
    </row>
    <row r="295" spans="1:5" ht="15.75" thickBot="1" x14ac:dyDescent="0.3">
      <c r="A295" s="13" t="s">
        <v>34</v>
      </c>
      <c r="B295" s="15">
        <v>0</v>
      </c>
      <c r="C295" s="14">
        <v>0</v>
      </c>
      <c r="D295" s="14">
        <v>0</v>
      </c>
      <c r="E295" s="14">
        <v>0</v>
      </c>
    </row>
    <row r="296" spans="1:5" ht="24.75" thickBot="1" x14ac:dyDescent="0.3">
      <c r="A296" s="28" t="s">
        <v>35</v>
      </c>
      <c r="B296" s="15"/>
      <c r="C296" s="14"/>
      <c r="D296" s="14"/>
      <c r="E296" s="14"/>
    </row>
    <row r="297" spans="1:5" ht="24.75" thickBot="1" x14ac:dyDescent="0.3">
      <c r="A297" s="28" t="s">
        <v>867</v>
      </c>
      <c r="B297" s="15"/>
      <c r="C297" s="14"/>
      <c r="D297" s="14"/>
      <c r="E297" s="14"/>
    </row>
    <row r="298" spans="1:5" ht="15.75" thickBot="1" x14ac:dyDescent="0.3">
      <c r="A298" s="13" t="s">
        <v>36</v>
      </c>
      <c r="B298" s="15">
        <v>0</v>
      </c>
      <c r="C298" s="14">
        <v>0</v>
      </c>
      <c r="D298" s="14">
        <v>0</v>
      </c>
      <c r="E298" s="14">
        <v>0</v>
      </c>
    </row>
    <row r="299" spans="1:5" ht="36.75" customHeight="1" thickBot="1" x14ac:dyDescent="0.3">
      <c r="A299" s="28" t="s">
        <v>37</v>
      </c>
      <c r="B299" s="15"/>
      <c r="C299" s="14"/>
      <c r="D299" s="14"/>
      <c r="E299" s="14"/>
    </row>
    <row r="300" spans="1:5" ht="24.75" thickBot="1" x14ac:dyDescent="0.3">
      <c r="A300" s="28" t="s">
        <v>868</v>
      </c>
      <c r="B300" s="15"/>
      <c r="C300" s="14"/>
      <c r="D300" s="14"/>
      <c r="E300" s="14"/>
    </row>
    <row r="301" spans="1:5" ht="15.75" thickBot="1" x14ac:dyDescent="0.3">
      <c r="A301" s="13" t="s">
        <v>38</v>
      </c>
      <c r="B301" s="15">
        <v>0</v>
      </c>
      <c r="C301" s="14">
        <v>0</v>
      </c>
      <c r="D301" s="14">
        <v>0</v>
      </c>
      <c r="E301" s="14">
        <v>0</v>
      </c>
    </row>
    <row r="302" spans="1:5" ht="36.75" thickBot="1" x14ac:dyDescent="0.3">
      <c r="A302" s="28" t="s">
        <v>39</v>
      </c>
      <c r="B302" s="15"/>
      <c r="C302" s="14"/>
      <c r="D302" s="14"/>
      <c r="E302" s="14"/>
    </row>
    <row r="303" spans="1:5" ht="36.75" thickBot="1" x14ac:dyDescent="0.3">
      <c r="A303" s="28" t="s">
        <v>869</v>
      </c>
      <c r="B303" s="15"/>
      <c r="C303" s="14"/>
      <c r="D303" s="14"/>
      <c r="E303" s="14"/>
    </row>
    <row r="304" spans="1:5" ht="15.75" thickBot="1" x14ac:dyDescent="0.3">
      <c r="A304" s="793" t="s">
        <v>40</v>
      </c>
      <c r="B304" s="15">
        <f>B301+B298+B295+B292+B289+B286+B283</f>
        <v>3878</v>
      </c>
      <c r="C304" s="15">
        <f>C301+C298+C295+C292+C289+C286+C283</f>
        <v>4586</v>
      </c>
      <c r="D304" s="15">
        <f>D301+D298+D295+D292+D289+D286+D283</f>
        <v>4721.54</v>
      </c>
      <c r="E304" s="15">
        <f>E301+E298+E295+E292+E289+E286+E283</f>
        <v>4973.5362000000005</v>
      </c>
    </row>
    <row r="305" spans="1:5" ht="15.75" thickBot="1" x14ac:dyDescent="0.3">
      <c r="A305" s="17" t="s">
        <v>41</v>
      </c>
      <c r="B305" s="18">
        <f>IF(B304-B275=0,0,"Error")</f>
        <v>0</v>
      </c>
      <c r="C305" s="18">
        <f>IF(C304-C275=0,0,"Error")</f>
        <v>0</v>
      </c>
      <c r="D305" s="18">
        <f>IF(D304-D275=0,0,"Error")</f>
        <v>0</v>
      </c>
      <c r="E305" s="18">
        <f>IF(E304-E275=0,0,"Error")</f>
        <v>0</v>
      </c>
    </row>
    <row r="306" spans="1:5" ht="36" customHeight="1" thickBot="1" x14ac:dyDescent="0.3">
      <c r="A306" s="6" t="s">
        <v>78</v>
      </c>
      <c r="B306" s="1272" t="s">
        <v>1366</v>
      </c>
      <c r="C306" s="1270"/>
      <c r="D306" s="1270"/>
      <c r="E306" s="1305"/>
    </row>
    <row r="307" spans="1:5" ht="15.75" customHeight="1" thickBot="1" x14ac:dyDescent="0.3">
      <c r="A307" s="1245" t="s">
        <v>158</v>
      </c>
      <c r="B307" s="1246"/>
      <c r="C307" s="1246"/>
      <c r="D307" s="1246"/>
      <c r="E307" s="1298"/>
    </row>
    <row r="308" spans="1:5" ht="33" customHeight="1" thickBot="1" x14ac:dyDescent="0.3">
      <c r="A308" s="801" t="s">
        <v>1365</v>
      </c>
      <c r="B308" s="800" t="s">
        <v>1364</v>
      </c>
      <c r="C308" s="800" t="s">
        <v>1363</v>
      </c>
      <c r="D308" s="800" t="s">
        <v>1362</v>
      </c>
      <c r="E308" s="800" t="s">
        <v>1362</v>
      </c>
    </row>
    <row r="309" spans="1:5" ht="23.25" customHeight="1" thickBot="1" x14ac:dyDescent="0.3">
      <c r="A309" s="1278" t="s">
        <v>205</v>
      </c>
      <c r="B309" s="1279"/>
      <c r="C309" s="1279"/>
      <c r="D309" s="1279"/>
      <c r="E309" s="1355"/>
    </row>
    <row r="310" spans="1:5" ht="23.25" customHeight="1" thickBot="1" x14ac:dyDescent="0.3">
      <c r="A310" s="1280" t="s">
        <v>70</v>
      </c>
      <c r="B310" s="1281"/>
      <c r="C310" s="1281"/>
      <c r="D310" s="1281"/>
      <c r="E310" s="1354"/>
    </row>
    <row r="311" spans="1:5" ht="26.25" customHeight="1" thickBot="1" x14ac:dyDescent="0.3">
      <c r="A311" s="7" t="s">
        <v>16</v>
      </c>
      <c r="B311" s="1834" t="s">
        <v>720</v>
      </c>
      <c r="C311" s="1835"/>
      <c r="D311" s="1835"/>
      <c r="E311" s="1836"/>
    </row>
    <row r="312" spans="1:5" ht="71.25" customHeight="1" thickBot="1" x14ac:dyDescent="0.3">
      <c r="A312" s="5" t="s">
        <v>17</v>
      </c>
      <c r="B312" s="1772" t="s">
        <v>721</v>
      </c>
      <c r="C312" s="1773"/>
      <c r="D312" s="1773"/>
      <c r="E312" s="1774"/>
    </row>
    <row r="313" spans="1:5" ht="15.75" customHeight="1" thickBot="1" x14ac:dyDescent="0.3">
      <c r="A313" s="5" t="s">
        <v>18</v>
      </c>
      <c r="B313" s="2235" t="s">
        <v>722</v>
      </c>
      <c r="C313" s="2236"/>
      <c r="D313" s="2236"/>
      <c r="E313" s="2237"/>
    </row>
    <row r="314" spans="1:5" ht="12.75" customHeight="1" x14ac:dyDescent="0.25">
      <c r="A314" s="1250"/>
      <c r="B314" s="8">
        <v>2018</v>
      </c>
      <c r="C314" s="8">
        <v>2019</v>
      </c>
      <c r="D314" s="8">
        <v>2020</v>
      </c>
      <c r="E314" s="8">
        <v>2021</v>
      </c>
    </row>
    <row r="315" spans="1:5" ht="12.75" customHeight="1" thickBot="1" x14ac:dyDescent="0.3">
      <c r="A315" s="1251"/>
      <c r="B315" s="9" t="s">
        <v>10</v>
      </c>
      <c r="C315" s="9" t="s">
        <v>11</v>
      </c>
      <c r="D315" s="9" t="s">
        <v>11</v>
      </c>
      <c r="E315" s="9" t="s">
        <v>11</v>
      </c>
    </row>
    <row r="316" spans="1:5" ht="15.75" customHeight="1" thickBot="1" x14ac:dyDescent="0.3">
      <c r="A316" s="5" t="s">
        <v>19</v>
      </c>
      <c r="B316" s="10">
        <v>600</v>
      </c>
      <c r="C316" s="60">
        <v>650</v>
      </c>
      <c r="D316" s="60">
        <v>700</v>
      </c>
      <c r="E316" s="60">
        <v>700</v>
      </c>
    </row>
    <row r="317" spans="1:5" ht="15.75" thickBot="1" x14ac:dyDescent="0.3">
      <c r="A317" s="5" t="s">
        <v>20</v>
      </c>
      <c r="B317" s="10">
        <f>B348</f>
        <v>3409</v>
      </c>
      <c r="C317" s="10">
        <f>C348</f>
        <v>3676.17</v>
      </c>
      <c r="D317" s="10">
        <f>D348</f>
        <v>3934.4551000000001</v>
      </c>
      <c r="E317" s="10">
        <f>E348</f>
        <v>4173.8887530000002</v>
      </c>
    </row>
    <row r="318" spans="1:5" ht="15.75" thickBot="1" x14ac:dyDescent="0.3">
      <c r="A318" s="5" t="s">
        <v>21</v>
      </c>
      <c r="B318" s="10">
        <f>B317/B316</f>
        <v>5.6816666666666666</v>
      </c>
      <c r="C318" s="10">
        <f>C317/C316</f>
        <v>5.6556461538461535</v>
      </c>
      <c r="D318" s="10">
        <f>D317/D316</f>
        <v>5.6206501428571434</v>
      </c>
      <c r="E318" s="10">
        <f>E317/E316</f>
        <v>5.962698218571429</v>
      </c>
    </row>
    <row r="319" spans="1:5" ht="15.75" thickBot="1" x14ac:dyDescent="0.3">
      <c r="A319" s="5" t="s">
        <v>22</v>
      </c>
      <c r="B319" s="225"/>
      <c r="C319" s="11">
        <f t="shared" ref="C319:E321" si="7">C316/B316-1</f>
        <v>8.3333333333333259E-2</v>
      </c>
      <c r="D319" s="11">
        <f t="shared" si="7"/>
        <v>7.6923076923076872E-2</v>
      </c>
      <c r="E319" s="11">
        <f t="shared" si="7"/>
        <v>0</v>
      </c>
    </row>
    <row r="320" spans="1:5" ht="15.75" thickBot="1" x14ac:dyDescent="0.3">
      <c r="A320" s="5" t="s">
        <v>24</v>
      </c>
      <c r="B320" s="225"/>
      <c r="C320" s="11">
        <f t="shared" si="7"/>
        <v>7.8371956585508995E-2</v>
      </c>
      <c r="D320" s="11">
        <f t="shared" si="7"/>
        <v>7.025929159968114E-2</v>
      </c>
      <c r="E320" s="11">
        <f t="shared" si="7"/>
        <v>6.0855606917461058E-2</v>
      </c>
    </row>
    <row r="321" spans="1:5" ht="15.75" thickBot="1" x14ac:dyDescent="0.3">
      <c r="A321" s="5" t="s">
        <v>25</v>
      </c>
      <c r="B321" s="225"/>
      <c r="C321" s="11">
        <f t="shared" si="7"/>
        <v>-4.5797323826072267E-3</v>
      </c>
      <c r="D321" s="11">
        <f t="shared" si="7"/>
        <v>-6.1878006574387356E-3</v>
      </c>
      <c r="E321" s="11">
        <f t="shared" si="7"/>
        <v>6.0855606917461058E-2</v>
      </c>
    </row>
    <row r="322" spans="1:5" ht="12.75" customHeight="1" x14ac:dyDescent="0.25">
      <c r="A322" s="1250"/>
      <c r="B322" s="8">
        <v>2018</v>
      </c>
      <c r="C322" s="8">
        <v>2019</v>
      </c>
      <c r="D322" s="8">
        <v>2020</v>
      </c>
      <c r="E322" s="8">
        <v>2021</v>
      </c>
    </row>
    <row r="323" spans="1:5" ht="9" customHeight="1" thickBot="1" x14ac:dyDescent="0.3">
      <c r="A323" s="1251"/>
      <c r="B323" s="9" t="s">
        <v>10</v>
      </c>
      <c r="C323" s="9" t="s">
        <v>11</v>
      </c>
      <c r="D323" s="9" t="s">
        <v>11</v>
      </c>
      <c r="E323" s="9" t="s">
        <v>11</v>
      </c>
    </row>
    <row r="324" spans="1:5" ht="15.75" thickBot="1" x14ac:dyDescent="0.3">
      <c r="A324" s="1252" t="s">
        <v>636</v>
      </c>
      <c r="B324" s="1253"/>
      <c r="C324" s="1253"/>
      <c r="D324" s="1253"/>
      <c r="E324" s="1300"/>
    </row>
    <row r="325" spans="1:5" ht="12.75" customHeight="1" x14ac:dyDescent="0.25">
      <c r="A325" s="1250"/>
      <c r="B325" s="8">
        <v>2018</v>
      </c>
      <c r="C325" s="8">
        <v>2019</v>
      </c>
      <c r="D325" s="8">
        <v>2020</v>
      </c>
      <c r="E325" s="8">
        <v>2021</v>
      </c>
    </row>
    <row r="326" spans="1:5" ht="13.5" customHeight="1" thickBot="1" x14ac:dyDescent="0.3">
      <c r="A326" s="1251"/>
      <c r="B326" s="9" t="s">
        <v>10</v>
      </c>
      <c r="C326" s="9" t="s">
        <v>11</v>
      </c>
      <c r="D326" s="9" t="s">
        <v>11</v>
      </c>
      <c r="E326" s="9" t="s">
        <v>11</v>
      </c>
    </row>
    <row r="327" spans="1:5" ht="15.75" thickBot="1" x14ac:dyDescent="0.3">
      <c r="A327" s="13" t="s">
        <v>26</v>
      </c>
      <c r="B327" s="14">
        <v>1900</v>
      </c>
      <c r="C327" s="14">
        <v>2100</v>
      </c>
      <c r="D327" s="14">
        <v>2300</v>
      </c>
      <c r="E327" s="14">
        <v>2500</v>
      </c>
    </row>
    <row r="328" spans="1:5" ht="24.75" thickBot="1" x14ac:dyDescent="0.3">
      <c r="A328" s="28" t="s">
        <v>27</v>
      </c>
      <c r="B328" s="15"/>
      <c r="C328" s="29"/>
      <c r="D328" s="29"/>
      <c r="E328" s="29"/>
    </row>
    <row r="329" spans="1:5" ht="24.75" thickBot="1" x14ac:dyDescent="0.3">
      <c r="A329" s="28" t="s">
        <v>45</v>
      </c>
      <c r="B329" s="15"/>
      <c r="C329" s="29"/>
      <c r="D329" s="29"/>
      <c r="E329" s="29"/>
    </row>
    <row r="330" spans="1:5" ht="24.75" thickBot="1" x14ac:dyDescent="0.3">
      <c r="A330" s="13" t="s">
        <v>28</v>
      </c>
      <c r="B330" s="14">
        <v>270</v>
      </c>
      <c r="C330" s="14">
        <v>300</v>
      </c>
      <c r="D330" s="14">
        <v>320</v>
      </c>
      <c r="E330" s="14">
        <v>320</v>
      </c>
    </row>
    <row r="331" spans="1:5" ht="36.75" thickBot="1" x14ac:dyDescent="0.3">
      <c r="A331" s="28" t="s">
        <v>29</v>
      </c>
      <c r="B331" s="15"/>
      <c r="C331" s="14"/>
      <c r="D331" s="14"/>
      <c r="E331" s="14"/>
    </row>
    <row r="332" spans="1:5" ht="36.75" thickBot="1" x14ac:dyDescent="0.3">
      <c r="A332" s="28" t="s">
        <v>46</v>
      </c>
      <c r="B332" s="15"/>
      <c r="C332" s="14"/>
      <c r="D332" s="14"/>
      <c r="E332" s="14"/>
    </row>
    <row r="333" spans="1:5" ht="15.75" thickBot="1" x14ac:dyDescent="0.3">
      <c r="A333" s="13" t="s">
        <v>30</v>
      </c>
      <c r="B333" s="15">
        <v>1239</v>
      </c>
      <c r="C333" s="14">
        <f>B333+B333*3/100</f>
        <v>1276.17</v>
      </c>
      <c r="D333" s="14">
        <f>C333+C333*3/100</f>
        <v>1314.4551000000001</v>
      </c>
      <c r="E333" s="14">
        <f>D333+D333*3/100</f>
        <v>1353.8887530000002</v>
      </c>
    </row>
    <row r="334" spans="1:5" ht="24.75" thickBot="1" x14ac:dyDescent="0.3">
      <c r="A334" s="28" t="s">
        <v>31</v>
      </c>
      <c r="B334" s="15"/>
      <c r="C334" s="14"/>
      <c r="D334" s="14"/>
      <c r="E334" s="14"/>
    </row>
    <row r="335" spans="1:5" ht="24.75" thickBot="1" x14ac:dyDescent="0.3">
      <c r="A335" s="28" t="s">
        <v>47</v>
      </c>
      <c r="B335" s="15"/>
      <c r="C335" s="14"/>
      <c r="D335" s="14"/>
      <c r="E335" s="14"/>
    </row>
    <row r="336" spans="1:5" ht="15.75" thickBot="1" x14ac:dyDescent="0.3">
      <c r="A336" s="13" t="s">
        <v>32</v>
      </c>
      <c r="B336" s="15">
        <v>0</v>
      </c>
      <c r="C336" s="14">
        <v>0</v>
      </c>
      <c r="D336" s="14">
        <v>0</v>
      </c>
      <c r="E336" s="14">
        <v>0</v>
      </c>
    </row>
    <row r="337" spans="1:5" ht="24.75" thickBot="1" x14ac:dyDescent="0.3">
      <c r="A337" s="28" t="s">
        <v>33</v>
      </c>
      <c r="B337" s="15"/>
      <c r="C337" s="14"/>
      <c r="D337" s="14"/>
      <c r="E337" s="14"/>
    </row>
    <row r="338" spans="1:5" ht="24.75" thickBot="1" x14ac:dyDescent="0.3">
      <c r="A338" s="28" t="s">
        <v>48</v>
      </c>
      <c r="B338" s="15"/>
      <c r="C338" s="14"/>
      <c r="D338" s="14"/>
      <c r="E338" s="14"/>
    </row>
    <row r="339" spans="1:5" ht="15.75" thickBot="1" x14ac:dyDescent="0.3">
      <c r="A339" s="13" t="s">
        <v>34</v>
      </c>
      <c r="B339" s="15">
        <v>0</v>
      </c>
      <c r="C339" s="14">
        <v>0</v>
      </c>
      <c r="D339" s="14">
        <v>0</v>
      </c>
      <c r="E339" s="14">
        <v>0</v>
      </c>
    </row>
    <row r="340" spans="1:5" ht="24.75" thickBot="1" x14ac:dyDescent="0.3">
      <c r="A340" s="28" t="s">
        <v>35</v>
      </c>
      <c r="B340" s="15"/>
      <c r="C340" s="14"/>
      <c r="D340" s="14"/>
      <c r="E340" s="14"/>
    </row>
    <row r="341" spans="1:5" ht="24.75" thickBot="1" x14ac:dyDescent="0.3">
      <c r="A341" s="28" t="s">
        <v>49</v>
      </c>
      <c r="B341" s="15"/>
      <c r="C341" s="14"/>
      <c r="D341" s="14"/>
      <c r="E341" s="14"/>
    </row>
    <row r="342" spans="1:5" ht="15.75" thickBot="1" x14ac:dyDescent="0.3">
      <c r="A342" s="13" t="s">
        <v>36</v>
      </c>
      <c r="B342" s="15">
        <v>0</v>
      </c>
      <c r="C342" s="14">
        <v>0</v>
      </c>
      <c r="D342" s="14">
        <v>0</v>
      </c>
      <c r="E342" s="14">
        <v>0</v>
      </c>
    </row>
    <row r="343" spans="1:5" ht="36.75" customHeight="1" thickBot="1" x14ac:dyDescent="0.3">
      <c r="A343" s="28" t="s">
        <v>37</v>
      </c>
      <c r="B343" s="15"/>
      <c r="C343" s="14"/>
      <c r="D343" s="14"/>
      <c r="E343" s="14"/>
    </row>
    <row r="344" spans="1:5" ht="24.75" thickBot="1" x14ac:dyDescent="0.3">
      <c r="A344" s="28" t="s">
        <v>50</v>
      </c>
      <c r="B344" s="15"/>
      <c r="C344" s="14"/>
      <c r="D344" s="14"/>
      <c r="E344" s="14"/>
    </row>
    <row r="345" spans="1:5" ht="15.75" thickBot="1" x14ac:dyDescent="0.3">
      <c r="A345" s="13" t="s">
        <v>38</v>
      </c>
      <c r="B345" s="15">
        <v>0</v>
      </c>
      <c r="C345" s="14">
        <v>0</v>
      </c>
      <c r="D345" s="14">
        <v>0</v>
      </c>
      <c r="E345" s="14">
        <v>0</v>
      </c>
    </row>
    <row r="346" spans="1:5" ht="36.75" thickBot="1" x14ac:dyDescent="0.3">
      <c r="A346" s="28" t="s">
        <v>39</v>
      </c>
      <c r="B346" s="15"/>
      <c r="C346" s="14"/>
      <c r="D346" s="14"/>
      <c r="E346" s="14"/>
    </row>
    <row r="347" spans="1:5" ht="36.75" thickBot="1" x14ac:dyDescent="0.3">
      <c r="A347" s="28" t="s">
        <v>51</v>
      </c>
      <c r="B347" s="15"/>
      <c r="C347" s="14"/>
      <c r="D347" s="14"/>
      <c r="E347" s="14"/>
    </row>
    <row r="348" spans="1:5" ht="24.75" thickBot="1" x14ac:dyDescent="0.3">
      <c r="A348" s="799" t="s">
        <v>71</v>
      </c>
      <c r="B348" s="138">
        <f>B345+B342+B339+B336+B333+B330+B327</f>
        <v>3409</v>
      </c>
      <c r="C348" s="138">
        <f>C345+C342+C339+C336+C333+C330+C327</f>
        <v>3676.17</v>
      </c>
      <c r="D348" s="138">
        <f>D345+D342+D339+D336+D333+D330+D327</f>
        <v>3934.4551000000001</v>
      </c>
      <c r="E348" s="138">
        <f>E345+E342+E339+E336+E333+E330+E327</f>
        <v>4173.8887530000002</v>
      </c>
    </row>
    <row r="349" spans="1:5" ht="15.75" thickBot="1" x14ac:dyDescent="0.3">
      <c r="A349" s="17" t="s">
        <v>41</v>
      </c>
      <c r="B349" s="18">
        <f>IF(B348-B317=0,0,"Error")</f>
        <v>0</v>
      </c>
      <c r="C349" s="18">
        <f>IF(C348-C317=0,0,"Error")</f>
        <v>0</v>
      </c>
      <c r="D349" s="18">
        <f>IF(D348-D317=0,0,"Error")</f>
        <v>0</v>
      </c>
      <c r="E349" s="18">
        <f>IF(E348-E317=0,0,"Error")</f>
        <v>0</v>
      </c>
    </row>
    <row r="350" spans="1:5" ht="22.5" customHeight="1" thickBot="1" x14ac:dyDescent="0.3">
      <c r="A350" s="213" t="s">
        <v>42</v>
      </c>
      <c r="B350" s="1252" t="s">
        <v>723</v>
      </c>
      <c r="C350" s="2233"/>
      <c r="D350" s="2233"/>
      <c r="E350" s="2234"/>
    </row>
    <row r="351" spans="1:5" ht="48" customHeight="1" thickBot="1" x14ac:dyDescent="0.3">
      <c r="A351" s="5" t="s">
        <v>17</v>
      </c>
      <c r="B351" s="1278" t="s">
        <v>1361</v>
      </c>
      <c r="C351" s="1279"/>
      <c r="D351" s="1279"/>
      <c r="E351" s="1355"/>
    </row>
    <row r="352" spans="1:5" ht="15.75" thickBot="1" x14ac:dyDescent="0.3">
      <c r="A352" s="5" t="s">
        <v>18</v>
      </c>
      <c r="B352" s="1396" t="s">
        <v>724</v>
      </c>
      <c r="C352" s="1397"/>
      <c r="D352" s="1397"/>
      <c r="E352" s="1398"/>
    </row>
    <row r="353" spans="1:5" ht="12.75" customHeight="1" x14ac:dyDescent="0.25">
      <c r="A353" s="1250"/>
      <c r="B353" s="8">
        <v>2018</v>
      </c>
      <c r="C353" s="8">
        <v>2019</v>
      </c>
      <c r="D353" s="8">
        <v>2020</v>
      </c>
      <c r="E353" s="8">
        <v>2021</v>
      </c>
    </row>
    <row r="354" spans="1:5" ht="13.5" customHeight="1" thickBot="1" x14ac:dyDescent="0.3">
      <c r="A354" s="1251"/>
      <c r="B354" s="9" t="s">
        <v>10</v>
      </c>
      <c r="C354" s="9" t="s">
        <v>11</v>
      </c>
      <c r="D354" s="9" t="s">
        <v>11</v>
      </c>
      <c r="E354" s="9" t="s">
        <v>11</v>
      </c>
    </row>
    <row r="355" spans="1:5" ht="15.75" thickBot="1" x14ac:dyDescent="0.3">
      <c r="A355" s="5" t="s">
        <v>19</v>
      </c>
      <c r="B355" s="10">
        <v>20</v>
      </c>
      <c r="C355" s="10">
        <v>25</v>
      </c>
      <c r="D355" s="10">
        <v>30</v>
      </c>
      <c r="E355" s="10">
        <v>30</v>
      </c>
    </row>
    <row r="356" spans="1:5" ht="15.75" thickBot="1" x14ac:dyDescent="0.3">
      <c r="A356" s="5" t="s">
        <v>20</v>
      </c>
      <c r="B356" s="10">
        <f>B385</f>
        <v>4280</v>
      </c>
      <c r="C356" s="10">
        <f>C385</f>
        <v>4753.3</v>
      </c>
      <c r="D356" s="10">
        <f>D385</f>
        <v>4858.4989999999998</v>
      </c>
      <c r="E356" s="10">
        <f>E385</f>
        <v>5125.6539700000003</v>
      </c>
    </row>
    <row r="357" spans="1:5" ht="15.75" thickBot="1" x14ac:dyDescent="0.3">
      <c r="A357" s="5" t="s">
        <v>21</v>
      </c>
      <c r="B357" s="10">
        <f>B356/B355</f>
        <v>214</v>
      </c>
      <c r="C357" s="10">
        <f>C356/C355</f>
        <v>190.13200000000001</v>
      </c>
      <c r="D357" s="10">
        <f>D356/D355</f>
        <v>161.94996666666665</v>
      </c>
      <c r="E357" s="10">
        <f>E356/E355</f>
        <v>170.85513233333333</v>
      </c>
    </row>
    <row r="358" spans="1:5" ht="15.75" thickBot="1" x14ac:dyDescent="0.3">
      <c r="A358" s="5" t="s">
        <v>22</v>
      </c>
      <c r="B358" s="225"/>
      <c r="C358" s="11">
        <f t="shared" ref="C358:E360" si="8">C355/B355-1</f>
        <v>0.25</v>
      </c>
      <c r="D358" s="11">
        <f t="shared" si="8"/>
        <v>0.19999999999999996</v>
      </c>
      <c r="E358" s="11">
        <f t="shared" si="8"/>
        <v>0</v>
      </c>
    </row>
    <row r="359" spans="1:5" ht="15.75" thickBot="1" x14ac:dyDescent="0.3">
      <c r="A359" s="5" t="s">
        <v>24</v>
      </c>
      <c r="B359" s="225"/>
      <c r="C359" s="11">
        <f t="shared" si="8"/>
        <v>0.11058411214953279</v>
      </c>
      <c r="D359" s="11">
        <f t="shared" si="8"/>
        <v>2.2131782130309308E-2</v>
      </c>
      <c r="E359" s="11">
        <f t="shared" si="8"/>
        <v>5.4987141090283354E-2</v>
      </c>
    </row>
    <row r="360" spans="1:5" ht="15.75" thickBot="1" x14ac:dyDescent="0.3">
      <c r="A360" s="5" t="s">
        <v>25</v>
      </c>
      <c r="B360" s="225"/>
      <c r="C360" s="11">
        <f t="shared" si="8"/>
        <v>-0.11153271028037381</v>
      </c>
      <c r="D360" s="11">
        <f t="shared" si="8"/>
        <v>-0.14822351489140884</v>
      </c>
      <c r="E360" s="11">
        <f t="shared" si="8"/>
        <v>5.4987141090283354E-2</v>
      </c>
    </row>
    <row r="361" spans="1:5" ht="15.75" thickBot="1" x14ac:dyDescent="0.3">
      <c r="A361" s="1252" t="s">
        <v>884</v>
      </c>
      <c r="B361" s="1253"/>
      <c r="C361" s="1253"/>
      <c r="D361" s="1253"/>
      <c r="E361" s="1300"/>
    </row>
    <row r="362" spans="1:5" ht="12.75" customHeight="1" x14ac:dyDescent="0.25">
      <c r="A362" s="1250"/>
      <c r="B362" s="8">
        <v>2018</v>
      </c>
      <c r="C362" s="8">
        <v>2019</v>
      </c>
      <c r="D362" s="8">
        <v>2020</v>
      </c>
      <c r="E362" s="8">
        <v>2021</v>
      </c>
    </row>
    <row r="363" spans="1:5" ht="9" customHeight="1" thickBot="1" x14ac:dyDescent="0.3">
      <c r="A363" s="1251"/>
      <c r="B363" s="9" t="s">
        <v>10</v>
      </c>
      <c r="C363" s="9" t="s">
        <v>11</v>
      </c>
      <c r="D363" s="9" t="s">
        <v>11</v>
      </c>
      <c r="E363" s="9" t="s">
        <v>11</v>
      </c>
    </row>
    <row r="364" spans="1:5" ht="15.75" thickBot="1" x14ac:dyDescent="0.3">
      <c r="A364" s="13" t="s">
        <v>26</v>
      </c>
      <c r="B364" s="14">
        <v>1900</v>
      </c>
      <c r="C364" s="14">
        <v>2280</v>
      </c>
      <c r="D364" s="14">
        <v>2300</v>
      </c>
      <c r="E364" s="14">
        <v>2500</v>
      </c>
    </row>
    <row r="365" spans="1:5" ht="24.75" thickBot="1" x14ac:dyDescent="0.3">
      <c r="A365" s="28" t="s">
        <v>27</v>
      </c>
      <c r="B365" s="15"/>
      <c r="C365" s="29"/>
      <c r="D365" s="29"/>
      <c r="E365" s="29"/>
    </row>
    <row r="366" spans="1:5" ht="24.75" thickBot="1" x14ac:dyDescent="0.3">
      <c r="A366" s="28" t="s">
        <v>45</v>
      </c>
      <c r="B366" s="15"/>
      <c r="C366" s="29"/>
      <c r="D366" s="29"/>
      <c r="E366" s="29"/>
    </row>
    <row r="367" spans="1:5" ht="24.75" thickBot="1" x14ac:dyDescent="0.3">
      <c r="A367" s="13" t="s">
        <v>28</v>
      </c>
      <c r="B367" s="14">
        <v>270</v>
      </c>
      <c r="C367" s="14">
        <v>300</v>
      </c>
      <c r="D367" s="14">
        <v>320</v>
      </c>
      <c r="E367" s="14">
        <v>320</v>
      </c>
    </row>
    <row r="368" spans="1:5" ht="36.75" thickBot="1" x14ac:dyDescent="0.3">
      <c r="A368" s="28" t="s">
        <v>29</v>
      </c>
      <c r="B368" s="15"/>
      <c r="C368" s="14"/>
      <c r="D368" s="14"/>
      <c r="E368" s="14"/>
    </row>
    <row r="369" spans="1:8" ht="36.75" thickBot="1" x14ac:dyDescent="0.3">
      <c r="A369" s="28" t="s">
        <v>46</v>
      </c>
      <c r="B369" s="15"/>
      <c r="C369" s="14"/>
      <c r="D369" s="14"/>
      <c r="E369" s="14"/>
      <c r="H369" s="12"/>
    </row>
    <row r="370" spans="1:8" ht="15.75" thickBot="1" x14ac:dyDescent="0.3">
      <c r="A370" s="13" t="s">
        <v>30</v>
      </c>
      <c r="B370" s="15">
        <v>2110</v>
      </c>
      <c r="C370" s="14">
        <f>B370+B370*3/100</f>
        <v>2173.3000000000002</v>
      </c>
      <c r="D370" s="14">
        <f>C370+C370*3/100</f>
        <v>2238.4990000000003</v>
      </c>
      <c r="E370" s="14">
        <f>D370+D370*3/100</f>
        <v>2305.6539700000003</v>
      </c>
    </row>
    <row r="371" spans="1:8" ht="24.75" thickBot="1" x14ac:dyDescent="0.3">
      <c r="A371" s="28" t="s">
        <v>31</v>
      </c>
      <c r="B371" s="15"/>
      <c r="C371" s="14"/>
      <c r="D371" s="14"/>
      <c r="E371" s="14"/>
    </row>
    <row r="372" spans="1:8" ht="24.75" thickBot="1" x14ac:dyDescent="0.3">
      <c r="A372" s="28" t="s">
        <v>47</v>
      </c>
      <c r="B372" s="15"/>
      <c r="C372" s="14"/>
      <c r="D372" s="14"/>
      <c r="E372" s="14"/>
    </row>
    <row r="373" spans="1:8" ht="15.75" thickBot="1" x14ac:dyDescent="0.3">
      <c r="A373" s="13" t="s">
        <v>32</v>
      </c>
      <c r="B373" s="15">
        <v>0</v>
      </c>
      <c r="C373" s="14">
        <v>0</v>
      </c>
      <c r="D373" s="14">
        <v>0</v>
      </c>
      <c r="E373" s="14">
        <v>0</v>
      </c>
    </row>
    <row r="374" spans="1:8" ht="24.75" thickBot="1" x14ac:dyDescent="0.3">
      <c r="A374" s="28" t="s">
        <v>33</v>
      </c>
      <c r="B374" s="15"/>
      <c r="C374" s="14"/>
      <c r="D374" s="14"/>
      <c r="E374" s="14"/>
    </row>
    <row r="375" spans="1:8" ht="24.75" thickBot="1" x14ac:dyDescent="0.3">
      <c r="A375" s="28" t="s">
        <v>48</v>
      </c>
      <c r="B375" s="15"/>
      <c r="C375" s="14"/>
      <c r="D375" s="14"/>
      <c r="E375" s="14"/>
    </row>
    <row r="376" spans="1:8" ht="15.75" thickBot="1" x14ac:dyDescent="0.3">
      <c r="A376" s="13" t="s">
        <v>34</v>
      </c>
      <c r="B376" s="15">
        <v>0</v>
      </c>
      <c r="C376" s="14">
        <v>0</v>
      </c>
      <c r="D376" s="14">
        <v>0</v>
      </c>
      <c r="E376" s="14">
        <v>0</v>
      </c>
    </row>
    <row r="377" spans="1:8" ht="24.75" thickBot="1" x14ac:dyDescent="0.3">
      <c r="A377" s="28" t="s">
        <v>35</v>
      </c>
      <c r="B377" s="15"/>
      <c r="C377" s="14"/>
      <c r="D377" s="14"/>
      <c r="E377" s="14"/>
    </row>
    <row r="378" spans="1:8" ht="24.75" thickBot="1" x14ac:dyDescent="0.3">
      <c r="A378" s="28" t="s">
        <v>49</v>
      </c>
      <c r="B378" s="15"/>
      <c r="C378" s="14"/>
      <c r="D378" s="14"/>
      <c r="E378" s="14"/>
    </row>
    <row r="379" spans="1:8" ht="15.75" thickBot="1" x14ac:dyDescent="0.3">
      <c r="A379" s="13" t="s">
        <v>36</v>
      </c>
      <c r="B379" s="15">
        <v>0</v>
      </c>
      <c r="C379" s="14">
        <v>0</v>
      </c>
      <c r="D379" s="14">
        <v>0</v>
      </c>
      <c r="E379" s="14">
        <v>0</v>
      </c>
    </row>
    <row r="380" spans="1:8" ht="36.75" customHeight="1" thickBot="1" x14ac:dyDescent="0.3">
      <c r="A380" s="28" t="s">
        <v>37</v>
      </c>
      <c r="B380" s="15"/>
      <c r="C380" s="14"/>
      <c r="D380" s="14"/>
      <c r="E380" s="14"/>
    </row>
    <row r="381" spans="1:8" ht="24.75" thickBot="1" x14ac:dyDescent="0.3">
      <c r="A381" s="28" t="s">
        <v>50</v>
      </c>
      <c r="B381" s="15"/>
      <c r="C381" s="14"/>
      <c r="D381" s="14"/>
      <c r="E381" s="14"/>
    </row>
    <row r="382" spans="1:8" ht="15.75" thickBot="1" x14ac:dyDescent="0.3">
      <c r="A382" s="13" t="s">
        <v>38</v>
      </c>
      <c r="B382" s="15">
        <v>0</v>
      </c>
      <c r="C382" s="14">
        <v>0</v>
      </c>
      <c r="D382" s="14">
        <v>0</v>
      </c>
      <c r="E382" s="14">
        <v>0</v>
      </c>
    </row>
    <row r="383" spans="1:8" ht="36.75" thickBot="1" x14ac:dyDescent="0.3">
      <c r="A383" s="28" t="s">
        <v>39</v>
      </c>
      <c r="B383" s="15"/>
      <c r="C383" s="14"/>
      <c r="D383" s="14"/>
      <c r="E383" s="14"/>
    </row>
    <row r="384" spans="1:8" ht="36.75" thickBot="1" x14ac:dyDescent="0.3">
      <c r="A384" s="28" t="s">
        <v>51</v>
      </c>
      <c r="B384" s="15"/>
      <c r="C384" s="14"/>
      <c r="D384" s="14"/>
      <c r="E384" s="14"/>
    </row>
    <row r="385" spans="1:9" ht="24.75" thickBot="1" x14ac:dyDescent="0.3">
      <c r="A385" s="798" t="s">
        <v>71</v>
      </c>
      <c r="B385" s="140">
        <f>B382+B376+B379+B373+B370+B367+B364</f>
        <v>4280</v>
      </c>
      <c r="C385" s="140">
        <f>C382+C376+C379+C373+C370+C367+C364</f>
        <v>4753.3</v>
      </c>
      <c r="D385" s="140">
        <f>D382+D376+D379+D373+D370+D367+D364</f>
        <v>4858.4989999999998</v>
      </c>
      <c r="E385" s="140">
        <f>E382+E376+E379+E373+E370+E367+E364</f>
        <v>5125.6539700000003</v>
      </c>
    </row>
    <row r="386" spans="1:9" ht="15.75" thickBot="1" x14ac:dyDescent="0.3">
      <c r="A386" s="797" t="s">
        <v>41</v>
      </c>
      <c r="B386" s="350">
        <f>IF(B385-B356=0,0,"Error")</f>
        <v>0</v>
      </c>
      <c r="C386" s="350">
        <f>IF(C385-C356=0,0,"Error")</f>
        <v>0</v>
      </c>
      <c r="D386" s="350">
        <f>IF(D385-D356=0,0,"Error")</f>
        <v>0</v>
      </c>
      <c r="E386" s="350">
        <f>IF(E385-E356=0,0,"Error")</f>
        <v>0</v>
      </c>
    </row>
    <row r="387" spans="1:9" ht="72.75" customHeight="1" thickBot="1" x14ac:dyDescent="0.3">
      <c r="A387" s="796"/>
      <c r="B387" s="1270" t="s">
        <v>1360</v>
      </c>
      <c r="C387" s="1270"/>
      <c r="D387" s="1270"/>
      <c r="E387" s="1305"/>
    </row>
    <row r="388" spans="1:9" ht="15.75" thickBot="1" x14ac:dyDescent="0.3">
      <c r="A388" s="2230" t="s">
        <v>63</v>
      </c>
      <c r="B388" s="1276"/>
      <c r="C388" s="1276"/>
      <c r="D388" s="1276"/>
      <c r="E388" s="1317"/>
    </row>
    <row r="389" spans="1:9" ht="15.75" thickBot="1" x14ac:dyDescent="0.3">
      <c r="A389" s="1275" t="s">
        <v>56</v>
      </c>
      <c r="B389" s="1276"/>
      <c r="C389" s="1276"/>
      <c r="D389" s="1276"/>
      <c r="E389" s="1317"/>
    </row>
    <row r="390" spans="1:9" ht="15.75" thickBot="1" x14ac:dyDescent="0.3">
      <c r="A390" s="20" t="s">
        <v>130</v>
      </c>
      <c r="B390" s="2229" t="s">
        <v>1359</v>
      </c>
      <c r="C390" s="1399"/>
      <c r="D390" s="1399"/>
      <c r="E390" s="1400"/>
    </row>
    <row r="391" spans="1:9" ht="15.75" thickBot="1" x14ac:dyDescent="0.3">
      <c r="A391" s="7" t="s">
        <v>16</v>
      </c>
      <c r="B391" s="1273" t="s">
        <v>726</v>
      </c>
      <c r="C391" s="1274"/>
      <c r="D391" s="1274"/>
      <c r="E391" s="1299"/>
    </row>
    <row r="392" spans="1:9" ht="17.25" customHeight="1" thickBot="1" x14ac:dyDescent="0.3">
      <c r="A392" s="5" t="s">
        <v>17</v>
      </c>
      <c r="B392" s="1278" t="s">
        <v>727</v>
      </c>
      <c r="C392" s="1279"/>
      <c r="D392" s="1279"/>
      <c r="E392" s="1355"/>
    </row>
    <row r="393" spans="1:9" ht="15.75" thickBot="1" x14ac:dyDescent="0.3">
      <c r="A393" s="5" t="s">
        <v>18</v>
      </c>
      <c r="B393" s="1248" t="s">
        <v>144</v>
      </c>
      <c r="C393" s="1249"/>
      <c r="D393" s="1249"/>
      <c r="E393" s="1316"/>
    </row>
    <row r="394" spans="1:9" ht="12.75" customHeight="1" x14ac:dyDescent="0.25">
      <c r="A394" s="1250"/>
      <c r="B394" s="8">
        <v>2018</v>
      </c>
      <c r="C394" s="8">
        <v>2019</v>
      </c>
      <c r="D394" s="8">
        <v>2020</v>
      </c>
      <c r="E394" s="8">
        <v>2021</v>
      </c>
    </row>
    <row r="395" spans="1:9" ht="13.5" customHeight="1" thickBot="1" x14ac:dyDescent="0.3">
      <c r="A395" s="1251"/>
      <c r="B395" s="9" t="s">
        <v>10</v>
      </c>
      <c r="C395" s="9" t="s">
        <v>11</v>
      </c>
      <c r="D395" s="9" t="s">
        <v>11</v>
      </c>
      <c r="E395" s="9" t="s">
        <v>11</v>
      </c>
    </row>
    <row r="396" spans="1:9" ht="15.75" thickBot="1" x14ac:dyDescent="0.3">
      <c r="A396" s="5" t="s">
        <v>19</v>
      </c>
      <c r="B396" s="10"/>
      <c r="C396" s="10"/>
      <c r="D396" s="10"/>
      <c r="E396" s="10"/>
    </row>
    <row r="397" spans="1:9" ht="15.75" thickBot="1" x14ac:dyDescent="0.3">
      <c r="A397" s="5" t="s">
        <v>20</v>
      </c>
      <c r="B397" s="10">
        <f>B407</f>
        <v>960</v>
      </c>
      <c r="C397" s="10">
        <f>C407</f>
        <v>0</v>
      </c>
      <c r="D397" s="10">
        <f>D407</f>
        <v>0</v>
      </c>
      <c r="E397" s="10">
        <f>E407</f>
        <v>1000</v>
      </c>
    </row>
    <row r="398" spans="1:9" ht="15.75" thickBot="1" x14ac:dyDescent="0.3">
      <c r="A398" s="5" t="s">
        <v>21</v>
      </c>
      <c r="B398" s="10" t="e">
        <f>B397/B396</f>
        <v>#DIV/0!</v>
      </c>
      <c r="C398" s="10" t="e">
        <f>C397/C396</f>
        <v>#DIV/0!</v>
      </c>
      <c r="D398" s="10" t="e">
        <f>D397/D396</f>
        <v>#DIV/0!</v>
      </c>
      <c r="E398" s="10" t="e">
        <f>E397/E396</f>
        <v>#DIV/0!</v>
      </c>
    </row>
    <row r="399" spans="1:9" ht="15.75" thickBot="1" x14ac:dyDescent="0.3">
      <c r="A399" s="5" t="s">
        <v>22</v>
      </c>
      <c r="B399" s="225" t="s">
        <v>23</v>
      </c>
      <c r="C399" s="11" t="e">
        <f t="shared" ref="C399:E401" si="9">C396/B396-1</f>
        <v>#DIV/0!</v>
      </c>
      <c r="D399" s="11" t="e">
        <f t="shared" si="9"/>
        <v>#DIV/0!</v>
      </c>
      <c r="E399" s="11" t="e">
        <f t="shared" si="9"/>
        <v>#DIV/0!</v>
      </c>
      <c r="F399" s="12"/>
      <c r="G399" s="12"/>
      <c r="H399" s="12"/>
      <c r="I399" s="12"/>
    </row>
    <row r="400" spans="1:9" ht="15.75" thickBot="1" x14ac:dyDescent="0.3">
      <c r="A400" s="5" t="s">
        <v>24</v>
      </c>
      <c r="B400" s="225" t="s">
        <v>23</v>
      </c>
      <c r="C400" s="11">
        <f t="shared" si="9"/>
        <v>-1</v>
      </c>
      <c r="D400" s="11" t="e">
        <f t="shared" si="9"/>
        <v>#DIV/0!</v>
      </c>
      <c r="E400" s="11" t="e">
        <f t="shared" si="9"/>
        <v>#DIV/0!</v>
      </c>
    </row>
    <row r="401" spans="1:5" ht="15.75" thickBot="1" x14ac:dyDescent="0.3">
      <c r="A401" s="5" t="s">
        <v>25</v>
      </c>
      <c r="B401" s="225" t="s">
        <v>23</v>
      </c>
      <c r="C401" s="11" t="e">
        <f t="shared" si="9"/>
        <v>#DIV/0!</v>
      </c>
      <c r="D401" s="11" t="e">
        <f t="shared" si="9"/>
        <v>#DIV/0!</v>
      </c>
      <c r="E401" s="11" t="e">
        <f t="shared" si="9"/>
        <v>#DIV/0!</v>
      </c>
    </row>
    <row r="402" spans="1:5" ht="15.75" thickBot="1" x14ac:dyDescent="0.3">
      <c r="A402" s="1252" t="s">
        <v>633</v>
      </c>
      <c r="B402" s="1253"/>
      <c r="C402" s="1253"/>
      <c r="D402" s="1253"/>
      <c r="E402" s="1300"/>
    </row>
    <row r="403" spans="1:5" ht="12.75" customHeight="1" x14ac:dyDescent="0.25">
      <c r="A403" s="1250"/>
      <c r="B403" s="8">
        <v>2018</v>
      </c>
      <c r="C403" s="8">
        <v>2019</v>
      </c>
      <c r="D403" s="8">
        <v>2020</v>
      </c>
      <c r="E403" s="8">
        <v>2021</v>
      </c>
    </row>
    <row r="404" spans="1:5" ht="9" customHeight="1" thickBot="1" x14ac:dyDescent="0.3">
      <c r="A404" s="1251"/>
      <c r="B404" s="9" t="s">
        <v>10</v>
      </c>
      <c r="C404" s="9" t="s">
        <v>11</v>
      </c>
      <c r="D404" s="9" t="s">
        <v>11</v>
      </c>
      <c r="E404" s="9" t="s">
        <v>11</v>
      </c>
    </row>
    <row r="405" spans="1:5" ht="15.75" thickBot="1" x14ac:dyDescent="0.3">
      <c r="A405" s="13" t="s">
        <v>58</v>
      </c>
      <c r="B405" s="14"/>
      <c r="C405" s="14"/>
      <c r="D405" s="14"/>
      <c r="E405" s="14"/>
    </row>
    <row r="406" spans="1:5" ht="15.75" thickBot="1" x14ac:dyDescent="0.3">
      <c r="A406" s="13" t="s">
        <v>59</v>
      </c>
      <c r="B406" s="15">
        <v>960</v>
      </c>
      <c r="C406" s="14">
        <v>0</v>
      </c>
      <c r="D406" s="14">
        <v>0</v>
      </c>
      <c r="E406" s="14">
        <v>1000</v>
      </c>
    </row>
    <row r="407" spans="1:5" ht="15.75" thickBot="1" x14ac:dyDescent="0.3">
      <c r="A407" s="793" t="s">
        <v>40</v>
      </c>
      <c r="B407" s="15">
        <f>B406+B405</f>
        <v>960</v>
      </c>
      <c r="C407" s="15">
        <f>C406+C405</f>
        <v>0</v>
      </c>
      <c r="D407" s="15">
        <f>D406+D405</f>
        <v>0</v>
      </c>
      <c r="E407" s="15">
        <f>E406+E405</f>
        <v>1000</v>
      </c>
    </row>
    <row r="408" spans="1:5" ht="15.75" thickBot="1" x14ac:dyDescent="0.3">
      <c r="A408" s="20" t="s">
        <v>130</v>
      </c>
      <c r="B408" s="2229" t="s">
        <v>1358</v>
      </c>
      <c r="C408" s="1399"/>
      <c r="D408" s="1399"/>
      <c r="E408" s="1400"/>
    </row>
    <row r="409" spans="1:5" ht="15.75" thickBot="1" x14ac:dyDescent="0.3">
      <c r="A409" s="7" t="s">
        <v>42</v>
      </c>
      <c r="B409" s="1273" t="s">
        <v>1357</v>
      </c>
      <c r="C409" s="1274"/>
      <c r="D409" s="1274"/>
      <c r="E409" s="1299"/>
    </row>
    <row r="410" spans="1:5" ht="17.25" customHeight="1" thickBot="1" x14ac:dyDescent="0.3">
      <c r="A410" s="5" t="s">
        <v>17</v>
      </c>
      <c r="B410" s="1273" t="s">
        <v>1356</v>
      </c>
      <c r="C410" s="1274"/>
      <c r="D410" s="1274"/>
      <c r="E410" s="1299"/>
    </row>
    <row r="411" spans="1:5" ht="15.75" thickBot="1" x14ac:dyDescent="0.3">
      <c r="A411" s="5" t="s">
        <v>18</v>
      </c>
      <c r="B411" s="1248" t="s">
        <v>144</v>
      </c>
      <c r="C411" s="1249"/>
      <c r="D411" s="1249"/>
      <c r="E411" s="1316"/>
    </row>
    <row r="412" spans="1:5" ht="12.75" customHeight="1" x14ac:dyDescent="0.25">
      <c r="A412" s="1250"/>
      <c r="B412" s="8">
        <v>2018</v>
      </c>
      <c r="C412" s="8">
        <v>2019</v>
      </c>
      <c r="D412" s="8">
        <v>2020</v>
      </c>
      <c r="E412" s="8">
        <v>2021</v>
      </c>
    </row>
    <row r="413" spans="1:5" ht="9" customHeight="1" thickBot="1" x14ac:dyDescent="0.3">
      <c r="A413" s="1251"/>
      <c r="B413" s="9" t="s">
        <v>10</v>
      </c>
      <c r="C413" s="9" t="s">
        <v>11</v>
      </c>
      <c r="D413" s="9" t="s">
        <v>11</v>
      </c>
      <c r="E413" s="9" t="s">
        <v>11</v>
      </c>
    </row>
    <row r="414" spans="1:5" ht="15.75" thickBot="1" x14ac:dyDescent="0.3">
      <c r="A414" s="5" t="s">
        <v>19</v>
      </c>
      <c r="B414" s="10"/>
      <c r="C414" s="10"/>
      <c r="D414" s="10"/>
      <c r="E414" s="10"/>
    </row>
    <row r="415" spans="1:5" ht="15.75" thickBot="1" x14ac:dyDescent="0.3">
      <c r="A415" s="5" t="s">
        <v>20</v>
      </c>
      <c r="B415" s="10">
        <f>B425</f>
        <v>445</v>
      </c>
      <c r="C415" s="10">
        <f>C425</f>
        <v>0</v>
      </c>
      <c r="D415" s="10">
        <f>D425</f>
        <v>0</v>
      </c>
      <c r="E415" s="10">
        <f>E425</f>
        <v>500</v>
      </c>
    </row>
    <row r="416" spans="1:5" ht="15.75" thickBot="1" x14ac:dyDescent="0.3">
      <c r="A416" s="5" t="s">
        <v>21</v>
      </c>
      <c r="B416" s="10" t="e">
        <f>B415/B414</f>
        <v>#DIV/0!</v>
      </c>
      <c r="C416" s="10" t="e">
        <f>C415/C414</f>
        <v>#DIV/0!</v>
      </c>
      <c r="D416" s="10" t="e">
        <f>D415/D414</f>
        <v>#DIV/0!</v>
      </c>
      <c r="E416" s="10" t="e">
        <f>E415/E414</f>
        <v>#DIV/0!</v>
      </c>
    </row>
    <row r="417" spans="1:9" ht="15.75" thickBot="1" x14ac:dyDescent="0.3">
      <c r="A417" s="5" t="s">
        <v>22</v>
      </c>
      <c r="B417" s="225" t="s">
        <v>23</v>
      </c>
      <c r="C417" s="11" t="e">
        <f t="shared" ref="C417:E419" si="10">C414/B414-1</f>
        <v>#DIV/0!</v>
      </c>
      <c r="D417" s="11" t="e">
        <f t="shared" si="10"/>
        <v>#DIV/0!</v>
      </c>
      <c r="E417" s="11" t="e">
        <f t="shared" si="10"/>
        <v>#DIV/0!</v>
      </c>
      <c r="F417" s="12"/>
      <c r="G417" s="12"/>
      <c r="H417" s="12"/>
      <c r="I417" s="12"/>
    </row>
    <row r="418" spans="1:9" ht="15.75" thickBot="1" x14ac:dyDescent="0.3">
      <c r="A418" s="5" t="s">
        <v>24</v>
      </c>
      <c r="B418" s="225" t="s">
        <v>23</v>
      </c>
      <c r="C418" s="11">
        <f t="shared" si="10"/>
        <v>-1</v>
      </c>
      <c r="D418" s="11" t="e">
        <f t="shared" si="10"/>
        <v>#DIV/0!</v>
      </c>
      <c r="E418" s="11" t="e">
        <f t="shared" si="10"/>
        <v>#DIV/0!</v>
      </c>
    </row>
    <row r="419" spans="1:9" ht="15.75" thickBot="1" x14ac:dyDescent="0.3">
      <c r="A419" s="5" t="s">
        <v>25</v>
      </c>
      <c r="B419" s="225" t="s">
        <v>23</v>
      </c>
      <c r="C419" s="11" t="e">
        <f t="shared" si="10"/>
        <v>#DIV/0!</v>
      </c>
      <c r="D419" s="11" t="e">
        <f t="shared" si="10"/>
        <v>#DIV/0!</v>
      </c>
      <c r="E419" s="11" t="e">
        <f t="shared" si="10"/>
        <v>#DIV/0!</v>
      </c>
    </row>
    <row r="420" spans="1:9" ht="15.75" customHeight="1" thickBot="1" x14ac:dyDescent="0.3">
      <c r="A420" s="1252" t="s">
        <v>884</v>
      </c>
      <c r="B420" s="1253"/>
      <c r="C420" s="1253"/>
      <c r="D420" s="1253"/>
      <c r="E420" s="1300"/>
    </row>
    <row r="421" spans="1:9" ht="12.75" customHeight="1" x14ac:dyDescent="0.25">
      <c r="A421" s="1250"/>
      <c r="B421" s="8">
        <v>2018</v>
      </c>
      <c r="C421" s="8">
        <v>2019</v>
      </c>
      <c r="D421" s="8">
        <v>2020</v>
      </c>
      <c r="E421" s="8">
        <v>2021</v>
      </c>
    </row>
    <row r="422" spans="1:9" ht="9" customHeight="1" thickBot="1" x14ac:dyDescent="0.3">
      <c r="A422" s="1251"/>
      <c r="B422" s="9" t="s">
        <v>10</v>
      </c>
      <c r="C422" s="9" t="s">
        <v>11</v>
      </c>
      <c r="D422" s="9" t="s">
        <v>11</v>
      </c>
      <c r="E422" s="9" t="s">
        <v>11</v>
      </c>
    </row>
    <row r="423" spans="1:9" ht="15.75" thickBot="1" x14ac:dyDescent="0.3">
      <c r="A423" s="13" t="s">
        <v>58</v>
      </c>
      <c r="B423" s="14"/>
      <c r="C423" s="14"/>
      <c r="D423" s="14"/>
      <c r="E423" s="14"/>
    </row>
    <row r="424" spans="1:9" ht="15.75" thickBot="1" x14ac:dyDescent="0.3">
      <c r="A424" s="13" t="s">
        <v>59</v>
      </c>
      <c r="B424" s="15">
        <v>445</v>
      </c>
      <c r="C424" s="14">
        <v>0</v>
      </c>
      <c r="D424" s="14">
        <v>0</v>
      </c>
      <c r="E424" s="14">
        <v>500</v>
      </c>
    </row>
    <row r="425" spans="1:9" ht="15.75" thickBot="1" x14ac:dyDescent="0.3">
      <c r="A425" s="793" t="s">
        <v>43</v>
      </c>
      <c r="B425" s="15">
        <f>B424+B423</f>
        <v>445</v>
      </c>
      <c r="C425" s="15">
        <f>C424+C423</f>
        <v>0</v>
      </c>
      <c r="D425" s="15">
        <f>D424+D423</f>
        <v>0</v>
      </c>
      <c r="E425" s="15">
        <f>E424+E423</f>
        <v>500</v>
      </c>
    </row>
    <row r="426" spans="1:9" ht="15.75" thickBot="1" x14ac:dyDescent="0.3">
      <c r="A426" s="20" t="s">
        <v>130</v>
      </c>
      <c r="B426" s="2229" t="s">
        <v>1355</v>
      </c>
      <c r="C426" s="1399"/>
      <c r="D426" s="1399"/>
      <c r="E426" s="1400"/>
    </row>
    <row r="427" spans="1:9" ht="15.75" thickBot="1" x14ac:dyDescent="0.3">
      <c r="A427" s="7" t="s">
        <v>44</v>
      </c>
      <c r="B427" s="1273" t="s">
        <v>1354</v>
      </c>
      <c r="C427" s="1274"/>
      <c r="D427" s="1274"/>
      <c r="E427" s="1299"/>
    </row>
    <row r="428" spans="1:9" ht="17.25" customHeight="1" thickBot="1" x14ac:dyDescent="0.3">
      <c r="A428" s="5" t="s">
        <v>17</v>
      </c>
      <c r="B428" s="1273" t="s">
        <v>728</v>
      </c>
      <c r="C428" s="1274"/>
      <c r="D428" s="1274"/>
      <c r="E428" s="1299"/>
    </row>
    <row r="429" spans="1:9" ht="15.75" thickBot="1" x14ac:dyDescent="0.3">
      <c r="A429" s="5" t="s">
        <v>18</v>
      </c>
      <c r="B429" s="1248" t="s">
        <v>144</v>
      </c>
      <c r="C429" s="1249"/>
      <c r="D429" s="1249"/>
      <c r="E429" s="1316"/>
    </row>
    <row r="430" spans="1:9" ht="12.75" customHeight="1" x14ac:dyDescent="0.25">
      <c r="A430" s="1250"/>
      <c r="B430" s="8">
        <v>2018</v>
      </c>
      <c r="C430" s="8">
        <v>2019</v>
      </c>
      <c r="D430" s="8">
        <v>2020</v>
      </c>
      <c r="E430" s="8">
        <v>2021</v>
      </c>
    </row>
    <row r="431" spans="1:9" ht="9" customHeight="1" thickBot="1" x14ac:dyDescent="0.3">
      <c r="A431" s="1251"/>
      <c r="B431" s="9" t="s">
        <v>10</v>
      </c>
      <c r="C431" s="9" t="s">
        <v>11</v>
      </c>
      <c r="D431" s="9" t="s">
        <v>11</v>
      </c>
      <c r="E431" s="9" t="s">
        <v>11</v>
      </c>
    </row>
    <row r="432" spans="1:9" ht="15.75" thickBot="1" x14ac:dyDescent="0.3">
      <c r="A432" s="5" t="s">
        <v>19</v>
      </c>
      <c r="B432" s="10"/>
      <c r="C432" s="10"/>
      <c r="D432" s="10"/>
      <c r="E432" s="10"/>
    </row>
    <row r="433" spans="1:9" ht="15.75" thickBot="1" x14ac:dyDescent="0.3">
      <c r="A433" s="5" t="s">
        <v>20</v>
      </c>
      <c r="B433" s="10">
        <f>B443</f>
        <v>7940</v>
      </c>
      <c r="C433" s="10">
        <f>C443</f>
        <v>0</v>
      </c>
      <c r="D433" s="10">
        <f>D443</f>
        <v>0</v>
      </c>
      <c r="E433" s="10">
        <f>E443</f>
        <v>0</v>
      </c>
    </row>
    <row r="434" spans="1:9" ht="15.75" thickBot="1" x14ac:dyDescent="0.3">
      <c r="A434" s="5" t="s">
        <v>21</v>
      </c>
      <c r="B434" s="10" t="e">
        <f>B433/B432</f>
        <v>#DIV/0!</v>
      </c>
      <c r="C434" s="10" t="e">
        <f>C433/C432</f>
        <v>#DIV/0!</v>
      </c>
      <c r="D434" s="10" t="e">
        <f>D433/D432</f>
        <v>#DIV/0!</v>
      </c>
      <c r="E434" s="10" t="e">
        <f>E433/E432</f>
        <v>#DIV/0!</v>
      </c>
    </row>
    <row r="435" spans="1:9" ht="15.75" thickBot="1" x14ac:dyDescent="0.3">
      <c r="A435" s="5" t="s">
        <v>22</v>
      </c>
      <c r="B435" s="225" t="s">
        <v>23</v>
      </c>
      <c r="C435" s="11" t="e">
        <f t="shared" ref="C435:E437" si="11">C432/B432-1</f>
        <v>#DIV/0!</v>
      </c>
      <c r="D435" s="11" t="e">
        <f t="shared" si="11"/>
        <v>#DIV/0!</v>
      </c>
      <c r="E435" s="11" t="e">
        <f t="shared" si="11"/>
        <v>#DIV/0!</v>
      </c>
      <c r="F435" s="12"/>
      <c r="G435" s="12"/>
      <c r="H435" s="12"/>
      <c r="I435" s="12"/>
    </row>
    <row r="436" spans="1:9" ht="15.75" thickBot="1" x14ac:dyDescent="0.3">
      <c r="A436" s="5" t="s">
        <v>24</v>
      </c>
      <c r="B436" s="225" t="s">
        <v>23</v>
      </c>
      <c r="C436" s="11">
        <f t="shared" si="11"/>
        <v>-1</v>
      </c>
      <c r="D436" s="11" t="e">
        <f t="shared" si="11"/>
        <v>#DIV/0!</v>
      </c>
      <c r="E436" s="11" t="e">
        <f t="shared" si="11"/>
        <v>#DIV/0!</v>
      </c>
    </row>
    <row r="437" spans="1:9" ht="15.75" thickBot="1" x14ac:dyDescent="0.3">
      <c r="A437" s="5" t="s">
        <v>25</v>
      </c>
      <c r="B437" s="225" t="s">
        <v>23</v>
      </c>
      <c r="C437" s="11" t="e">
        <f t="shared" si="11"/>
        <v>#DIV/0!</v>
      </c>
      <c r="D437" s="11" t="e">
        <f t="shared" si="11"/>
        <v>#DIV/0!</v>
      </c>
      <c r="E437" s="11" t="e">
        <f t="shared" si="11"/>
        <v>#DIV/0!</v>
      </c>
    </row>
    <row r="438" spans="1:9" ht="15.75" customHeight="1" thickBot="1" x14ac:dyDescent="0.3">
      <c r="A438" s="1252" t="s">
        <v>872</v>
      </c>
      <c r="B438" s="1253"/>
      <c r="C438" s="1253"/>
      <c r="D438" s="1253"/>
      <c r="E438" s="1300"/>
    </row>
    <row r="439" spans="1:9" ht="12.75" customHeight="1" x14ac:dyDescent="0.25">
      <c r="A439" s="1250"/>
      <c r="B439" s="8">
        <v>2018</v>
      </c>
      <c r="C439" s="8">
        <v>2019</v>
      </c>
      <c r="D439" s="8">
        <v>2020</v>
      </c>
      <c r="E439" s="8">
        <v>2021</v>
      </c>
    </row>
    <row r="440" spans="1:9" ht="9" customHeight="1" thickBot="1" x14ac:dyDescent="0.3">
      <c r="A440" s="1251"/>
      <c r="B440" s="9" t="s">
        <v>10</v>
      </c>
      <c r="C440" s="9" t="s">
        <v>11</v>
      </c>
      <c r="D440" s="9" t="s">
        <v>11</v>
      </c>
      <c r="E440" s="9" t="s">
        <v>11</v>
      </c>
    </row>
    <row r="441" spans="1:9" ht="15.75" thickBot="1" x14ac:dyDescent="0.3">
      <c r="A441" s="13" t="s">
        <v>58</v>
      </c>
      <c r="B441" s="14"/>
      <c r="C441" s="14"/>
      <c r="D441" s="14"/>
      <c r="E441" s="14"/>
    </row>
    <row r="442" spans="1:9" ht="15.75" thickBot="1" x14ac:dyDescent="0.3">
      <c r="A442" s="13" t="s">
        <v>59</v>
      </c>
      <c r="B442" s="15">
        <v>7940</v>
      </c>
      <c r="C442" s="14">
        <v>0</v>
      </c>
      <c r="D442" s="14">
        <v>0</v>
      </c>
      <c r="E442" s="14">
        <v>0</v>
      </c>
    </row>
    <row r="443" spans="1:9" ht="15.75" thickBot="1" x14ac:dyDescent="0.3">
      <c r="A443" s="16" t="s">
        <v>52</v>
      </c>
      <c r="B443" s="15">
        <f>B442+B441</f>
        <v>7940</v>
      </c>
      <c r="C443" s="15">
        <f>C442+C441</f>
        <v>0</v>
      </c>
      <c r="D443" s="15">
        <f>D442+D441</f>
        <v>0</v>
      </c>
      <c r="E443" s="15">
        <f>E442+E441</f>
        <v>0</v>
      </c>
    </row>
    <row r="444" spans="1:9" ht="15" customHeight="1" x14ac:dyDescent="0.25">
      <c r="A444" s="1254" t="s">
        <v>62</v>
      </c>
      <c r="B444" s="1322"/>
      <c r="C444" s="1289"/>
      <c r="D444" s="1289"/>
      <c r="E444" s="1290"/>
    </row>
    <row r="445" spans="1:9" x14ac:dyDescent="0.25">
      <c r="A445" s="1255"/>
      <c r="B445" s="1291"/>
      <c r="C445" s="1292"/>
      <c r="D445" s="1292"/>
      <c r="E445" s="1293"/>
    </row>
    <row r="446" spans="1:9" ht="15.75" thickBot="1" x14ac:dyDescent="0.3">
      <c r="A446" s="1256"/>
      <c r="B446" s="1294"/>
      <c r="C446" s="1295"/>
      <c r="D446" s="1295"/>
      <c r="E446" s="1296"/>
    </row>
    <row r="447" spans="1:9" ht="15.75" thickBot="1" x14ac:dyDescent="0.3">
      <c r="A447" s="20" t="s">
        <v>130</v>
      </c>
      <c r="B447" s="2229" t="s">
        <v>1353</v>
      </c>
      <c r="C447" s="1399"/>
      <c r="D447" s="1399"/>
      <c r="E447" s="1400"/>
    </row>
    <row r="448" spans="1:9" ht="15.75" thickBot="1" x14ac:dyDescent="0.3">
      <c r="A448" s="7" t="s">
        <v>53</v>
      </c>
      <c r="B448" s="1241" t="s">
        <v>1352</v>
      </c>
      <c r="C448" s="1242"/>
      <c r="D448" s="1242"/>
      <c r="E448" s="1318"/>
    </row>
    <row r="449" spans="1:9" ht="17.25" customHeight="1" thickBot="1" x14ac:dyDescent="0.3">
      <c r="A449" s="5" t="s">
        <v>17</v>
      </c>
      <c r="B449" s="1273" t="s">
        <v>1351</v>
      </c>
      <c r="C449" s="1274"/>
      <c r="D449" s="1274"/>
      <c r="E449" s="1299"/>
    </row>
    <row r="450" spans="1:9" ht="15.75" thickBot="1" x14ac:dyDescent="0.3">
      <c r="A450" s="5" t="s">
        <v>18</v>
      </c>
      <c r="B450" s="1248" t="s">
        <v>144</v>
      </c>
      <c r="C450" s="1249"/>
      <c r="D450" s="1249"/>
      <c r="E450" s="1316"/>
    </row>
    <row r="451" spans="1:9" ht="12.75" customHeight="1" x14ac:dyDescent="0.25">
      <c r="A451" s="1250"/>
      <c r="B451" s="8">
        <v>2018</v>
      </c>
      <c r="C451" s="8">
        <v>2019</v>
      </c>
      <c r="D451" s="8">
        <v>2020</v>
      </c>
      <c r="E451" s="8">
        <v>2021</v>
      </c>
    </row>
    <row r="452" spans="1:9" ht="9" customHeight="1" thickBot="1" x14ac:dyDescent="0.3">
      <c r="A452" s="1251"/>
      <c r="B452" s="9" t="s">
        <v>10</v>
      </c>
      <c r="C452" s="9" t="s">
        <v>11</v>
      </c>
      <c r="D452" s="9" t="s">
        <v>11</v>
      </c>
      <c r="E452" s="9" t="s">
        <v>11</v>
      </c>
    </row>
    <row r="453" spans="1:9" ht="15.75" thickBot="1" x14ac:dyDescent="0.3">
      <c r="A453" s="5" t="s">
        <v>19</v>
      </c>
      <c r="B453" s="10"/>
      <c r="C453" s="10"/>
      <c r="D453" s="10"/>
      <c r="E453" s="10"/>
    </row>
    <row r="454" spans="1:9" ht="15.75" thickBot="1" x14ac:dyDescent="0.3">
      <c r="A454" s="5" t="s">
        <v>20</v>
      </c>
      <c r="B454" s="10">
        <f>B464</f>
        <v>500</v>
      </c>
      <c r="C454" s="10">
        <f>C464</f>
        <v>0</v>
      </c>
      <c r="D454" s="10">
        <f>D464</f>
        <v>0</v>
      </c>
      <c r="E454" s="10">
        <f>E464</f>
        <v>0</v>
      </c>
    </row>
    <row r="455" spans="1:9" ht="15.75" thickBot="1" x14ac:dyDescent="0.3">
      <c r="A455" s="5" t="s">
        <v>21</v>
      </c>
      <c r="B455" s="10" t="e">
        <f>B454/B453</f>
        <v>#DIV/0!</v>
      </c>
      <c r="C455" s="10" t="e">
        <f>C454/C453</f>
        <v>#DIV/0!</v>
      </c>
      <c r="D455" s="10" t="e">
        <f>D454/D453</f>
        <v>#DIV/0!</v>
      </c>
      <c r="E455" s="10" t="e">
        <f>E454/E453</f>
        <v>#DIV/0!</v>
      </c>
    </row>
    <row r="456" spans="1:9" ht="15.75" thickBot="1" x14ac:dyDescent="0.3">
      <c r="A456" s="5" t="s">
        <v>22</v>
      </c>
      <c r="B456" s="225" t="s">
        <v>23</v>
      </c>
      <c r="C456" s="11" t="e">
        <f t="shared" ref="C456:E458" si="12">C453/B453-1</f>
        <v>#DIV/0!</v>
      </c>
      <c r="D456" s="11" t="e">
        <f t="shared" si="12"/>
        <v>#DIV/0!</v>
      </c>
      <c r="E456" s="11" t="e">
        <f t="shared" si="12"/>
        <v>#DIV/0!</v>
      </c>
      <c r="F456" s="12"/>
      <c r="G456" s="12"/>
      <c r="H456" s="12"/>
      <c r="I456" s="12"/>
    </row>
    <row r="457" spans="1:9" ht="15.75" thickBot="1" x14ac:dyDescent="0.3">
      <c r="A457" s="5" t="s">
        <v>24</v>
      </c>
      <c r="B457" s="225" t="s">
        <v>23</v>
      </c>
      <c r="C457" s="11">
        <f t="shared" si="12"/>
        <v>-1</v>
      </c>
      <c r="D457" s="11" t="e">
        <f t="shared" si="12"/>
        <v>#DIV/0!</v>
      </c>
      <c r="E457" s="11" t="e">
        <f t="shared" si="12"/>
        <v>#DIV/0!</v>
      </c>
    </row>
    <row r="458" spans="1:9" ht="15.75" thickBot="1" x14ac:dyDescent="0.3">
      <c r="A458" s="5" t="s">
        <v>25</v>
      </c>
      <c r="B458" s="225" t="s">
        <v>23</v>
      </c>
      <c r="C458" s="11" t="e">
        <f t="shared" si="12"/>
        <v>#DIV/0!</v>
      </c>
      <c r="D458" s="11" t="e">
        <f t="shared" si="12"/>
        <v>#DIV/0!</v>
      </c>
      <c r="E458" s="11" t="e">
        <f t="shared" si="12"/>
        <v>#DIV/0!</v>
      </c>
    </row>
    <row r="459" spans="1:9" ht="15.75" customHeight="1" thickBot="1" x14ac:dyDescent="0.3">
      <c r="A459" s="1252" t="s">
        <v>1064</v>
      </c>
      <c r="B459" s="1253"/>
      <c r="C459" s="1253"/>
      <c r="D459" s="1253"/>
      <c r="E459" s="1300"/>
    </row>
    <row r="460" spans="1:9" ht="12.75" customHeight="1" x14ac:dyDescent="0.25">
      <c r="A460" s="1250"/>
      <c r="B460" s="8">
        <v>2018</v>
      </c>
      <c r="C460" s="8">
        <v>2019</v>
      </c>
      <c r="D460" s="8">
        <v>2020</v>
      </c>
      <c r="E460" s="8">
        <v>2021</v>
      </c>
    </row>
    <row r="461" spans="1:9" ht="9" customHeight="1" thickBot="1" x14ac:dyDescent="0.3">
      <c r="A461" s="1251"/>
      <c r="B461" s="9" t="s">
        <v>10</v>
      </c>
      <c r="C461" s="9" t="s">
        <v>11</v>
      </c>
      <c r="D461" s="9" t="s">
        <v>11</v>
      </c>
      <c r="E461" s="9" t="s">
        <v>11</v>
      </c>
    </row>
    <row r="462" spans="1:9" ht="15.75" thickBot="1" x14ac:dyDescent="0.3">
      <c r="A462" s="13" t="s">
        <v>58</v>
      </c>
      <c r="B462" s="14"/>
      <c r="C462" s="14"/>
      <c r="D462" s="14"/>
      <c r="E462" s="14"/>
    </row>
    <row r="463" spans="1:9" x14ac:dyDescent="0.25">
      <c r="A463" s="251" t="s">
        <v>59</v>
      </c>
      <c r="B463" s="663">
        <v>500</v>
      </c>
      <c r="C463" s="371">
        <v>0</v>
      </c>
      <c r="D463" s="371">
        <v>0</v>
      </c>
      <c r="E463" s="371">
        <v>0</v>
      </c>
    </row>
    <row r="464" spans="1:9" ht="15.75" thickBot="1" x14ac:dyDescent="0.3">
      <c r="A464" s="795" t="s">
        <v>54</v>
      </c>
      <c r="B464" s="794">
        <f>B463+B462</f>
        <v>500</v>
      </c>
      <c r="C464" s="794">
        <f>C463+C462</f>
        <v>0</v>
      </c>
      <c r="D464" s="794">
        <f>D463+D462</f>
        <v>0</v>
      </c>
      <c r="E464" s="794">
        <f>E463+E462</f>
        <v>0</v>
      </c>
    </row>
    <row r="465" spans="1:9" ht="15.75" thickBot="1" x14ac:dyDescent="0.3">
      <c r="A465" s="2230" t="s">
        <v>64</v>
      </c>
      <c r="B465" s="2231"/>
      <c r="C465" s="2231"/>
      <c r="D465" s="2231"/>
      <c r="E465" s="2232"/>
    </row>
    <row r="466" spans="1:9" ht="15.75" thickBot="1" x14ac:dyDescent="0.3">
      <c r="A466" s="20" t="s">
        <v>130</v>
      </c>
      <c r="B466" s="2229" t="s">
        <v>702</v>
      </c>
      <c r="C466" s="1399"/>
      <c r="D466" s="1399"/>
      <c r="E466" s="1400"/>
    </row>
    <row r="467" spans="1:9" ht="24" customHeight="1" thickBot="1" x14ac:dyDescent="0.3">
      <c r="A467" s="7" t="s">
        <v>16</v>
      </c>
      <c r="B467" s="1252" t="s">
        <v>729</v>
      </c>
      <c r="C467" s="1253"/>
      <c r="D467" s="1253"/>
      <c r="E467" s="1300"/>
    </row>
    <row r="468" spans="1:9" ht="24" customHeight="1" thickBot="1" x14ac:dyDescent="0.3">
      <c r="A468" s="5" t="s">
        <v>17</v>
      </c>
      <c r="B468" s="1278" t="s">
        <v>1350</v>
      </c>
      <c r="C468" s="1279"/>
      <c r="D468" s="1279"/>
      <c r="E468" s="1355"/>
    </row>
    <row r="469" spans="1:9" ht="15.75" thickBot="1" x14ac:dyDescent="0.3">
      <c r="A469" s="5" t="s">
        <v>18</v>
      </c>
      <c r="B469" s="1248" t="s">
        <v>1349</v>
      </c>
      <c r="C469" s="1249"/>
      <c r="D469" s="1249"/>
      <c r="E469" s="1316"/>
    </row>
    <row r="470" spans="1:9" ht="12.75" customHeight="1" x14ac:dyDescent="0.25">
      <c r="A470" s="1250"/>
      <c r="B470" s="8">
        <v>2018</v>
      </c>
      <c r="C470" s="8">
        <v>2019</v>
      </c>
      <c r="D470" s="8">
        <v>2020</v>
      </c>
      <c r="E470" s="8">
        <v>2021</v>
      </c>
    </row>
    <row r="471" spans="1:9" ht="9" customHeight="1" thickBot="1" x14ac:dyDescent="0.3">
      <c r="A471" s="1251"/>
      <c r="B471" s="9" t="s">
        <v>10</v>
      </c>
      <c r="C471" s="9" t="s">
        <v>11</v>
      </c>
      <c r="D471" s="9" t="s">
        <v>11</v>
      </c>
      <c r="E471" s="9" t="s">
        <v>11</v>
      </c>
    </row>
    <row r="472" spans="1:9" ht="15.75" thickBot="1" x14ac:dyDescent="0.3">
      <c r="A472" s="5" t="s">
        <v>19</v>
      </c>
      <c r="B472" s="10"/>
      <c r="C472" s="10"/>
      <c r="D472" s="10"/>
      <c r="E472" s="10"/>
    </row>
    <row r="473" spans="1:9" ht="15.75" thickBot="1" x14ac:dyDescent="0.3">
      <c r="A473" s="5" t="s">
        <v>20</v>
      </c>
      <c r="B473" s="10">
        <f>B483</f>
        <v>0</v>
      </c>
      <c r="C473" s="10">
        <f>C483</f>
        <v>15500</v>
      </c>
      <c r="D473" s="10">
        <f>D483</f>
        <v>0</v>
      </c>
      <c r="E473" s="10">
        <f>E483</f>
        <v>0</v>
      </c>
    </row>
    <row r="474" spans="1:9" ht="15.75" thickBot="1" x14ac:dyDescent="0.3">
      <c r="A474" s="5" t="s">
        <v>21</v>
      </c>
      <c r="B474" s="10" t="e">
        <f>B473/B472</f>
        <v>#DIV/0!</v>
      </c>
      <c r="C474" s="10" t="e">
        <f>C473/C472</f>
        <v>#DIV/0!</v>
      </c>
      <c r="D474" s="10" t="e">
        <f>D473/D472</f>
        <v>#DIV/0!</v>
      </c>
      <c r="E474" s="10" t="e">
        <f>E473/E472</f>
        <v>#DIV/0!</v>
      </c>
    </row>
    <row r="475" spans="1:9" ht="15.75" thickBot="1" x14ac:dyDescent="0.3">
      <c r="A475" s="5" t="s">
        <v>22</v>
      </c>
      <c r="B475" s="225" t="s">
        <v>23</v>
      </c>
      <c r="C475" s="11" t="e">
        <f t="shared" ref="C475:E477" si="13">C472/B472-1</f>
        <v>#DIV/0!</v>
      </c>
      <c r="D475" s="11" t="e">
        <f t="shared" si="13"/>
        <v>#DIV/0!</v>
      </c>
      <c r="E475" s="11" t="e">
        <f t="shared" si="13"/>
        <v>#DIV/0!</v>
      </c>
      <c r="F475" s="12"/>
      <c r="G475" s="12"/>
      <c r="H475" s="12"/>
      <c r="I475" s="12"/>
    </row>
    <row r="476" spans="1:9" ht="15.75" thickBot="1" x14ac:dyDescent="0.3">
      <c r="A476" s="5" t="s">
        <v>24</v>
      </c>
      <c r="B476" s="225" t="s">
        <v>23</v>
      </c>
      <c r="C476" s="11" t="e">
        <f t="shared" si="13"/>
        <v>#DIV/0!</v>
      </c>
      <c r="D476" s="11">
        <f t="shared" si="13"/>
        <v>-1</v>
      </c>
      <c r="E476" s="11" t="e">
        <f t="shared" si="13"/>
        <v>#DIV/0!</v>
      </c>
    </row>
    <row r="477" spans="1:9" ht="15.75" thickBot="1" x14ac:dyDescent="0.3">
      <c r="A477" s="5" t="s">
        <v>25</v>
      </c>
      <c r="B477" s="225" t="s">
        <v>23</v>
      </c>
      <c r="C477" s="11" t="e">
        <f t="shared" si="13"/>
        <v>#DIV/0!</v>
      </c>
      <c r="D477" s="11" t="e">
        <f t="shared" si="13"/>
        <v>#DIV/0!</v>
      </c>
      <c r="E477" s="11" t="e">
        <f t="shared" si="13"/>
        <v>#DIV/0!</v>
      </c>
    </row>
    <row r="478" spans="1:9" ht="15.75" customHeight="1" thickBot="1" x14ac:dyDescent="0.3">
      <c r="A478" s="1252" t="s">
        <v>633</v>
      </c>
      <c r="B478" s="1253"/>
      <c r="C478" s="1253"/>
      <c r="D478" s="1253"/>
      <c r="E478" s="1300"/>
    </row>
    <row r="479" spans="1:9" ht="12.75" customHeight="1" x14ac:dyDescent="0.25">
      <c r="A479" s="1250"/>
      <c r="B479" s="8">
        <v>2018</v>
      </c>
      <c r="C479" s="8">
        <v>2019</v>
      </c>
      <c r="D479" s="8">
        <v>2020</v>
      </c>
      <c r="E479" s="8">
        <v>2021</v>
      </c>
    </row>
    <row r="480" spans="1:9" ht="9" customHeight="1" thickBot="1" x14ac:dyDescent="0.3">
      <c r="A480" s="1251"/>
      <c r="B480" s="9" t="s">
        <v>10</v>
      </c>
      <c r="C480" s="9" t="s">
        <v>11</v>
      </c>
      <c r="D480" s="9" t="s">
        <v>11</v>
      </c>
      <c r="E480" s="9" t="s">
        <v>11</v>
      </c>
    </row>
    <row r="481" spans="1:9" ht="15.75" thickBot="1" x14ac:dyDescent="0.3">
      <c r="A481" s="13" t="s">
        <v>58</v>
      </c>
      <c r="B481" s="14"/>
      <c r="C481" s="14"/>
      <c r="D481" s="14"/>
      <c r="E481" s="14"/>
    </row>
    <row r="482" spans="1:9" ht="15.75" thickBot="1" x14ac:dyDescent="0.3">
      <c r="A482" s="13" t="s">
        <v>59</v>
      </c>
      <c r="B482" s="15">
        <v>0</v>
      </c>
      <c r="C482" s="14">
        <v>15500</v>
      </c>
      <c r="D482" s="14">
        <v>0</v>
      </c>
      <c r="E482" s="14">
        <v>0</v>
      </c>
    </row>
    <row r="483" spans="1:9" ht="15.75" thickBot="1" x14ac:dyDescent="0.3">
      <c r="A483" s="793" t="s">
        <v>40</v>
      </c>
      <c r="B483" s="15">
        <f>B482+B481</f>
        <v>0</v>
      </c>
      <c r="C483" s="15">
        <f>C482+C481</f>
        <v>15500</v>
      </c>
      <c r="D483" s="15">
        <f>D482+D481</f>
        <v>0</v>
      </c>
      <c r="E483" s="15">
        <f>E482+E481</f>
        <v>0</v>
      </c>
    </row>
    <row r="484" spans="1:9" ht="15.75" thickBot="1" x14ac:dyDescent="0.3">
      <c r="A484" s="20" t="s">
        <v>130</v>
      </c>
      <c r="B484" s="2229" t="s">
        <v>1348</v>
      </c>
      <c r="C484" s="1399"/>
      <c r="D484" s="1399"/>
      <c r="E484" s="1400"/>
    </row>
    <row r="485" spans="1:9" ht="15.75" thickBot="1" x14ac:dyDescent="0.3">
      <c r="A485" s="7" t="s">
        <v>42</v>
      </c>
      <c r="B485" s="1273" t="s">
        <v>1347</v>
      </c>
      <c r="C485" s="1274"/>
      <c r="D485" s="1274"/>
      <c r="E485" s="1299"/>
    </row>
    <row r="486" spans="1:9" ht="17.25" customHeight="1" thickBot="1" x14ac:dyDescent="0.3">
      <c r="A486" s="5" t="s">
        <v>17</v>
      </c>
      <c r="B486" s="1273" t="s">
        <v>1346</v>
      </c>
      <c r="C486" s="1274"/>
      <c r="D486" s="1274"/>
      <c r="E486" s="1299"/>
    </row>
    <row r="487" spans="1:9" ht="15.75" thickBot="1" x14ac:dyDescent="0.3">
      <c r="A487" s="5" t="s">
        <v>18</v>
      </c>
      <c r="B487" s="1248" t="s">
        <v>1343</v>
      </c>
      <c r="C487" s="1249"/>
      <c r="D487" s="1249"/>
      <c r="E487" s="1316"/>
    </row>
    <row r="488" spans="1:9" ht="12.75" customHeight="1" x14ac:dyDescent="0.25">
      <c r="A488" s="1250"/>
      <c r="B488" s="8">
        <v>2018</v>
      </c>
      <c r="C488" s="8">
        <v>2019</v>
      </c>
      <c r="D488" s="8">
        <v>2020</v>
      </c>
      <c r="E488" s="8">
        <v>2021</v>
      </c>
    </row>
    <row r="489" spans="1:9" ht="9" customHeight="1" thickBot="1" x14ac:dyDescent="0.3">
      <c r="A489" s="1251"/>
      <c r="B489" s="9" t="s">
        <v>10</v>
      </c>
      <c r="C489" s="9" t="s">
        <v>11</v>
      </c>
      <c r="D489" s="9" t="s">
        <v>11</v>
      </c>
      <c r="E489" s="9" t="s">
        <v>11</v>
      </c>
    </row>
    <row r="490" spans="1:9" ht="15.75" thickBot="1" x14ac:dyDescent="0.3">
      <c r="A490" s="5" t="s">
        <v>19</v>
      </c>
      <c r="B490" s="10"/>
      <c r="C490" s="10"/>
      <c r="D490" s="10"/>
      <c r="E490" s="10"/>
    </row>
    <row r="491" spans="1:9" ht="15.75" thickBot="1" x14ac:dyDescent="0.3">
      <c r="A491" s="5" t="s">
        <v>20</v>
      </c>
      <c r="B491" s="10">
        <f>B500</f>
        <v>155</v>
      </c>
      <c r="C491" s="10">
        <f>C500</f>
        <v>0</v>
      </c>
      <c r="D491" s="10">
        <f>D500</f>
        <v>0</v>
      </c>
      <c r="E491" s="10">
        <f>E500</f>
        <v>0</v>
      </c>
    </row>
    <row r="492" spans="1:9" ht="15.75" thickBot="1" x14ac:dyDescent="0.3">
      <c r="A492" s="5" t="s">
        <v>21</v>
      </c>
      <c r="B492" s="10" t="e">
        <f>B491/B490</f>
        <v>#DIV/0!</v>
      </c>
      <c r="C492" s="10" t="e">
        <f>C491/C490</f>
        <v>#DIV/0!</v>
      </c>
      <c r="D492" s="10" t="e">
        <f>D491/D490</f>
        <v>#DIV/0!</v>
      </c>
      <c r="E492" s="10" t="e">
        <f>E491/E490</f>
        <v>#DIV/0!</v>
      </c>
    </row>
    <row r="493" spans="1:9" ht="15.75" thickBot="1" x14ac:dyDescent="0.3">
      <c r="A493" s="5" t="s">
        <v>22</v>
      </c>
      <c r="B493" s="225" t="s">
        <v>23</v>
      </c>
      <c r="C493" s="11" t="e">
        <f t="shared" ref="C493:E495" si="14">C490/B490-1</f>
        <v>#DIV/0!</v>
      </c>
      <c r="D493" s="11" t="e">
        <f t="shared" si="14"/>
        <v>#DIV/0!</v>
      </c>
      <c r="E493" s="11" t="e">
        <f t="shared" si="14"/>
        <v>#DIV/0!</v>
      </c>
      <c r="F493" s="12"/>
      <c r="G493" s="12"/>
      <c r="H493" s="12"/>
      <c r="I493" s="12"/>
    </row>
    <row r="494" spans="1:9" ht="15.75" thickBot="1" x14ac:dyDescent="0.3">
      <c r="A494" s="5" t="s">
        <v>24</v>
      </c>
      <c r="B494" s="225" t="s">
        <v>23</v>
      </c>
      <c r="C494" s="11">
        <f t="shared" si="14"/>
        <v>-1</v>
      </c>
      <c r="D494" s="11" t="e">
        <f t="shared" si="14"/>
        <v>#DIV/0!</v>
      </c>
      <c r="E494" s="11" t="e">
        <f t="shared" si="14"/>
        <v>#DIV/0!</v>
      </c>
    </row>
    <row r="495" spans="1:9" ht="15.75" thickBot="1" x14ac:dyDescent="0.3">
      <c r="A495" s="5" t="s">
        <v>25</v>
      </c>
      <c r="B495" s="225" t="s">
        <v>23</v>
      </c>
      <c r="C495" s="11" t="e">
        <f t="shared" si="14"/>
        <v>#DIV/0!</v>
      </c>
      <c r="D495" s="11" t="e">
        <f t="shared" si="14"/>
        <v>#DIV/0!</v>
      </c>
      <c r="E495" s="11" t="e">
        <f t="shared" si="14"/>
        <v>#DIV/0!</v>
      </c>
    </row>
    <row r="496" spans="1:9" ht="15.75" customHeight="1" thickBot="1" x14ac:dyDescent="0.3">
      <c r="A496" s="1252" t="s">
        <v>884</v>
      </c>
      <c r="B496" s="1253"/>
      <c r="C496" s="1253"/>
      <c r="D496" s="1253"/>
      <c r="E496" s="1300"/>
    </row>
    <row r="497" spans="1:9" ht="12.75" customHeight="1" x14ac:dyDescent="0.25">
      <c r="A497" s="1250"/>
      <c r="B497" s="8">
        <v>2018</v>
      </c>
      <c r="C497" s="8">
        <v>2019</v>
      </c>
      <c r="D497" s="8">
        <v>2020</v>
      </c>
      <c r="E497" s="8">
        <v>2021</v>
      </c>
    </row>
    <row r="498" spans="1:9" ht="9" customHeight="1" thickBot="1" x14ac:dyDescent="0.3">
      <c r="A498" s="1251"/>
      <c r="B498" s="9" t="s">
        <v>10</v>
      </c>
      <c r="C498" s="9" t="s">
        <v>11</v>
      </c>
      <c r="D498" s="9" t="s">
        <v>11</v>
      </c>
      <c r="E498" s="9" t="s">
        <v>11</v>
      </c>
    </row>
    <row r="499" spans="1:9" ht="15.75" thickBot="1" x14ac:dyDescent="0.3">
      <c r="A499" s="13" t="s">
        <v>58</v>
      </c>
      <c r="B499" s="14"/>
      <c r="C499" s="14"/>
      <c r="D499" s="14"/>
      <c r="E499" s="14"/>
    </row>
    <row r="500" spans="1:9" ht="15.75" thickBot="1" x14ac:dyDescent="0.3">
      <c r="A500" s="13" t="s">
        <v>59</v>
      </c>
      <c r="B500" s="15">
        <v>155</v>
      </c>
      <c r="C500" s="14"/>
      <c r="D500" s="14"/>
      <c r="E500" s="14"/>
    </row>
    <row r="501" spans="1:9" ht="15.75" thickBot="1" x14ac:dyDescent="0.3">
      <c r="A501" s="793" t="s">
        <v>43</v>
      </c>
      <c r="B501" s="15">
        <f>B500+B499</f>
        <v>155</v>
      </c>
      <c r="C501" s="15">
        <f>C500+C499</f>
        <v>0</v>
      </c>
      <c r="D501" s="15">
        <f>D500+D499</f>
        <v>0</v>
      </c>
      <c r="E501" s="15">
        <f>E500+E499</f>
        <v>0</v>
      </c>
    </row>
    <row r="502" spans="1:9" ht="15.75" thickBot="1" x14ac:dyDescent="0.3">
      <c r="A502" s="20" t="s">
        <v>130</v>
      </c>
      <c r="B502" s="1252" t="s">
        <v>702</v>
      </c>
      <c r="C502" s="1253"/>
      <c r="D502" s="1253"/>
      <c r="E502" s="1300"/>
    </row>
    <row r="503" spans="1:9" ht="24" customHeight="1" thickBot="1" x14ac:dyDescent="0.3">
      <c r="A503" s="7" t="s">
        <v>44</v>
      </c>
      <c r="B503" s="1278" t="s">
        <v>1345</v>
      </c>
      <c r="C503" s="1279"/>
      <c r="D503" s="1279"/>
      <c r="E503" s="1355"/>
    </row>
    <row r="504" spans="1:9" ht="39" customHeight="1" thickBot="1" x14ac:dyDescent="0.3">
      <c r="A504" s="5" t="s">
        <v>17</v>
      </c>
      <c r="B504" s="1278" t="s">
        <v>1344</v>
      </c>
      <c r="C504" s="1246"/>
      <c r="D504" s="1246"/>
      <c r="E504" s="1298"/>
    </row>
    <row r="505" spans="1:9" ht="15.75" thickBot="1" x14ac:dyDescent="0.3">
      <c r="A505" s="5" t="s">
        <v>18</v>
      </c>
      <c r="B505" s="1248" t="s">
        <v>1343</v>
      </c>
      <c r="C505" s="1249"/>
      <c r="D505" s="1249"/>
      <c r="E505" s="1316"/>
    </row>
    <row r="506" spans="1:9" ht="12.75" customHeight="1" x14ac:dyDescent="0.25">
      <c r="A506" s="1250"/>
      <c r="B506" s="8">
        <v>2018</v>
      </c>
      <c r="C506" s="8">
        <v>2019</v>
      </c>
      <c r="D506" s="8">
        <v>2020</v>
      </c>
      <c r="E506" s="8">
        <v>2021</v>
      </c>
    </row>
    <row r="507" spans="1:9" ht="9" customHeight="1" thickBot="1" x14ac:dyDescent="0.3">
      <c r="A507" s="1251"/>
      <c r="B507" s="9" t="s">
        <v>10</v>
      </c>
      <c r="C507" s="9" t="s">
        <v>11</v>
      </c>
      <c r="D507" s="9" t="s">
        <v>11</v>
      </c>
      <c r="E507" s="9" t="s">
        <v>11</v>
      </c>
    </row>
    <row r="508" spans="1:9" ht="15.75" thickBot="1" x14ac:dyDescent="0.3">
      <c r="A508" s="5" t="s">
        <v>19</v>
      </c>
      <c r="B508" s="10"/>
      <c r="C508" s="10"/>
      <c r="D508" s="10"/>
      <c r="E508" s="10"/>
    </row>
    <row r="509" spans="1:9" ht="15.75" thickBot="1" x14ac:dyDescent="0.3">
      <c r="A509" s="5" t="s">
        <v>20</v>
      </c>
      <c r="B509" s="10">
        <f>B519</f>
        <v>0</v>
      </c>
      <c r="C509" s="10">
        <f>C519</f>
        <v>33000</v>
      </c>
      <c r="D509" s="10">
        <f>D519</f>
        <v>22000</v>
      </c>
      <c r="E509" s="10">
        <f>E519</f>
        <v>5000</v>
      </c>
    </row>
    <row r="510" spans="1:9" ht="15.75" thickBot="1" x14ac:dyDescent="0.3">
      <c r="A510" s="5" t="s">
        <v>21</v>
      </c>
      <c r="B510" s="10" t="e">
        <f>B509/B508</f>
        <v>#DIV/0!</v>
      </c>
      <c r="C510" s="10" t="e">
        <f>C509/C508</f>
        <v>#DIV/0!</v>
      </c>
      <c r="D510" s="10" t="e">
        <f>D509/D508</f>
        <v>#DIV/0!</v>
      </c>
      <c r="E510" s="10" t="e">
        <f>E509/E508</f>
        <v>#DIV/0!</v>
      </c>
    </row>
    <row r="511" spans="1:9" ht="15.75" thickBot="1" x14ac:dyDescent="0.3">
      <c r="A511" s="5" t="s">
        <v>22</v>
      </c>
      <c r="B511" s="225" t="s">
        <v>23</v>
      </c>
      <c r="C511" s="11" t="e">
        <f t="shared" ref="C511:E513" si="15">C508/B508-1</f>
        <v>#DIV/0!</v>
      </c>
      <c r="D511" s="11" t="e">
        <f t="shared" si="15"/>
        <v>#DIV/0!</v>
      </c>
      <c r="E511" s="11" t="e">
        <f t="shared" si="15"/>
        <v>#DIV/0!</v>
      </c>
      <c r="F511" s="12"/>
      <c r="G511" s="12"/>
      <c r="H511" s="12"/>
      <c r="I511" s="12"/>
    </row>
    <row r="512" spans="1:9" ht="15.75" thickBot="1" x14ac:dyDescent="0.3">
      <c r="A512" s="5" t="s">
        <v>24</v>
      </c>
      <c r="B512" s="225" t="s">
        <v>23</v>
      </c>
      <c r="C512" s="11" t="e">
        <f t="shared" si="15"/>
        <v>#DIV/0!</v>
      </c>
      <c r="D512" s="11">
        <f t="shared" si="15"/>
        <v>-0.33333333333333337</v>
      </c>
      <c r="E512" s="11">
        <f t="shared" si="15"/>
        <v>-0.77272727272727271</v>
      </c>
    </row>
    <row r="513" spans="1:11" ht="15.75" thickBot="1" x14ac:dyDescent="0.3">
      <c r="A513" s="5" t="s">
        <v>25</v>
      </c>
      <c r="B513" s="225" t="s">
        <v>23</v>
      </c>
      <c r="C513" s="11" t="e">
        <f t="shared" si="15"/>
        <v>#DIV/0!</v>
      </c>
      <c r="D513" s="11" t="e">
        <f t="shared" si="15"/>
        <v>#DIV/0!</v>
      </c>
      <c r="E513" s="11" t="e">
        <f t="shared" si="15"/>
        <v>#DIV/0!</v>
      </c>
    </row>
    <row r="514" spans="1:11" ht="15.75" customHeight="1" thickBot="1" x14ac:dyDescent="0.3">
      <c r="A514" s="1252" t="s">
        <v>872</v>
      </c>
      <c r="B514" s="1253"/>
      <c r="C514" s="1253"/>
      <c r="D514" s="1253"/>
      <c r="E514" s="1300"/>
    </row>
    <row r="515" spans="1:11" ht="12.75" customHeight="1" x14ac:dyDescent="0.25">
      <c r="A515" s="1250"/>
      <c r="B515" s="8">
        <v>2018</v>
      </c>
      <c r="C515" s="8">
        <v>2019</v>
      </c>
      <c r="D515" s="8">
        <v>2020</v>
      </c>
      <c r="E515" s="8">
        <v>2021</v>
      </c>
    </row>
    <row r="516" spans="1:11" ht="9" customHeight="1" thickBot="1" x14ac:dyDescent="0.3">
      <c r="A516" s="1251"/>
      <c r="B516" s="9" t="s">
        <v>10</v>
      </c>
      <c r="C516" s="9" t="s">
        <v>11</v>
      </c>
      <c r="D516" s="9" t="s">
        <v>11</v>
      </c>
      <c r="E516" s="9" t="s">
        <v>11</v>
      </c>
    </row>
    <row r="517" spans="1:11" ht="15.75" thickBot="1" x14ac:dyDescent="0.3">
      <c r="A517" s="13" t="s">
        <v>58</v>
      </c>
      <c r="B517" s="14"/>
      <c r="C517" s="145">
        <v>1700</v>
      </c>
      <c r="D517" s="145"/>
      <c r="E517" s="145"/>
    </row>
    <row r="518" spans="1:11" ht="15.75" thickBot="1" x14ac:dyDescent="0.3">
      <c r="A518" s="13" t="s">
        <v>59</v>
      </c>
      <c r="B518" s="15"/>
      <c r="C518" s="14">
        <v>31300</v>
      </c>
      <c r="D518" s="14">
        <v>22000</v>
      </c>
      <c r="E518" s="14">
        <v>5000</v>
      </c>
    </row>
    <row r="519" spans="1:11" ht="15.75" thickBot="1" x14ac:dyDescent="0.3">
      <c r="A519" s="793" t="s">
        <v>52</v>
      </c>
      <c r="B519" s="15">
        <f>B518+B517</f>
        <v>0</v>
      </c>
      <c r="C519" s="15">
        <f>C518+C517</f>
        <v>33000</v>
      </c>
      <c r="D519" s="15">
        <f>D518+D517</f>
        <v>22000</v>
      </c>
      <c r="E519" s="15">
        <f>E518+E517</f>
        <v>5000</v>
      </c>
    </row>
    <row r="520" spans="1:11" ht="39.75" customHeight="1" thickBot="1" x14ac:dyDescent="0.3">
      <c r="A520" s="22"/>
      <c r="B520" s="23"/>
      <c r="C520" s="23"/>
      <c r="D520" s="23"/>
      <c r="E520" s="23"/>
      <c r="F520" s="170"/>
      <c r="G520" s="170"/>
      <c r="H520" s="792"/>
      <c r="I520" s="792"/>
      <c r="J520" s="792"/>
      <c r="K520" s="170"/>
    </row>
    <row r="521" spans="1:11" ht="27" customHeight="1" thickBot="1" x14ac:dyDescent="0.3">
      <c r="A521" s="6" t="s">
        <v>82</v>
      </c>
      <c r="B521" s="24">
        <f>B519+B501+B483+B464+B443+B425+B407+B304+B267+B186+B149+B112+B66+B348+B385+B230</f>
        <v>52991.3</v>
      </c>
      <c r="C521" s="24">
        <f>C519+C501+C483+C464+C443+C425+C407+C304+C267+C186+C149+C112+C66+C348+C385+C230</f>
        <v>95665.670000000013</v>
      </c>
      <c r="D521" s="24">
        <f>D519+D501+D483+D464+D443+D425+D407+D304+D267+D186+D149+D112+D66+D348+D385-1+D230</f>
        <v>71128.770099999994</v>
      </c>
      <c r="E521" s="24">
        <f>E519+E501+E483+E464+E443+E425+E407+E304+E267+E186+E149+E112+E66+E348+E385+E230</f>
        <v>57908.186202999997</v>
      </c>
      <c r="F521" s="791"/>
      <c r="G521" s="170"/>
      <c r="H521" s="170"/>
      <c r="I521" s="170"/>
      <c r="J521" s="170"/>
      <c r="K521" s="170"/>
    </row>
    <row r="522" spans="1:11" ht="24.75" thickBot="1" x14ac:dyDescent="0.3">
      <c r="A522" s="6" t="s">
        <v>83</v>
      </c>
      <c r="B522" s="24">
        <f>B524+B526+B528+B530+B532+B534+B536+B538+B540</f>
        <v>52991.3</v>
      </c>
      <c r="C522" s="24">
        <f>C524+C526+C528+C530+C532+C534+C536+C538+C540</f>
        <v>95665.67</v>
      </c>
      <c r="D522" s="24">
        <f>D524+D526+D528+D530+D532+D534+D536+D538-1+D540</f>
        <v>71128.770099999994</v>
      </c>
      <c r="E522" s="24">
        <f>E524+E526+E528+E530+E532+E534+E536+E538+E540</f>
        <v>57908.186203000005</v>
      </c>
      <c r="F522" s="791"/>
      <c r="G522" s="170"/>
      <c r="H522" s="170"/>
      <c r="I522" s="170"/>
      <c r="J522" s="170"/>
      <c r="K522" s="170"/>
    </row>
    <row r="523" spans="1:11" ht="24.75" thickBot="1" x14ac:dyDescent="0.3">
      <c r="A523" s="25" t="s">
        <v>84</v>
      </c>
      <c r="B523" s="26"/>
      <c r="C523" s="27">
        <f>C522/B522-1</f>
        <v>0.80530898468239109</v>
      </c>
      <c r="D523" s="27">
        <f>D522/C522-1</f>
        <v>-0.25648594631700172</v>
      </c>
      <c r="E523" s="27">
        <f>E522/D522-1</f>
        <v>-0.18586830446264091</v>
      </c>
      <c r="F523" s="170"/>
      <c r="G523" s="170"/>
      <c r="H523" s="170"/>
      <c r="I523" s="170"/>
      <c r="J523" s="170"/>
      <c r="K523" s="170"/>
    </row>
    <row r="524" spans="1:11" ht="15.75" thickBot="1" x14ac:dyDescent="0.3">
      <c r="A524" s="13" t="s">
        <v>26</v>
      </c>
      <c r="B524" s="14">
        <f>B283+B246+B209+B165+B128+B91+B45+B364+B327</f>
        <v>28317</v>
      </c>
      <c r="C524" s="14">
        <f>C283+C246+C209+C165+C128+C91+C45+C364+C327</f>
        <v>31390</v>
      </c>
      <c r="D524" s="14">
        <f>D283+D246+D209+D165+D128+D91+D45+D364+D327</f>
        <v>32760</v>
      </c>
      <c r="E524" s="14">
        <f>E283+E246+E209+E165+E128+E91+E45+E364+E327</f>
        <v>34470</v>
      </c>
      <c r="F524" s="170"/>
      <c r="G524" s="791"/>
      <c r="H524" s="170"/>
      <c r="I524" s="170"/>
      <c r="J524" s="170"/>
      <c r="K524" s="170"/>
    </row>
    <row r="525" spans="1:11" ht="15.75" thickBot="1" x14ac:dyDescent="0.3">
      <c r="A525" s="28" t="s">
        <v>85</v>
      </c>
      <c r="B525" s="15"/>
      <c r="C525" s="29">
        <f>C524/B524-1</f>
        <v>0.1085213829148568</v>
      </c>
      <c r="D525" s="29">
        <f>D524/C524-1</f>
        <v>4.364447276202621E-2</v>
      </c>
      <c r="E525" s="29">
        <f>E524/D524-1</f>
        <v>5.2197802197802234E-2</v>
      </c>
      <c r="F525" s="170"/>
      <c r="G525" s="170"/>
      <c r="H525" s="170"/>
      <c r="I525" s="170"/>
      <c r="J525" s="170"/>
      <c r="K525" s="170"/>
    </row>
    <row r="526" spans="1:11" ht="24.75" thickBot="1" x14ac:dyDescent="0.3">
      <c r="A526" s="13" t="s">
        <v>28</v>
      </c>
      <c r="B526" s="14">
        <f>B286+B249+B212+B168+B131+B94+B48+B330+B367</f>
        <v>4085.3</v>
      </c>
      <c r="C526" s="14">
        <f>C286+C249+C212+C168+C131+C94+C48+C330+C367</f>
        <v>4869</v>
      </c>
      <c r="D526" s="14">
        <f>D286+D249+D212+D168+D131+D94+D48+D330+D367</f>
        <v>5135.8999999999996</v>
      </c>
      <c r="E526" s="14">
        <f>E286+E249+E212+E168+E131+E94+E48+E330+E367</f>
        <v>5367.2999999999993</v>
      </c>
      <c r="G526" s="12"/>
    </row>
    <row r="527" spans="1:11" ht="24.75" thickBot="1" x14ac:dyDescent="0.3">
      <c r="A527" s="28" t="s">
        <v>86</v>
      </c>
      <c r="B527" s="15"/>
      <c r="C527" s="29">
        <f>C526/B526-1</f>
        <v>0.19183413702788044</v>
      </c>
      <c r="D527" s="29">
        <f>D526/C526-1</f>
        <v>5.481618402135946E-2</v>
      </c>
      <c r="E527" s="29">
        <f>E526/D526-1</f>
        <v>4.5055394380731695E-2</v>
      </c>
      <c r="G527" s="12"/>
    </row>
    <row r="528" spans="1:11" ht="15.75" thickBot="1" x14ac:dyDescent="0.3">
      <c r="A528" s="13" t="s">
        <v>30</v>
      </c>
      <c r="B528" s="14">
        <f>B289+B252+B215+B171+B134+B97+B51+B333+B370</f>
        <v>10589</v>
      </c>
      <c r="C528" s="14">
        <f>C289+C252+C215+C171+C134+C97+C51+C333+C370</f>
        <v>10906.670000000002</v>
      </c>
      <c r="D528" s="14">
        <f>D289+D252+D215+D171+D134+D97+D51+D333+D370</f>
        <v>11233.8701</v>
      </c>
      <c r="E528" s="14">
        <f>E289+E252+E215+E171+E134+E97+E51+E333+E370</f>
        <v>11570.886203000002</v>
      </c>
      <c r="G528" s="12"/>
    </row>
    <row r="529" spans="1:11" ht="15.75" thickBot="1" x14ac:dyDescent="0.3">
      <c r="A529" s="28" t="s">
        <v>87</v>
      </c>
      <c r="B529" s="15"/>
      <c r="C529" s="29">
        <f>C528/B528-1</f>
        <v>3.0000000000000249E-2</v>
      </c>
      <c r="D529" s="29">
        <f>D528/C528-1</f>
        <v>2.9999999999999805E-2</v>
      </c>
      <c r="E529" s="29">
        <f>E528/D528-1</f>
        <v>3.0000000000000249E-2</v>
      </c>
      <c r="G529" s="12"/>
      <c r="I529" s="12"/>
      <c r="K529" t="s">
        <v>1342</v>
      </c>
    </row>
    <row r="530" spans="1:11" ht="15.75" thickBot="1" x14ac:dyDescent="0.3">
      <c r="A530" s="13" t="s">
        <v>32</v>
      </c>
      <c r="B530" s="14">
        <v>0</v>
      </c>
      <c r="C530" s="14">
        <v>0</v>
      </c>
      <c r="D530" s="14">
        <v>0</v>
      </c>
      <c r="E530" s="14">
        <v>0</v>
      </c>
    </row>
    <row r="531" spans="1:11" ht="15.75" thickBot="1" x14ac:dyDescent="0.3">
      <c r="A531" s="28" t="s">
        <v>88</v>
      </c>
      <c r="B531" s="15"/>
      <c r="C531" s="15"/>
      <c r="D531" s="15"/>
      <c r="E531" s="15"/>
      <c r="G531" s="12"/>
    </row>
    <row r="532" spans="1:11" ht="15.75" thickBot="1" x14ac:dyDescent="0.3">
      <c r="A532" s="13" t="s">
        <v>34</v>
      </c>
      <c r="B532" s="14">
        <v>0</v>
      </c>
      <c r="C532" s="14">
        <v>0</v>
      </c>
      <c r="D532" s="14">
        <v>0</v>
      </c>
      <c r="E532" s="14">
        <v>0</v>
      </c>
    </row>
    <row r="533" spans="1:11" ht="15.75" thickBot="1" x14ac:dyDescent="0.3">
      <c r="A533" s="28" t="s">
        <v>89</v>
      </c>
      <c r="B533" s="15"/>
      <c r="C533" s="15"/>
      <c r="D533" s="15"/>
      <c r="E533" s="15"/>
    </row>
    <row r="534" spans="1:11" ht="15.75" thickBot="1" x14ac:dyDescent="0.3">
      <c r="A534" s="13" t="s">
        <v>36</v>
      </c>
      <c r="B534" s="14">
        <v>0</v>
      </c>
      <c r="C534" s="14">
        <v>0</v>
      </c>
      <c r="D534" s="14">
        <v>0</v>
      </c>
      <c r="E534" s="14">
        <v>0</v>
      </c>
    </row>
    <row r="535" spans="1:11" ht="15.75" thickBot="1" x14ac:dyDescent="0.3">
      <c r="A535" s="28" t="s">
        <v>90</v>
      </c>
      <c r="B535" s="15"/>
      <c r="C535" s="15"/>
      <c r="D535" s="15"/>
      <c r="E535" s="15"/>
    </row>
    <row r="536" spans="1:11" ht="15.75" thickBot="1" x14ac:dyDescent="0.3">
      <c r="A536" s="13" t="s">
        <v>38</v>
      </c>
      <c r="B536" s="14">
        <v>0</v>
      </c>
      <c r="C536" s="14">
        <v>0</v>
      </c>
      <c r="D536" s="14">
        <v>0</v>
      </c>
      <c r="E536" s="14">
        <v>0</v>
      </c>
    </row>
    <row r="537" spans="1:11" ht="24.75" thickBot="1" x14ac:dyDescent="0.3">
      <c r="A537" s="28" t="s">
        <v>91</v>
      </c>
      <c r="B537" s="15"/>
      <c r="C537" s="15"/>
      <c r="D537" s="15"/>
      <c r="E537" s="15"/>
    </row>
    <row r="538" spans="1:11" ht="15.75" thickBot="1" x14ac:dyDescent="0.3">
      <c r="A538" s="13" t="s">
        <v>92</v>
      </c>
      <c r="B538" s="14">
        <v>0</v>
      </c>
      <c r="C538" s="14">
        <v>1700</v>
      </c>
      <c r="D538" s="14">
        <v>0</v>
      </c>
      <c r="E538" s="14">
        <v>0</v>
      </c>
    </row>
    <row r="539" spans="1:11" ht="15.75" thickBot="1" x14ac:dyDescent="0.3">
      <c r="A539" s="28" t="s">
        <v>93</v>
      </c>
      <c r="B539" s="15"/>
      <c r="C539" s="15"/>
      <c r="D539" s="15"/>
      <c r="E539" s="15"/>
    </row>
    <row r="540" spans="1:11" ht="15.75" thickBot="1" x14ac:dyDescent="0.3">
      <c r="A540" s="13" t="s">
        <v>94</v>
      </c>
      <c r="B540" s="14">
        <f>B518+B500+B482+B463+B442+B424+B406</f>
        <v>10000</v>
      </c>
      <c r="C540" s="14">
        <v>46800</v>
      </c>
      <c r="D540" s="14">
        <f>D518+D500+D482+D463+D442+D424+D406</f>
        <v>22000</v>
      </c>
      <c r="E540" s="14">
        <f>E518+E500+E482+E463+E442+E424+E406</f>
        <v>6500</v>
      </c>
      <c r="F540" s="12"/>
    </row>
    <row r="541" spans="1:11" ht="15.75" thickBot="1" x14ac:dyDescent="0.3">
      <c r="A541" s="28" t="s">
        <v>95</v>
      </c>
      <c r="B541" s="15"/>
      <c r="C541" s="29">
        <f>C540/B540-1</f>
        <v>3.6799999999999997</v>
      </c>
      <c r="D541" s="29">
        <f>D540/C540-1</f>
        <v>-0.52991452991452992</v>
      </c>
      <c r="E541" s="29">
        <f>E540/D540-1</f>
        <v>-0.70454545454545459</v>
      </c>
    </row>
    <row r="542" spans="1:11" x14ac:dyDescent="0.25">
      <c r="A542" s="1306" t="s">
        <v>871</v>
      </c>
      <c r="B542" s="1309"/>
      <c r="C542" s="1309"/>
      <c r="D542" s="1309"/>
      <c r="E542" s="1310"/>
    </row>
    <row r="543" spans="1:11" x14ac:dyDescent="0.25">
      <c r="A543" s="1307"/>
      <c r="B543" s="1311"/>
      <c r="C543" s="1311"/>
      <c r="D543" s="1311"/>
      <c r="E543" s="1312"/>
    </row>
    <row r="544" spans="1:11" ht="15.75" thickBot="1" x14ac:dyDescent="0.3">
      <c r="A544" s="1308"/>
      <c r="B544" s="1313"/>
      <c r="C544" s="1313"/>
      <c r="D544" s="1313"/>
      <c r="E544" s="1314"/>
    </row>
    <row r="545" spans="1:5" ht="15.75" thickBot="1" x14ac:dyDescent="0.3">
      <c r="A545" s="17" t="s">
        <v>41</v>
      </c>
      <c r="B545" s="18">
        <f>IF(B522-B521=0,0,"Error")</f>
        <v>0</v>
      </c>
      <c r="C545" s="18">
        <v>0</v>
      </c>
      <c r="D545" s="18">
        <v>0</v>
      </c>
      <c r="E545" s="18" t="str">
        <f>IF(E522-E521=0,0,"Error")</f>
        <v>Error</v>
      </c>
    </row>
    <row r="546" spans="1:5" ht="24.75" thickBot="1" x14ac:dyDescent="0.3">
      <c r="A546" s="30" t="s">
        <v>96</v>
      </c>
      <c r="B546" s="138">
        <v>34</v>
      </c>
      <c r="C546" s="238">
        <v>34</v>
      </c>
      <c r="D546" s="238">
        <v>34</v>
      </c>
      <c r="E546" s="238">
        <v>34</v>
      </c>
    </row>
    <row r="547" spans="1:5" ht="24.75" thickBot="1" x14ac:dyDescent="0.3">
      <c r="A547" s="30" t="s">
        <v>97</v>
      </c>
      <c r="B547" s="14">
        <v>0</v>
      </c>
      <c r="C547" s="14">
        <v>0</v>
      </c>
      <c r="D547" s="14">
        <v>0</v>
      </c>
      <c r="E547" s="14">
        <v>0</v>
      </c>
    </row>
  </sheetData>
  <mergeCells count="141">
    <mergeCell ref="B13:E13"/>
    <mergeCell ref="B14:E14"/>
    <mergeCell ref="B15:E15"/>
    <mergeCell ref="A16:E16"/>
    <mergeCell ref="A17:E18"/>
    <mergeCell ref="B19:E19"/>
    <mergeCell ref="B79:E79"/>
    <mergeCell ref="B151:E151"/>
    <mergeCell ref="A20:A21"/>
    <mergeCell ref="B26:E26"/>
    <mergeCell ref="A27:E27"/>
    <mergeCell ref="A29:E29"/>
    <mergeCell ref="A42:E42"/>
    <mergeCell ref="A34:A35"/>
    <mergeCell ref="A30:E30"/>
    <mergeCell ref="A280:E280"/>
    <mergeCell ref="A281:A282"/>
    <mergeCell ref="B152:E152"/>
    <mergeCell ref="B188:E188"/>
    <mergeCell ref="A43:A44"/>
    <mergeCell ref="B32:E32"/>
    <mergeCell ref="B31:E31"/>
    <mergeCell ref="B33:E33"/>
    <mergeCell ref="A80:A81"/>
    <mergeCell ref="A125:E125"/>
    <mergeCell ref="A126:A127"/>
    <mergeCell ref="B114:E114"/>
    <mergeCell ref="B115:E115"/>
    <mergeCell ref="B116:E116"/>
    <mergeCell ref="A117:A118"/>
    <mergeCell ref="A88:E88"/>
    <mergeCell ref="A89:A90"/>
    <mergeCell ref="B68:E68"/>
    <mergeCell ref="A69:E69"/>
    <mergeCell ref="A73:E73"/>
    <mergeCell ref="A74:E74"/>
    <mergeCell ref="A75:A76"/>
    <mergeCell ref="B77:E77"/>
    <mergeCell ref="B78:E78"/>
    <mergeCell ref="B387:E387"/>
    <mergeCell ref="B351:E351"/>
    <mergeCell ref="B352:E352"/>
    <mergeCell ref="A353:A354"/>
    <mergeCell ref="A198:A199"/>
    <mergeCell ref="A206:E206"/>
    <mergeCell ref="A207:A208"/>
    <mergeCell ref="B233:E233"/>
    <mergeCell ref="B270:E270"/>
    <mergeCell ref="B271:E271"/>
    <mergeCell ref="B234:E234"/>
    <mergeCell ref="A235:A236"/>
    <mergeCell ref="A243:E243"/>
    <mergeCell ref="A244:A245"/>
    <mergeCell ref="A310:E310"/>
    <mergeCell ref="B311:E311"/>
    <mergeCell ref="B312:E312"/>
    <mergeCell ref="B313:E313"/>
    <mergeCell ref="A314:A315"/>
    <mergeCell ref="A322:A323"/>
    <mergeCell ref="A272:A273"/>
    <mergeCell ref="B306:E306"/>
    <mergeCell ref="A307:E307"/>
    <mergeCell ref="A309:E309"/>
    <mergeCell ref="A388:E388"/>
    <mergeCell ref="A389:E389"/>
    <mergeCell ref="B390:E390"/>
    <mergeCell ref="B391:E391"/>
    <mergeCell ref="B392:E392"/>
    <mergeCell ref="B393:E393"/>
    <mergeCell ref="A394:A395"/>
    <mergeCell ref="B153:E153"/>
    <mergeCell ref="A154:A155"/>
    <mergeCell ref="A162:E162"/>
    <mergeCell ref="A163:A164"/>
    <mergeCell ref="B269:E269"/>
    <mergeCell ref="B232:E232"/>
    <mergeCell ref="A324:E324"/>
    <mergeCell ref="A325:A326"/>
    <mergeCell ref="B350:E350"/>
    <mergeCell ref="A189:E189"/>
    <mergeCell ref="A193:E193"/>
    <mergeCell ref="A194:E194"/>
    <mergeCell ref="B195:E195"/>
    <mergeCell ref="B196:E196"/>
    <mergeCell ref="B197:E197"/>
    <mergeCell ref="A361:E361"/>
    <mergeCell ref="A362:A363"/>
    <mergeCell ref="B485:E485"/>
    <mergeCell ref="A439:A440"/>
    <mergeCell ref="A444:A446"/>
    <mergeCell ref="B444:E446"/>
    <mergeCell ref="A402:E402"/>
    <mergeCell ref="A403:A404"/>
    <mergeCell ref="B408:E408"/>
    <mergeCell ref="B409:E409"/>
    <mergeCell ref="B410:E410"/>
    <mergeCell ref="B411:E411"/>
    <mergeCell ref="A412:A413"/>
    <mergeCell ref="B426:E426"/>
    <mergeCell ref="B427:E427"/>
    <mergeCell ref="B428:E428"/>
    <mergeCell ref="B429:E429"/>
    <mergeCell ref="A430:A431"/>
    <mergeCell ref="A438:E438"/>
    <mergeCell ref="A420:E420"/>
    <mergeCell ref="A421:A422"/>
    <mergeCell ref="A515:A516"/>
    <mergeCell ref="A542:A544"/>
    <mergeCell ref="B542:E544"/>
    <mergeCell ref="B486:E486"/>
    <mergeCell ref="B487:E487"/>
    <mergeCell ref="A488:A489"/>
    <mergeCell ref="A496:E496"/>
    <mergeCell ref="A497:A498"/>
    <mergeCell ref="B502:E502"/>
    <mergeCell ref="B503:E503"/>
    <mergeCell ref="A506:A507"/>
    <mergeCell ref="B5:E5"/>
    <mergeCell ref="B6:E6"/>
    <mergeCell ref="B7:E7"/>
    <mergeCell ref="C8:E8"/>
    <mergeCell ref="C9:E9"/>
    <mergeCell ref="A514:E514"/>
    <mergeCell ref="B504:E504"/>
    <mergeCell ref="B505:E505"/>
    <mergeCell ref="B467:E467"/>
    <mergeCell ref="B468:E468"/>
    <mergeCell ref="B447:E447"/>
    <mergeCell ref="B448:E448"/>
    <mergeCell ref="B449:E449"/>
    <mergeCell ref="B450:E450"/>
    <mergeCell ref="A451:A452"/>
    <mergeCell ref="A459:E459"/>
    <mergeCell ref="A460:A461"/>
    <mergeCell ref="A465:E465"/>
    <mergeCell ref="B466:E466"/>
    <mergeCell ref="B469:E469"/>
    <mergeCell ref="A470:A471"/>
    <mergeCell ref="A478:E478"/>
    <mergeCell ref="A479:A480"/>
    <mergeCell ref="B484:E484"/>
  </mergeCells>
  <pageMargins left="0.53" right="0.61" top="0.43" bottom="0.6" header="0.22" footer="0.3"/>
  <pageSetup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2:I162"/>
  <sheetViews>
    <sheetView view="pageBreakPreview" topLeftCell="A139" zoomScale="60" zoomScaleNormal="145" workbookViewId="0">
      <selection activeCell="P183" sqref="O183:P183"/>
    </sheetView>
  </sheetViews>
  <sheetFormatPr defaultRowHeight="15" x14ac:dyDescent="0.25"/>
  <cols>
    <col min="1" max="1" width="25.42578125" customWidth="1"/>
    <col min="2" max="2" width="21.42578125" customWidth="1"/>
    <col min="3" max="3" width="19" customWidth="1"/>
    <col min="4" max="4" width="17.85546875" customWidth="1"/>
    <col min="5" max="5" width="12.140625" customWidth="1"/>
    <col min="6" max="6" width="11" customWidth="1"/>
    <col min="7" max="7" width="11" bestFit="1" customWidth="1"/>
  </cols>
  <sheetData>
    <row r="2" spans="1:5" x14ac:dyDescent="0.25">
      <c r="A2" s="189" t="s">
        <v>898</v>
      </c>
      <c r="B2" s="188"/>
      <c r="C2" s="188"/>
      <c r="D2" s="188"/>
    </row>
    <row r="4" spans="1:5" ht="15.75" thickBot="1" x14ac:dyDescent="0.3"/>
    <row r="5" spans="1:5" ht="32.25" thickBot="1" x14ac:dyDescent="0.3">
      <c r="A5" s="168" t="s">
        <v>897</v>
      </c>
      <c r="B5" s="2253" t="s">
        <v>1599</v>
      </c>
      <c r="C5" s="1085"/>
      <c r="D5" s="1085"/>
      <c r="E5" s="1086"/>
    </row>
    <row r="6" spans="1:5" ht="32.25" thickBot="1" x14ac:dyDescent="0.3">
      <c r="A6" s="36" t="s">
        <v>895</v>
      </c>
      <c r="B6" s="2254" t="s">
        <v>1598</v>
      </c>
      <c r="C6" s="2255"/>
      <c r="D6" s="2255"/>
      <c r="E6" s="2256"/>
    </row>
    <row r="7" spans="1:5" ht="133.5" customHeight="1" thickBot="1" x14ac:dyDescent="0.3">
      <c r="A7" s="36" t="s">
        <v>914</v>
      </c>
      <c r="B7" s="2257" t="s">
        <v>1597</v>
      </c>
      <c r="C7" s="2258"/>
      <c r="D7" s="2258"/>
      <c r="E7" s="2259"/>
    </row>
    <row r="8" spans="1:5" ht="16.5" thickBot="1" x14ac:dyDescent="0.3">
      <c r="A8" s="36" t="s">
        <v>891</v>
      </c>
      <c r="B8" s="167" t="s">
        <v>912</v>
      </c>
      <c r="C8" s="1093" t="s">
        <v>7</v>
      </c>
      <c r="D8" s="1093"/>
      <c r="E8" s="1094"/>
    </row>
    <row r="9" spans="1:5" ht="32.25" thickBot="1" x14ac:dyDescent="0.3">
      <c r="A9" s="36" t="s">
        <v>929</v>
      </c>
      <c r="B9" s="882">
        <v>1130</v>
      </c>
      <c r="C9" s="2260" t="s">
        <v>1596</v>
      </c>
      <c r="D9" s="1091"/>
      <c r="E9" s="1092"/>
    </row>
    <row r="10" spans="1:5" ht="32.25" thickBot="1" x14ac:dyDescent="0.3">
      <c r="A10" s="36" t="s">
        <v>927</v>
      </c>
      <c r="B10" s="882"/>
      <c r="C10" s="1095"/>
      <c r="D10" s="1095"/>
      <c r="E10" s="1095"/>
    </row>
    <row r="11" spans="1:5" ht="18" customHeight="1" x14ac:dyDescent="0.25">
      <c r="A11" s="1247" t="s">
        <v>926</v>
      </c>
      <c r="B11" s="1247"/>
      <c r="C11" s="1247"/>
      <c r="D11" s="1247"/>
      <c r="E11" s="1247"/>
    </row>
    <row r="12" spans="1:5" ht="15.75" thickBot="1" x14ac:dyDescent="0.3"/>
    <row r="13" spans="1:5" ht="26.25" thickBot="1" x14ac:dyDescent="0.3">
      <c r="A13" s="2" t="s">
        <v>2</v>
      </c>
      <c r="B13" s="1263" t="s">
        <v>1595</v>
      </c>
      <c r="C13" s="1263"/>
      <c r="D13" s="1263"/>
      <c r="E13" s="1263"/>
    </row>
    <row r="14" spans="1:5" ht="15.75" thickBot="1" x14ac:dyDescent="0.3">
      <c r="A14" s="2" t="s">
        <v>3</v>
      </c>
      <c r="B14" s="1087" t="s">
        <v>1594</v>
      </c>
      <c r="C14" s="1088"/>
      <c r="D14" s="1088"/>
      <c r="E14" s="1089"/>
    </row>
    <row r="15" spans="1:5" ht="26.25" thickBot="1" x14ac:dyDescent="0.3">
      <c r="A15" s="2" t="s">
        <v>5</v>
      </c>
      <c r="B15" s="1265" t="s">
        <v>6</v>
      </c>
      <c r="C15" s="1095"/>
      <c r="D15" s="1095"/>
      <c r="E15" s="1096"/>
    </row>
    <row r="16" spans="1:5" ht="15.75" thickBot="1" x14ac:dyDescent="0.3">
      <c r="A16" s="1266" t="s">
        <v>7</v>
      </c>
      <c r="B16" s="1267"/>
      <c r="C16" s="1267"/>
      <c r="D16" s="1267"/>
      <c r="E16" s="1297"/>
    </row>
    <row r="17" spans="1:5" ht="81.75" customHeight="1" thickBot="1" x14ac:dyDescent="0.3">
      <c r="A17" s="2261" t="s">
        <v>1593</v>
      </c>
      <c r="B17" s="2262"/>
      <c r="C17" s="2262"/>
      <c r="D17" s="2262"/>
      <c r="E17" s="2263"/>
    </row>
    <row r="18" spans="1:5" ht="82.5" customHeight="1" thickBot="1" x14ac:dyDescent="0.3">
      <c r="A18" s="3" t="s">
        <v>8</v>
      </c>
      <c r="B18" s="1331" t="s">
        <v>1592</v>
      </c>
      <c r="C18" s="1244"/>
      <c r="D18" s="1244"/>
      <c r="E18" s="1315"/>
    </row>
    <row r="19" spans="1:5" ht="23.25" customHeight="1" x14ac:dyDescent="0.25">
      <c r="A19" s="1250" t="s">
        <v>102</v>
      </c>
      <c r="B19" s="851">
        <v>2018</v>
      </c>
      <c r="C19" s="851">
        <v>2019</v>
      </c>
      <c r="D19" s="851">
        <v>2020</v>
      </c>
      <c r="E19" s="851">
        <v>2021</v>
      </c>
    </row>
    <row r="20" spans="1:5" ht="15.75" thickBot="1" x14ac:dyDescent="0.3">
      <c r="A20" s="1251"/>
      <c r="B20" s="852" t="s">
        <v>10</v>
      </c>
      <c r="C20" s="852" t="s">
        <v>11</v>
      </c>
      <c r="D20" s="852" t="s">
        <v>11</v>
      </c>
      <c r="E20" s="852" t="s">
        <v>11</v>
      </c>
    </row>
    <row r="21" spans="1:5" ht="45.75" thickBot="1" x14ac:dyDescent="0.3">
      <c r="A21" s="849" t="s">
        <v>1591</v>
      </c>
      <c r="B21" s="4">
        <v>0.2</v>
      </c>
      <c r="C21" s="4" t="s">
        <v>1590</v>
      </c>
      <c r="D21" s="4" t="s">
        <v>1590</v>
      </c>
      <c r="E21" s="4" t="s">
        <v>1590</v>
      </c>
    </row>
    <row r="22" spans="1:5" ht="23.25" thickBot="1" x14ac:dyDescent="0.3">
      <c r="A22" s="5" t="s">
        <v>1589</v>
      </c>
      <c r="B22" s="978">
        <v>1</v>
      </c>
      <c r="C22" s="4" t="s">
        <v>139</v>
      </c>
      <c r="D22" s="4" t="s">
        <v>139</v>
      </c>
      <c r="E22" s="4" t="s">
        <v>139</v>
      </c>
    </row>
    <row r="23" spans="1:5" ht="15.75" thickBot="1" x14ac:dyDescent="0.3">
      <c r="A23" s="5"/>
      <c r="B23" s="4"/>
      <c r="C23" s="4"/>
      <c r="D23" s="4"/>
      <c r="E23" s="4"/>
    </row>
    <row r="24" spans="1:5" ht="24.75" thickBot="1" x14ac:dyDescent="0.3">
      <c r="A24" s="987" t="s">
        <v>12</v>
      </c>
      <c r="B24" s="1245" t="s">
        <v>1588</v>
      </c>
      <c r="C24" s="1246"/>
      <c r="D24" s="1246"/>
      <c r="E24" s="1298"/>
    </row>
    <row r="25" spans="1:5" ht="15.75" thickBot="1" x14ac:dyDescent="0.3">
      <c r="A25" s="1245" t="s">
        <v>103</v>
      </c>
      <c r="B25" s="1246"/>
      <c r="C25" s="1246"/>
      <c r="D25" s="1246"/>
      <c r="E25" s="1298"/>
    </row>
    <row r="26" spans="1:5" ht="23.25" thickBot="1" x14ac:dyDescent="0.3">
      <c r="A26" s="819" t="s">
        <v>1587</v>
      </c>
      <c r="B26" s="978">
        <v>55</v>
      </c>
      <c r="C26" s="4" t="s">
        <v>340</v>
      </c>
      <c r="D26" s="4" t="s">
        <v>340</v>
      </c>
      <c r="E26" s="4" t="s">
        <v>340</v>
      </c>
    </row>
    <row r="27" spans="1:5" ht="23.25" thickBot="1" x14ac:dyDescent="0.3">
      <c r="A27" s="5" t="s">
        <v>1586</v>
      </c>
      <c r="B27" s="978">
        <v>500</v>
      </c>
      <c r="C27" s="4" t="s">
        <v>340</v>
      </c>
      <c r="D27" s="4" t="s">
        <v>340</v>
      </c>
      <c r="E27" s="4" t="s">
        <v>340</v>
      </c>
    </row>
    <row r="28" spans="1:5" ht="15.75" thickBot="1" x14ac:dyDescent="0.3">
      <c r="A28" s="1273" t="s">
        <v>14</v>
      </c>
      <c r="B28" s="1274"/>
      <c r="C28" s="1274"/>
      <c r="D28" s="1274"/>
      <c r="E28" s="1299"/>
    </row>
    <row r="29" spans="1:5" ht="15.75" thickBot="1" x14ac:dyDescent="0.3">
      <c r="A29" s="1275" t="s">
        <v>104</v>
      </c>
      <c r="B29" s="1276"/>
      <c r="C29" s="1276"/>
      <c r="D29" s="1276"/>
      <c r="E29" s="1317"/>
    </row>
    <row r="30" spans="1:5" ht="15.75" thickBot="1" x14ac:dyDescent="0.3">
      <c r="A30" s="7" t="s">
        <v>105</v>
      </c>
      <c r="B30" s="1248" t="s">
        <v>1585</v>
      </c>
      <c r="C30" s="1249"/>
      <c r="D30" s="1249"/>
      <c r="E30" s="1316"/>
    </row>
    <row r="31" spans="1:5" ht="83.25" customHeight="1" thickBot="1" x14ac:dyDescent="0.3">
      <c r="A31" s="5" t="s">
        <v>17</v>
      </c>
      <c r="B31" s="1245" t="s">
        <v>1584</v>
      </c>
      <c r="C31" s="1246"/>
      <c r="D31" s="1246"/>
      <c r="E31" s="1298"/>
    </row>
    <row r="32" spans="1:5" ht="15.75" thickBot="1" x14ac:dyDescent="0.3">
      <c r="A32" s="5" t="s">
        <v>18</v>
      </c>
      <c r="B32" s="1248" t="s">
        <v>1583</v>
      </c>
      <c r="C32" s="1249"/>
      <c r="D32" s="1249"/>
      <c r="E32" s="1316"/>
    </row>
    <row r="33" spans="1:9" ht="12.75" customHeight="1" x14ac:dyDescent="0.25">
      <c r="A33" s="1250"/>
      <c r="B33" s="8">
        <v>2018</v>
      </c>
      <c r="C33" s="8">
        <v>2019</v>
      </c>
      <c r="D33" s="8">
        <v>2020</v>
      </c>
      <c r="E33" s="8">
        <v>2021</v>
      </c>
    </row>
    <row r="34" spans="1:9" ht="12" customHeight="1" thickBot="1" x14ac:dyDescent="0.3">
      <c r="A34" s="1251"/>
      <c r="B34" s="9" t="s">
        <v>10</v>
      </c>
      <c r="C34" s="9" t="s">
        <v>11</v>
      </c>
      <c r="D34" s="9" t="s">
        <v>11</v>
      </c>
      <c r="E34" s="9" t="s">
        <v>11</v>
      </c>
    </row>
    <row r="35" spans="1:9" ht="15.75" thickBot="1" x14ac:dyDescent="0.3">
      <c r="A35" s="5" t="s">
        <v>19</v>
      </c>
      <c r="B35" s="10">
        <v>1700</v>
      </c>
      <c r="C35" s="10">
        <v>2200</v>
      </c>
      <c r="D35" s="10">
        <v>2200</v>
      </c>
      <c r="E35" s="10">
        <v>2200</v>
      </c>
    </row>
    <row r="36" spans="1:9" ht="15.75" thickBot="1" x14ac:dyDescent="0.3">
      <c r="A36" s="5" t="s">
        <v>20</v>
      </c>
      <c r="B36" s="823">
        <v>22160</v>
      </c>
      <c r="C36" s="823">
        <v>22209</v>
      </c>
      <c r="D36" s="823">
        <v>22209</v>
      </c>
      <c r="E36" s="823">
        <v>22209</v>
      </c>
    </row>
    <row r="37" spans="1:9" ht="15.75" thickBot="1" x14ac:dyDescent="0.3">
      <c r="A37" s="5" t="s">
        <v>21</v>
      </c>
      <c r="B37" s="823">
        <f>B36/B35</f>
        <v>13.035294117647059</v>
      </c>
      <c r="C37" s="823">
        <f>C36/C35</f>
        <v>10.095000000000001</v>
      </c>
      <c r="D37" s="823">
        <f>D36/D35</f>
        <v>10.095000000000001</v>
      </c>
      <c r="E37" s="823">
        <f>E36/E35</f>
        <v>10.095000000000001</v>
      </c>
    </row>
    <row r="38" spans="1:9" ht="15.75" thickBot="1" x14ac:dyDescent="0.3">
      <c r="A38" s="5" t="s">
        <v>22</v>
      </c>
      <c r="B38" s="461" t="s">
        <v>23</v>
      </c>
      <c r="C38" s="1044">
        <f t="shared" ref="C38:E40" si="0">C35/B35-1</f>
        <v>0.29411764705882359</v>
      </c>
      <c r="D38" s="1044">
        <f t="shared" si="0"/>
        <v>0</v>
      </c>
      <c r="E38" s="1044">
        <f t="shared" si="0"/>
        <v>0</v>
      </c>
      <c r="F38" s="12"/>
      <c r="G38" s="12"/>
      <c r="H38" s="12"/>
      <c r="I38" s="12"/>
    </row>
    <row r="39" spans="1:9" ht="15.75" thickBot="1" x14ac:dyDescent="0.3">
      <c r="A39" s="5" t="s">
        <v>24</v>
      </c>
      <c r="B39" s="461" t="s">
        <v>23</v>
      </c>
      <c r="C39" s="1044">
        <f t="shared" si="0"/>
        <v>2.2111913357401036E-3</v>
      </c>
      <c r="D39" s="1044">
        <f t="shared" si="0"/>
        <v>0</v>
      </c>
      <c r="E39" s="1044">
        <f t="shared" si="0"/>
        <v>0</v>
      </c>
    </row>
    <row r="40" spans="1:9" ht="15.75" thickBot="1" x14ac:dyDescent="0.3">
      <c r="A40" s="5" t="s">
        <v>25</v>
      </c>
      <c r="B40" s="461" t="s">
        <v>23</v>
      </c>
      <c r="C40" s="1044">
        <f t="shared" si="0"/>
        <v>-0.22556407942238266</v>
      </c>
      <c r="D40" s="1044">
        <f t="shared" si="0"/>
        <v>0</v>
      </c>
      <c r="E40" s="1044">
        <f t="shared" si="0"/>
        <v>0</v>
      </c>
    </row>
    <row r="41" spans="1:9" ht="15.75" thickBot="1" x14ac:dyDescent="0.3">
      <c r="A41" s="1252" t="s">
        <v>633</v>
      </c>
      <c r="B41" s="1253"/>
      <c r="C41" s="1253"/>
      <c r="D41" s="1253"/>
      <c r="E41" s="1300"/>
    </row>
    <row r="42" spans="1:9" ht="12.75" customHeight="1" x14ac:dyDescent="0.25">
      <c r="A42" s="1250"/>
      <c r="B42" s="8">
        <v>2018</v>
      </c>
      <c r="C42" s="8">
        <v>2019</v>
      </c>
      <c r="D42" s="8">
        <v>2020</v>
      </c>
      <c r="E42" s="8">
        <v>2021</v>
      </c>
    </row>
    <row r="43" spans="1:9" ht="9" customHeight="1" thickBot="1" x14ac:dyDescent="0.3">
      <c r="A43" s="1251"/>
      <c r="B43" s="9" t="s">
        <v>10</v>
      </c>
      <c r="C43" s="9" t="s">
        <v>11</v>
      </c>
      <c r="D43" s="9" t="s">
        <v>11</v>
      </c>
      <c r="E43" s="9" t="s">
        <v>11</v>
      </c>
    </row>
    <row r="44" spans="1:9" ht="15.75" thickBot="1" x14ac:dyDescent="0.3">
      <c r="A44" s="13" t="s">
        <v>26</v>
      </c>
      <c r="B44" s="435">
        <v>9356</v>
      </c>
      <c r="C44" s="435">
        <v>9355</v>
      </c>
      <c r="D44" s="435">
        <v>9355</v>
      </c>
      <c r="E44" s="435">
        <v>9355</v>
      </c>
    </row>
    <row r="45" spans="1:9" ht="24.75" thickBot="1" x14ac:dyDescent="0.3">
      <c r="A45" s="13" t="s">
        <v>28</v>
      </c>
      <c r="B45" s="435">
        <v>1518</v>
      </c>
      <c r="C45" s="435">
        <v>1518</v>
      </c>
      <c r="D45" s="435">
        <v>1518</v>
      </c>
      <c r="E45" s="435">
        <v>1518</v>
      </c>
    </row>
    <row r="46" spans="1:9" ht="15.75" thickBot="1" x14ac:dyDescent="0.3">
      <c r="A46" s="13" t="s">
        <v>30</v>
      </c>
      <c r="B46" s="823">
        <v>11286</v>
      </c>
      <c r="C46" s="823">
        <v>11336</v>
      </c>
      <c r="D46" s="823">
        <v>11336</v>
      </c>
      <c r="E46" s="823">
        <v>11336</v>
      </c>
    </row>
    <row r="47" spans="1:9" ht="15.75" thickBot="1" x14ac:dyDescent="0.3">
      <c r="A47" s="13" t="s">
        <v>32</v>
      </c>
      <c r="B47" s="15"/>
      <c r="C47" s="14"/>
      <c r="D47" s="14"/>
      <c r="E47" s="14"/>
    </row>
    <row r="48" spans="1:9" ht="15.75" thickBot="1" x14ac:dyDescent="0.3">
      <c r="A48" s="13" t="s">
        <v>34</v>
      </c>
      <c r="B48" s="15"/>
      <c r="C48" s="14"/>
      <c r="D48" s="14"/>
      <c r="E48" s="14"/>
    </row>
    <row r="49" spans="1:9" ht="15.75" thickBot="1" x14ac:dyDescent="0.3">
      <c r="A49" s="13" t="s">
        <v>36</v>
      </c>
      <c r="B49" s="15"/>
      <c r="C49" s="14"/>
      <c r="D49" s="14"/>
      <c r="E49" s="14"/>
    </row>
    <row r="50" spans="1:9" ht="24.75" thickBot="1" x14ac:dyDescent="0.3">
      <c r="A50" s="13" t="s">
        <v>38</v>
      </c>
      <c r="B50" s="15"/>
      <c r="C50" s="14"/>
      <c r="D50" s="14"/>
      <c r="E50" s="14"/>
    </row>
    <row r="51" spans="1:9" ht="15.75" thickBot="1" x14ac:dyDescent="0.3">
      <c r="A51" s="16" t="s">
        <v>40</v>
      </c>
      <c r="B51" s="15">
        <f>B50+B49+B48+B47+B46+B45+B44</f>
        <v>22160</v>
      </c>
      <c r="C51" s="15">
        <f>C50+C49+C48+C47+C46+C45+C44</f>
        <v>22209</v>
      </c>
      <c r="D51" s="15">
        <f>D50+D49+D48+D47+D46+D45+D44</f>
        <v>22209</v>
      </c>
      <c r="E51" s="15">
        <f>E50+E49+E48+E47+E46+E45+E44</f>
        <v>22209</v>
      </c>
    </row>
    <row r="52" spans="1:9" ht="15.75" thickBot="1" x14ac:dyDescent="0.3">
      <c r="A52" s="17" t="s">
        <v>41</v>
      </c>
      <c r="B52" s="18">
        <f>IF(B51-B36=0,0,"Error")</f>
        <v>0</v>
      </c>
      <c r="C52" s="18">
        <f>IF(C51-C36=0,0,"Error")</f>
        <v>0</v>
      </c>
      <c r="D52" s="18">
        <f>IF(D51-D36=0,0,"Error")</f>
        <v>0</v>
      </c>
      <c r="E52" s="18">
        <f>IF(E51-E36=0,0,"Error")</f>
        <v>0</v>
      </c>
    </row>
    <row r="53" spans="1:9" ht="15.75" thickBot="1" x14ac:dyDescent="0.3">
      <c r="A53" s="1275" t="s">
        <v>63</v>
      </c>
      <c r="B53" s="1276"/>
      <c r="C53" s="1276"/>
      <c r="D53" s="1276"/>
      <c r="E53" s="1317"/>
    </row>
    <row r="54" spans="1:9" ht="15.75" thickBot="1" x14ac:dyDescent="0.3">
      <c r="A54" s="1275" t="s">
        <v>56</v>
      </c>
      <c r="B54" s="1276"/>
      <c r="C54" s="1276"/>
      <c r="D54" s="1276"/>
      <c r="E54" s="1317"/>
    </row>
    <row r="55" spans="1:9" ht="15.75" thickBot="1" x14ac:dyDescent="0.3">
      <c r="A55" s="20" t="s">
        <v>79</v>
      </c>
      <c r="B55" s="1241" t="s">
        <v>124</v>
      </c>
      <c r="C55" s="1242"/>
      <c r="D55" s="1242"/>
      <c r="E55" s="1318"/>
    </row>
    <row r="56" spans="1:9" ht="15.75" thickBot="1" x14ac:dyDescent="0.3">
      <c r="A56" s="7" t="s">
        <v>16</v>
      </c>
      <c r="B56" s="2264" t="s">
        <v>1582</v>
      </c>
      <c r="C56" s="2265"/>
      <c r="D56" s="2265"/>
      <c r="E56" s="2266"/>
    </row>
    <row r="57" spans="1:9" ht="17.25" customHeight="1" thickBot="1" x14ac:dyDescent="0.3">
      <c r="A57" s="5" t="s">
        <v>17</v>
      </c>
      <c r="B57" s="1245" t="s">
        <v>1581</v>
      </c>
      <c r="C57" s="1246"/>
      <c r="D57" s="1246"/>
      <c r="E57" s="1298"/>
    </row>
    <row r="58" spans="1:9" ht="15.75" thickBot="1" x14ac:dyDescent="0.3">
      <c r="A58" s="5" t="s">
        <v>18</v>
      </c>
      <c r="B58" s="1248" t="s">
        <v>798</v>
      </c>
      <c r="C58" s="1249"/>
      <c r="D58" s="1249"/>
      <c r="E58" s="1316"/>
    </row>
    <row r="59" spans="1:9" ht="12.75" customHeight="1" x14ac:dyDescent="0.25">
      <c r="A59" s="1250"/>
      <c r="B59" s="8">
        <v>2018</v>
      </c>
      <c r="C59" s="8">
        <v>2019</v>
      </c>
      <c r="D59" s="8">
        <v>2020</v>
      </c>
      <c r="E59" s="8">
        <v>2021</v>
      </c>
    </row>
    <row r="60" spans="1:9" ht="9" customHeight="1" thickBot="1" x14ac:dyDescent="0.3">
      <c r="A60" s="1251"/>
      <c r="B60" s="9" t="s">
        <v>10</v>
      </c>
      <c r="C60" s="9" t="s">
        <v>11</v>
      </c>
      <c r="D60" s="9" t="s">
        <v>11</v>
      </c>
      <c r="E60" s="9" t="s">
        <v>11</v>
      </c>
    </row>
    <row r="61" spans="1:9" ht="15.75" thickBot="1" x14ac:dyDescent="0.3">
      <c r="A61" s="5" t="s">
        <v>19</v>
      </c>
      <c r="B61" s="10">
        <v>13</v>
      </c>
      <c r="C61" s="10">
        <v>13</v>
      </c>
      <c r="D61" s="10">
        <v>13</v>
      </c>
      <c r="E61" s="10">
        <v>13</v>
      </c>
    </row>
    <row r="62" spans="1:9" ht="15.75" thickBot="1" x14ac:dyDescent="0.3">
      <c r="A62" s="5" t="s">
        <v>20</v>
      </c>
      <c r="B62" s="10">
        <v>6000</v>
      </c>
      <c r="C62" s="10"/>
      <c r="D62" s="10">
        <v>3000</v>
      </c>
      <c r="E62" s="10">
        <v>3000</v>
      </c>
    </row>
    <row r="63" spans="1:9" ht="15.75" thickBot="1" x14ac:dyDescent="0.3">
      <c r="A63" s="5" t="s">
        <v>21</v>
      </c>
      <c r="B63" s="10">
        <f>B62/B61</f>
        <v>461.53846153846155</v>
      </c>
      <c r="C63" s="10">
        <f>C62/C61</f>
        <v>0</v>
      </c>
      <c r="D63" s="10">
        <f>D62/D61</f>
        <v>230.76923076923077</v>
      </c>
      <c r="E63" s="10">
        <f>E62/E61</f>
        <v>230.76923076923077</v>
      </c>
    </row>
    <row r="64" spans="1:9" ht="15.75" thickBot="1" x14ac:dyDescent="0.3">
      <c r="A64" s="5" t="s">
        <v>22</v>
      </c>
      <c r="B64" s="850" t="s">
        <v>23</v>
      </c>
      <c r="C64" s="11">
        <f t="shared" ref="C64:E66" si="1">C61/B61-1</f>
        <v>0</v>
      </c>
      <c r="D64" s="11">
        <f t="shared" si="1"/>
        <v>0</v>
      </c>
      <c r="E64" s="11">
        <f t="shared" si="1"/>
        <v>0</v>
      </c>
      <c r="F64" s="12"/>
      <c r="G64" s="12"/>
      <c r="H64" s="12"/>
      <c r="I64" s="12"/>
    </row>
    <row r="65" spans="1:5" ht="15.75" thickBot="1" x14ac:dyDescent="0.3">
      <c r="A65" s="5" t="s">
        <v>24</v>
      </c>
      <c r="B65" s="850" t="s">
        <v>23</v>
      </c>
      <c r="C65" s="11">
        <f t="shared" si="1"/>
        <v>-1</v>
      </c>
      <c r="D65" s="11" t="e">
        <f t="shared" si="1"/>
        <v>#DIV/0!</v>
      </c>
      <c r="E65" s="11">
        <f t="shared" si="1"/>
        <v>0</v>
      </c>
    </row>
    <row r="66" spans="1:5" ht="15.75" thickBot="1" x14ac:dyDescent="0.3">
      <c r="A66" s="5" t="s">
        <v>25</v>
      </c>
      <c r="B66" s="850" t="s">
        <v>23</v>
      </c>
      <c r="C66" s="11">
        <f t="shared" si="1"/>
        <v>-1</v>
      </c>
      <c r="D66" s="11" t="e">
        <f t="shared" si="1"/>
        <v>#DIV/0!</v>
      </c>
      <c r="E66" s="11">
        <f t="shared" si="1"/>
        <v>0</v>
      </c>
    </row>
    <row r="67" spans="1:5" ht="15.75" thickBot="1" x14ac:dyDescent="0.3">
      <c r="A67" s="1252" t="s">
        <v>633</v>
      </c>
      <c r="B67" s="1253"/>
      <c r="C67" s="1253"/>
      <c r="D67" s="1253"/>
      <c r="E67" s="1300"/>
    </row>
    <row r="68" spans="1:5" ht="12.75" customHeight="1" x14ac:dyDescent="0.25">
      <c r="A68" s="1250"/>
      <c r="B68" s="8">
        <v>2018</v>
      </c>
      <c r="C68" s="8">
        <v>2019</v>
      </c>
      <c r="D68" s="8">
        <v>2020</v>
      </c>
      <c r="E68" s="8">
        <v>2021</v>
      </c>
    </row>
    <row r="69" spans="1:5" ht="9" customHeight="1" thickBot="1" x14ac:dyDescent="0.3">
      <c r="A69" s="1251"/>
      <c r="B69" s="9" t="s">
        <v>10</v>
      </c>
      <c r="C69" s="9" t="s">
        <v>11</v>
      </c>
      <c r="D69" s="9" t="s">
        <v>11</v>
      </c>
      <c r="E69" s="9" t="s">
        <v>11</v>
      </c>
    </row>
    <row r="70" spans="1:5" ht="15.75" thickBot="1" x14ac:dyDescent="0.3">
      <c r="A70" s="13" t="s">
        <v>58</v>
      </c>
      <c r="B70" s="14"/>
      <c r="C70" s="14"/>
      <c r="D70" s="14"/>
      <c r="E70" s="14"/>
    </row>
    <row r="71" spans="1:5" ht="15.75" thickBot="1" x14ac:dyDescent="0.3">
      <c r="A71" s="13" t="s">
        <v>59</v>
      </c>
      <c r="B71" s="15">
        <v>6000</v>
      </c>
      <c r="C71" s="14">
        <v>0</v>
      </c>
      <c r="D71" s="14">
        <v>3000</v>
      </c>
      <c r="E71" s="14">
        <v>3000</v>
      </c>
    </row>
    <row r="72" spans="1:5" ht="15.75" thickBot="1" x14ac:dyDescent="0.3">
      <c r="A72" s="16" t="s">
        <v>40</v>
      </c>
      <c r="B72" s="15">
        <f>B71+B70</f>
        <v>6000</v>
      </c>
      <c r="C72" s="15">
        <f>C71+C70</f>
        <v>0</v>
      </c>
      <c r="D72" s="15">
        <f>D71+D70</f>
        <v>3000</v>
      </c>
      <c r="E72" s="15">
        <f>E71+E70</f>
        <v>3000</v>
      </c>
    </row>
    <row r="73" spans="1:5" x14ac:dyDescent="0.25">
      <c r="A73" s="1254" t="s">
        <v>60</v>
      </c>
      <c r="B73" s="1322"/>
      <c r="C73" s="1289"/>
      <c r="D73" s="1289"/>
      <c r="E73" s="1290"/>
    </row>
    <row r="74" spans="1:5" x14ac:dyDescent="0.25">
      <c r="A74" s="1255"/>
      <c r="B74" s="1291"/>
      <c r="C74" s="1292"/>
      <c r="D74" s="1292"/>
      <c r="E74" s="1293"/>
    </row>
    <row r="75" spans="1:5" ht="15.75" thickBot="1" x14ac:dyDescent="0.3">
      <c r="A75" s="1256"/>
      <c r="B75" s="1294"/>
      <c r="C75" s="1295"/>
      <c r="D75" s="1295"/>
      <c r="E75" s="1296"/>
    </row>
    <row r="76" spans="1:5" ht="23.25" customHeight="1" thickBot="1" x14ac:dyDescent="0.3">
      <c r="A76" s="6" t="s">
        <v>67</v>
      </c>
      <c r="B76" s="1330" t="s">
        <v>1580</v>
      </c>
      <c r="C76" s="1331"/>
      <c r="D76" s="1331"/>
      <c r="E76" s="1332"/>
    </row>
    <row r="77" spans="1:5" ht="12.75" customHeight="1" thickBot="1" x14ac:dyDescent="0.3">
      <c r="A77" s="1245" t="s">
        <v>134</v>
      </c>
      <c r="B77" s="1246"/>
      <c r="C77" s="1246"/>
      <c r="D77" s="1246"/>
      <c r="E77" s="1298"/>
    </row>
    <row r="78" spans="1:5" ht="26.25" customHeight="1" thickBot="1" x14ac:dyDescent="0.3">
      <c r="A78" s="819" t="s">
        <v>1579</v>
      </c>
      <c r="B78" s="978">
        <v>1400</v>
      </c>
      <c r="C78" s="4" t="s">
        <v>340</v>
      </c>
      <c r="D78" s="4" t="s">
        <v>340</v>
      </c>
      <c r="E78" s="4" t="s">
        <v>340</v>
      </c>
    </row>
    <row r="79" spans="1:5" ht="26.25" customHeight="1" thickBot="1" x14ac:dyDescent="0.3">
      <c r="A79" s="5" t="s">
        <v>1578</v>
      </c>
      <c r="B79" s="978">
        <v>160</v>
      </c>
      <c r="C79" s="4" t="s">
        <v>340</v>
      </c>
      <c r="D79" s="4" t="s">
        <v>340</v>
      </c>
      <c r="E79" s="4" t="s">
        <v>340</v>
      </c>
    </row>
    <row r="80" spans="1:5" ht="22.5" customHeight="1" thickBot="1" x14ac:dyDescent="0.3">
      <c r="A80" s="1278" t="s">
        <v>69</v>
      </c>
      <c r="B80" s="1279"/>
      <c r="C80" s="1279"/>
      <c r="D80" s="1279"/>
      <c r="E80" s="1355"/>
    </row>
    <row r="81" spans="1:5" ht="15.75" customHeight="1" thickBot="1" x14ac:dyDescent="0.3">
      <c r="A81" s="1280" t="s">
        <v>70</v>
      </c>
      <c r="B81" s="1281"/>
      <c r="C81" s="1281"/>
      <c r="D81" s="1281"/>
      <c r="E81" s="1354"/>
    </row>
    <row r="82" spans="1:5" ht="23.25" thickBot="1" x14ac:dyDescent="0.3">
      <c r="A82" s="139" t="s">
        <v>1486</v>
      </c>
      <c r="B82" s="1248" t="s">
        <v>1577</v>
      </c>
      <c r="C82" s="1249"/>
      <c r="D82" s="1249"/>
      <c r="E82" s="1316"/>
    </row>
    <row r="83" spans="1:5" ht="15.75" thickBot="1" x14ac:dyDescent="0.3">
      <c r="A83" s="5" t="s">
        <v>17</v>
      </c>
      <c r="B83" s="1245" t="s">
        <v>1576</v>
      </c>
      <c r="C83" s="1246"/>
      <c r="D83" s="1246"/>
      <c r="E83" s="1298"/>
    </row>
    <row r="84" spans="1:5" ht="15.75" thickBot="1" x14ac:dyDescent="0.3">
      <c r="A84" s="5" t="s">
        <v>18</v>
      </c>
      <c r="B84" s="1248" t="s">
        <v>1575</v>
      </c>
      <c r="C84" s="1249"/>
      <c r="D84" s="1249"/>
      <c r="E84" s="1316"/>
    </row>
    <row r="85" spans="1:5" x14ac:dyDescent="0.25">
      <c r="A85" s="1250"/>
      <c r="B85" s="8">
        <v>2018</v>
      </c>
      <c r="C85" s="8">
        <v>2019</v>
      </c>
      <c r="D85" s="8">
        <v>2020</v>
      </c>
      <c r="E85" s="8">
        <v>2021</v>
      </c>
    </row>
    <row r="86" spans="1:5" ht="15.75" thickBot="1" x14ac:dyDescent="0.3">
      <c r="A86" s="1251"/>
      <c r="B86" s="9" t="s">
        <v>10</v>
      </c>
      <c r="C86" s="9" t="s">
        <v>11</v>
      </c>
      <c r="D86" s="9" t="s">
        <v>11</v>
      </c>
      <c r="E86" s="9" t="s">
        <v>11</v>
      </c>
    </row>
    <row r="87" spans="1:5" ht="15.75" thickBot="1" x14ac:dyDescent="0.3">
      <c r="A87" s="5" t="s">
        <v>19</v>
      </c>
      <c r="B87" s="10">
        <v>160</v>
      </c>
      <c r="C87" s="10">
        <v>500</v>
      </c>
      <c r="D87" s="10">
        <v>500</v>
      </c>
      <c r="E87" s="10">
        <v>500</v>
      </c>
    </row>
    <row r="88" spans="1:5" ht="15.75" thickBot="1" x14ac:dyDescent="0.3">
      <c r="A88" s="5" t="s">
        <v>20</v>
      </c>
      <c r="B88" s="10">
        <v>24174</v>
      </c>
      <c r="C88" s="10">
        <v>24228</v>
      </c>
      <c r="D88" s="10">
        <v>24228</v>
      </c>
      <c r="E88" s="10">
        <v>24228</v>
      </c>
    </row>
    <row r="89" spans="1:5" ht="12.75" customHeight="1" thickBot="1" x14ac:dyDescent="0.3">
      <c r="A89" s="5" t="s">
        <v>21</v>
      </c>
      <c r="B89" s="10">
        <f>B88/B87</f>
        <v>151.08750000000001</v>
      </c>
      <c r="C89" s="10">
        <f>C88/C87</f>
        <v>48.456000000000003</v>
      </c>
      <c r="D89" s="10">
        <f>D88/D87</f>
        <v>48.456000000000003</v>
      </c>
      <c r="E89" s="10">
        <f>E88/E87</f>
        <v>48.456000000000003</v>
      </c>
    </row>
    <row r="90" spans="1:5" ht="9" customHeight="1" thickBot="1" x14ac:dyDescent="0.3">
      <c r="A90" s="5" t="s">
        <v>22</v>
      </c>
      <c r="B90" s="850"/>
      <c r="C90" s="11">
        <f t="shared" ref="C90:E92" si="2">C87/B87-1</f>
        <v>2.125</v>
      </c>
      <c r="D90" s="11">
        <f t="shared" si="2"/>
        <v>0</v>
      </c>
      <c r="E90" s="11">
        <f t="shared" si="2"/>
        <v>0</v>
      </c>
    </row>
    <row r="91" spans="1:5" ht="15.75" thickBot="1" x14ac:dyDescent="0.3">
      <c r="A91" s="5" t="s">
        <v>24</v>
      </c>
      <c r="B91" s="850"/>
      <c r="C91" s="11">
        <f t="shared" si="2"/>
        <v>2.2338049143708627E-3</v>
      </c>
      <c r="D91" s="11">
        <f t="shared" si="2"/>
        <v>0</v>
      </c>
      <c r="E91" s="11">
        <f t="shared" si="2"/>
        <v>0</v>
      </c>
    </row>
    <row r="92" spans="1:5" ht="15.75" thickBot="1" x14ac:dyDescent="0.3">
      <c r="A92" s="5" t="s">
        <v>25</v>
      </c>
      <c r="B92" s="850"/>
      <c r="C92" s="11">
        <f t="shared" si="2"/>
        <v>-0.67928518242740132</v>
      </c>
      <c r="D92" s="11">
        <f t="shared" si="2"/>
        <v>0</v>
      </c>
      <c r="E92" s="11">
        <f t="shared" si="2"/>
        <v>0</v>
      </c>
    </row>
    <row r="93" spans="1:5" ht="15.75" thickBot="1" x14ac:dyDescent="0.3">
      <c r="A93" s="1252" t="s">
        <v>635</v>
      </c>
      <c r="B93" s="1253"/>
      <c r="C93" s="1253"/>
      <c r="D93" s="1253"/>
      <c r="E93" s="1300"/>
    </row>
    <row r="94" spans="1:5" x14ac:dyDescent="0.25">
      <c r="A94" s="1250"/>
      <c r="B94" s="8">
        <v>2018</v>
      </c>
      <c r="C94" s="8">
        <v>2019</v>
      </c>
      <c r="D94" s="8">
        <v>2020</v>
      </c>
      <c r="E94" s="8">
        <v>2021</v>
      </c>
    </row>
    <row r="95" spans="1:5" ht="15.75" thickBot="1" x14ac:dyDescent="0.3">
      <c r="A95" s="1251"/>
      <c r="B95" s="9" t="s">
        <v>10</v>
      </c>
      <c r="C95" s="9" t="s">
        <v>11</v>
      </c>
      <c r="D95" s="9" t="s">
        <v>11</v>
      </c>
      <c r="E95" s="9" t="s">
        <v>11</v>
      </c>
    </row>
    <row r="96" spans="1:5" ht="15.75" thickBot="1" x14ac:dyDescent="0.3">
      <c r="A96" s="13" t="s">
        <v>26</v>
      </c>
      <c r="B96" s="14">
        <v>10206</v>
      </c>
      <c r="C96" s="14">
        <v>10206</v>
      </c>
      <c r="D96" s="14">
        <v>10206</v>
      </c>
      <c r="E96" s="14">
        <v>10206</v>
      </c>
    </row>
    <row r="97" spans="1:5" ht="24.75" thickBot="1" x14ac:dyDescent="0.3">
      <c r="A97" s="13" t="s">
        <v>28</v>
      </c>
      <c r="B97" s="14">
        <v>1656</v>
      </c>
      <c r="C97" s="14">
        <v>1656</v>
      </c>
      <c r="D97" s="14">
        <v>1656</v>
      </c>
      <c r="E97" s="14">
        <v>1656</v>
      </c>
    </row>
    <row r="98" spans="1:5" ht="15.75" thickBot="1" x14ac:dyDescent="0.3">
      <c r="A98" s="13" t="s">
        <v>30</v>
      </c>
      <c r="B98" s="15">
        <v>12312</v>
      </c>
      <c r="C98" s="14">
        <v>12366</v>
      </c>
      <c r="D98" s="14">
        <v>12366</v>
      </c>
      <c r="E98" s="14">
        <v>12366</v>
      </c>
    </row>
    <row r="99" spans="1:5" ht="15.75" thickBot="1" x14ac:dyDescent="0.3">
      <c r="A99" s="13" t="s">
        <v>32</v>
      </c>
      <c r="B99" s="15"/>
      <c r="C99" s="14"/>
      <c r="D99" s="14"/>
      <c r="E99" s="14"/>
    </row>
    <row r="100" spans="1:5" ht="15.75" thickBot="1" x14ac:dyDescent="0.3">
      <c r="A100" s="13" t="s">
        <v>34</v>
      </c>
      <c r="B100" s="15"/>
      <c r="C100" s="14"/>
      <c r="D100" s="14"/>
      <c r="E100" s="14"/>
    </row>
    <row r="101" spans="1:5" ht="27" customHeight="1" thickBot="1" x14ac:dyDescent="0.3">
      <c r="A101" s="13" t="s">
        <v>36</v>
      </c>
      <c r="B101" s="15"/>
      <c r="C101" s="14"/>
      <c r="D101" s="14"/>
      <c r="E101" s="14"/>
    </row>
    <row r="102" spans="1:5" ht="24.75" thickBot="1" x14ac:dyDescent="0.3">
      <c r="A102" s="13" t="s">
        <v>38</v>
      </c>
      <c r="B102" s="15"/>
      <c r="C102" s="14"/>
      <c r="D102" s="14"/>
      <c r="E102" s="14"/>
    </row>
    <row r="103" spans="1:5" ht="24.75" thickBot="1" x14ac:dyDescent="0.3">
      <c r="A103" s="137" t="s">
        <v>71</v>
      </c>
      <c r="B103" s="140">
        <f>B102+B100+B101+B99+B98+B97+B96</f>
        <v>24174</v>
      </c>
      <c r="C103" s="140">
        <f>C102+C100+C101+C99+C98+C97+C96</f>
        <v>24228</v>
      </c>
      <c r="D103" s="140">
        <f>D102+D100+D101+D99+D98+D97+D96</f>
        <v>24228</v>
      </c>
      <c r="E103" s="140">
        <f>E102+E100+E101+E99+E98+E97+E96</f>
        <v>24228</v>
      </c>
    </row>
    <row r="104" spans="1:5" ht="15.75" thickBot="1" x14ac:dyDescent="0.3">
      <c r="A104" s="315" t="s">
        <v>41</v>
      </c>
      <c r="B104" s="238">
        <f>IF(B103-B88=0,0,"Error")</f>
        <v>0</v>
      </c>
      <c r="C104" s="238">
        <f>IF(C103-C88=0,0,"Error")</f>
        <v>0</v>
      </c>
      <c r="D104" s="238">
        <f>IF(D103-D88=0,0,"Error")</f>
        <v>0</v>
      </c>
      <c r="E104" s="238">
        <f>IF(E103-E88=0,0,"Error")</f>
        <v>0</v>
      </c>
    </row>
    <row r="105" spans="1:5" ht="24.75" thickBot="1" x14ac:dyDescent="0.3">
      <c r="A105" s="987" t="s">
        <v>75</v>
      </c>
      <c r="B105" s="1245" t="s">
        <v>1574</v>
      </c>
      <c r="C105" s="1246"/>
      <c r="D105" s="1246"/>
      <c r="E105" s="1298"/>
    </row>
    <row r="106" spans="1:5" ht="15.75" thickBot="1" x14ac:dyDescent="0.3">
      <c r="A106" s="1245" t="s">
        <v>367</v>
      </c>
      <c r="B106" s="1246"/>
      <c r="C106" s="1246"/>
      <c r="D106" s="1246"/>
      <c r="E106" s="1298"/>
    </row>
    <row r="107" spans="1:5" ht="23.25" thickBot="1" x14ac:dyDescent="0.3">
      <c r="A107" s="819" t="s">
        <v>1573</v>
      </c>
      <c r="B107" s="1043">
        <v>185256</v>
      </c>
      <c r="C107" s="4" t="s">
        <v>340</v>
      </c>
      <c r="D107" s="4" t="s">
        <v>340</v>
      </c>
      <c r="E107" s="4" t="s">
        <v>340</v>
      </c>
    </row>
    <row r="108" spans="1:5" ht="15.75" thickBot="1" x14ac:dyDescent="0.3">
      <c r="A108" s="5" t="s">
        <v>1572</v>
      </c>
      <c r="B108" s="1043">
        <v>3</v>
      </c>
      <c r="C108" s="4" t="s">
        <v>1571</v>
      </c>
      <c r="D108" s="4" t="s">
        <v>1571</v>
      </c>
      <c r="E108" s="4" t="s">
        <v>1571</v>
      </c>
    </row>
    <row r="109" spans="1:5" ht="15.75" thickBot="1" x14ac:dyDescent="0.3">
      <c r="A109" s="1278" t="s">
        <v>77</v>
      </c>
      <c r="B109" s="1279"/>
      <c r="C109" s="1279"/>
      <c r="D109" s="1279"/>
      <c r="E109" s="1355"/>
    </row>
    <row r="110" spans="1:5" ht="15.75" thickBot="1" x14ac:dyDescent="0.3">
      <c r="A110" s="1280" t="s">
        <v>70</v>
      </c>
      <c r="B110" s="1281"/>
      <c r="C110" s="1281"/>
      <c r="D110" s="1281"/>
      <c r="E110" s="1354"/>
    </row>
    <row r="111" spans="1:5" x14ac:dyDescent="0.25">
      <c r="A111" s="1250"/>
      <c r="B111" s="8">
        <v>2018</v>
      </c>
      <c r="C111" s="8">
        <v>2019</v>
      </c>
      <c r="D111" s="8">
        <v>2020</v>
      </c>
      <c r="E111" s="8">
        <v>2021</v>
      </c>
    </row>
    <row r="112" spans="1:5" ht="15.75" thickBot="1" x14ac:dyDescent="0.3">
      <c r="A112" s="1251"/>
      <c r="B112" s="9" t="s">
        <v>10</v>
      </c>
      <c r="C112" s="9" t="s">
        <v>11</v>
      </c>
      <c r="D112" s="9" t="s">
        <v>11</v>
      </c>
      <c r="E112" s="9" t="s">
        <v>11</v>
      </c>
    </row>
    <row r="113" spans="1:5" ht="15.75" thickBot="1" x14ac:dyDescent="0.3">
      <c r="A113" s="7" t="s">
        <v>44</v>
      </c>
      <c r="B113" s="1248" t="s">
        <v>1570</v>
      </c>
      <c r="C113" s="1249"/>
      <c r="D113" s="1249"/>
      <c r="E113" s="1316"/>
    </row>
    <row r="114" spans="1:5" ht="15.75" thickBot="1" x14ac:dyDescent="0.3">
      <c r="A114" s="5" t="s">
        <v>17</v>
      </c>
      <c r="B114" s="1245" t="s">
        <v>1569</v>
      </c>
      <c r="C114" s="1246"/>
      <c r="D114" s="1246"/>
      <c r="E114" s="1298"/>
    </row>
    <row r="115" spans="1:5" ht="15.75" thickBot="1" x14ac:dyDescent="0.3">
      <c r="A115" s="5" t="s">
        <v>18</v>
      </c>
      <c r="B115" s="1248" t="s">
        <v>1568</v>
      </c>
      <c r="C115" s="1249"/>
      <c r="D115" s="1249"/>
      <c r="E115" s="1316"/>
    </row>
    <row r="116" spans="1:5" x14ac:dyDescent="0.25">
      <c r="A116" s="1250"/>
      <c r="B116" s="8">
        <v>2018</v>
      </c>
      <c r="C116" s="8">
        <v>2019</v>
      </c>
      <c r="D116" s="8">
        <v>2020</v>
      </c>
      <c r="E116" s="8">
        <v>2021</v>
      </c>
    </row>
    <row r="117" spans="1:5" ht="15.75" thickBot="1" x14ac:dyDescent="0.3">
      <c r="A117" s="1251"/>
      <c r="B117" s="9" t="s">
        <v>10</v>
      </c>
      <c r="C117" s="9" t="s">
        <v>11</v>
      </c>
      <c r="D117" s="9" t="s">
        <v>11</v>
      </c>
      <c r="E117" s="9" t="s">
        <v>11</v>
      </c>
    </row>
    <row r="118" spans="1:5" ht="15.75" thickBot="1" x14ac:dyDescent="0.3">
      <c r="A118" s="5" t="s">
        <v>19</v>
      </c>
      <c r="B118" s="143">
        <v>22200</v>
      </c>
      <c r="C118" s="145">
        <v>22200</v>
      </c>
      <c r="D118" s="145">
        <v>22200</v>
      </c>
      <c r="E118" s="145">
        <v>22200</v>
      </c>
    </row>
    <row r="119" spans="1:5" ht="15.75" thickBot="1" x14ac:dyDescent="0.3">
      <c r="A119" s="5" t="s">
        <v>20</v>
      </c>
      <c r="B119" s="10">
        <v>20816</v>
      </c>
      <c r="C119" s="10">
        <v>20863</v>
      </c>
      <c r="D119" s="10">
        <v>20863</v>
      </c>
      <c r="E119" s="10">
        <v>20863</v>
      </c>
    </row>
    <row r="120" spans="1:5" ht="15.75" thickBot="1" x14ac:dyDescent="0.3">
      <c r="A120" s="5" t="s">
        <v>21</v>
      </c>
      <c r="B120" s="10">
        <f>B119/B118</f>
        <v>0.93765765765765763</v>
      </c>
      <c r="C120" s="10">
        <f>C119/C118</f>
        <v>0.93977477477477478</v>
      </c>
      <c r="D120" s="10">
        <f>D119/D118</f>
        <v>0.93977477477477478</v>
      </c>
      <c r="E120" s="10">
        <f>E119/E118</f>
        <v>0.93977477477477478</v>
      </c>
    </row>
    <row r="121" spans="1:5" ht="15.75" customHeight="1" thickBot="1" x14ac:dyDescent="0.3">
      <c r="A121" s="5" t="s">
        <v>22</v>
      </c>
      <c r="B121" s="850"/>
      <c r="C121" s="11">
        <f t="shared" ref="C121:E123" si="3">C118/B118-1</f>
        <v>0</v>
      </c>
      <c r="D121" s="11">
        <f t="shared" si="3"/>
        <v>0</v>
      </c>
      <c r="E121" s="11">
        <f t="shared" si="3"/>
        <v>0</v>
      </c>
    </row>
    <row r="122" spans="1:5" ht="15.75" thickBot="1" x14ac:dyDescent="0.3">
      <c r="A122" s="5" t="s">
        <v>24</v>
      </c>
      <c r="B122" s="850"/>
      <c r="C122" s="11">
        <f t="shared" si="3"/>
        <v>2.2578785549576263E-3</v>
      </c>
      <c r="D122" s="11">
        <f t="shared" si="3"/>
        <v>0</v>
      </c>
      <c r="E122" s="11">
        <f t="shared" si="3"/>
        <v>0</v>
      </c>
    </row>
    <row r="123" spans="1:5" ht="15.75" thickBot="1" x14ac:dyDescent="0.3">
      <c r="A123" s="5" t="s">
        <v>25</v>
      </c>
      <c r="B123" s="850"/>
      <c r="C123" s="11">
        <f t="shared" si="3"/>
        <v>2.2578785549578484E-3</v>
      </c>
      <c r="D123" s="11">
        <f t="shared" si="3"/>
        <v>0</v>
      </c>
      <c r="E123" s="11">
        <f t="shared" si="3"/>
        <v>0</v>
      </c>
    </row>
    <row r="124" spans="1:5" x14ac:dyDescent="0.25">
      <c r="A124" s="1250"/>
      <c r="B124" s="8">
        <v>2018</v>
      </c>
      <c r="C124" s="8">
        <v>2019</v>
      </c>
      <c r="D124" s="8">
        <v>2020</v>
      </c>
      <c r="E124" s="8">
        <v>2021</v>
      </c>
    </row>
    <row r="125" spans="1:5" ht="15" customHeight="1" thickBot="1" x14ac:dyDescent="0.3">
      <c r="A125" s="1251"/>
      <c r="B125" s="9" t="s">
        <v>10</v>
      </c>
      <c r="C125" s="9" t="s">
        <v>11</v>
      </c>
      <c r="D125" s="9" t="s">
        <v>11</v>
      </c>
      <c r="E125" s="9" t="s">
        <v>11</v>
      </c>
    </row>
    <row r="126" spans="1:5" ht="15.75" thickBot="1" x14ac:dyDescent="0.3">
      <c r="A126" s="1252" t="s">
        <v>636</v>
      </c>
      <c r="B126" s="1253"/>
      <c r="C126" s="1253"/>
      <c r="D126" s="1253"/>
      <c r="E126" s="1300"/>
    </row>
    <row r="127" spans="1:5" ht="19.5" customHeight="1" x14ac:dyDescent="0.25">
      <c r="A127" s="1250"/>
      <c r="B127" s="8">
        <v>2018</v>
      </c>
      <c r="C127" s="8">
        <v>2019</v>
      </c>
      <c r="D127" s="8">
        <v>2020</v>
      </c>
      <c r="E127" s="8">
        <v>2021</v>
      </c>
    </row>
    <row r="128" spans="1:5" ht="15.75" thickBot="1" x14ac:dyDescent="0.3">
      <c r="A128" s="1251"/>
      <c r="B128" s="9" t="s">
        <v>10</v>
      </c>
      <c r="C128" s="9" t="s">
        <v>11</v>
      </c>
      <c r="D128" s="9" t="s">
        <v>11</v>
      </c>
      <c r="E128" s="9" t="s">
        <v>11</v>
      </c>
    </row>
    <row r="129" spans="1:5" ht="15.75" thickBot="1" x14ac:dyDescent="0.3">
      <c r="A129" s="13" t="s">
        <v>26</v>
      </c>
      <c r="B129" s="14">
        <v>8788</v>
      </c>
      <c r="C129" s="14">
        <v>8789</v>
      </c>
      <c r="D129" s="14">
        <v>8789</v>
      </c>
      <c r="E129" s="14">
        <v>8789</v>
      </c>
    </row>
    <row r="130" spans="1:5" ht="39.75" customHeight="1" thickBot="1" x14ac:dyDescent="0.3">
      <c r="A130" s="13" t="s">
        <v>28</v>
      </c>
      <c r="B130" s="14">
        <v>1426</v>
      </c>
      <c r="C130" s="14">
        <v>1426</v>
      </c>
      <c r="D130" s="14">
        <v>1426</v>
      </c>
      <c r="E130" s="14">
        <v>1426</v>
      </c>
    </row>
    <row r="131" spans="1:5" ht="40.5" customHeight="1" thickBot="1" x14ac:dyDescent="0.3">
      <c r="A131" s="13" t="s">
        <v>30</v>
      </c>
      <c r="B131" s="14">
        <v>10602</v>
      </c>
      <c r="C131" s="14">
        <v>10648</v>
      </c>
      <c r="D131" s="14">
        <v>10648</v>
      </c>
      <c r="E131" s="14">
        <v>10648</v>
      </c>
    </row>
    <row r="132" spans="1:5" ht="28.5" customHeight="1" thickBot="1" x14ac:dyDescent="0.3">
      <c r="A132" s="13" t="s">
        <v>32</v>
      </c>
      <c r="B132" s="15"/>
      <c r="C132" s="14"/>
      <c r="D132" s="14"/>
      <c r="E132" s="14"/>
    </row>
    <row r="133" spans="1:5" ht="15.75" thickBot="1" x14ac:dyDescent="0.3">
      <c r="A133" s="13" t="s">
        <v>34</v>
      </c>
      <c r="B133" s="15"/>
      <c r="C133" s="14"/>
      <c r="D133" s="14"/>
      <c r="E133" s="14"/>
    </row>
    <row r="134" spans="1:5" ht="15.75" thickBot="1" x14ac:dyDescent="0.3">
      <c r="A134" s="13" t="s">
        <v>36</v>
      </c>
      <c r="B134" s="15"/>
      <c r="C134" s="14"/>
      <c r="D134" s="14"/>
      <c r="E134" s="14"/>
    </row>
    <row r="135" spans="1:5" ht="24.75" thickBot="1" x14ac:dyDescent="0.3">
      <c r="A135" s="13" t="s">
        <v>38</v>
      </c>
      <c r="B135" s="15"/>
      <c r="C135" s="14"/>
      <c r="D135" s="14"/>
      <c r="E135" s="14"/>
    </row>
    <row r="136" spans="1:5" ht="24.75" thickBot="1" x14ac:dyDescent="0.3">
      <c r="A136" s="137" t="s">
        <v>71</v>
      </c>
      <c r="B136" s="138">
        <f>B135+B134+B133+B132+B131+B130+B129</f>
        <v>20816</v>
      </c>
      <c r="C136" s="138">
        <f>C135+C134+C133+C132+C131+C130+C129</f>
        <v>20863</v>
      </c>
      <c r="D136" s="138">
        <f>D135+D134+D133+D132+D131+D130+D129</f>
        <v>20863</v>
      </c>
      <c r="E136" s="138">
        <f>E135+E134+E133+E132+E131+E130+E129</f>
        <v>20863</v>
      </c>
    </row>
    <row r="137" spans="1:5" ht="15.75" thickBot="1" x14ac:dyDescent="0.3">
      <c r="A137" s="17" t="s">
        <v>41</v>
      </c>
      <c r="B137" s="18">
        <f>IF(B136-B119=0,0,"Error")</f>
        <v>0</v>
      </c>
      <c r="C137" s="18">
        <f>IF(C136-C119=0,0,"Error")</f>
        <v>0</v>
      </c>
      <c r="D137" s="18">
        <f>IF(D136-D119=0,0,"Error")</f>
        <v>0</v>
      </c>
      <c r="E137" s="18">
        <f>IF(E136-E119=0,0,"Error")</f>
        <v>0</v>
      </c>
    </row>
    <row r="138" spans="1:5" ht="15.75" thickBot="1" x14ac:dyDescent="0.3">
      <c r="A138" s="22"/>
      <c r="B138" s="23"/>
      <c r="C138" s="23"/>
      <c r="D138" s="23"/>
      <c r="E138" s="23"/>
    </row>
    <row r="139" spans="1:5" ht="36.75" thickBot="1" x14ac:dyDescent="0.3">
      <c r="A139" s="1042" t="s">
        <v>82</v>
      </c>
      <c r="B139" s="24">
        <f>B119+B88+B62+B36</f>
        <v>73150</v>
      </c>
      <c r="C139" s="24">
        <f>C119+C88+C62+C36</f>
        <v>67300</v>
      </c>
      <c r="D139" s="24">
        <f>D119+D88+D62+D36</f>
        <v>70300</v>
      </c>
      <c r="E139" s="24">
        <f>E119+E88+E62+E36</f>
        <v>70300</v>
      </c>
    </row>
    <row r="140" spans="1:5" ht="24.75" thickBot="1" x14ac:dyDescent="0.3">
      <c r="A140" s="6" t="s">
        <v>83</v>
      </c>
      <c r="B140" s="24">
        <f>B142+B144+B146+B148+B150+B152+B154+B156+B158</f>
        <v>73150</v>
      </c>
      <c r="C140" s="24">
        <f>C142+C144+C146+C148+C150+C152+C154+C156+C158</f>
        <v>67300</v>
      </c>
      <c r="D140" s="24">
        <f>D142+D144+D146+D148+D150+D152+D154+D156+D158</f>
        <v>70300</v>
      </c>
      <c r="E140" s="24">
        <f>E142+E144+E146+E148+E150+E152+E154+E156+E158</f>
        <v>70300</v>
      </c>
    </row>
    <row r="141" spans="1:5" ht="24.75" thickBot="1" x14ac:dyDescent="0.3">
      <c r="A141" s="25" t="s">
        <v>84</v>
      </c>
      <c r="B141" s="27"/>
      <c r="C141" s="27">
        <f>C140/B140-1</f>
        <v>-7.9972658920027362E-2</v>
      </c>
      <c r="D141" s="27">
        <f>D140/C140-1</f>
        <v>4.457652303120363E-2</v>
      </c>
      <c r="E141" s="27">
        <f>E140/D140-1</f>
        <v>0</v>
      </c>
    </row>
    <row r="142" spans="1:5" ht="15.75" thickBot="1" x14ac:dyDescent="0.3">
      <c r="A142" s="13" t="s">
        <v>26</v>
      </c>
      <c r="B142" s="14">
        <f>B96+B44+B129</f>
        <v>28350</v>
      </c>
      <c r="C142" s="14">
        <f>C96+C44+C129</f>
        <v>28350</v>
      </c>
      <c r="D142" s="14">
        <f>D96+D44+D129</f>
        <v>28350</v>
      </c>
      <c r="E142" s="14">
        <f>E96+E44+E129</f>
        <v>28350</v>
      </c>
    </row>
    <row r="143" spans="1:5" ht="15.75" thickBot="1" x14ac:dyDescent="0.3">
      <c r="A143" s="28" t="s">
        <v>85</v>
      </c>
      <c r="B143" s="15"/>
      <c r="C143" s="29">
        <f>C142/B142-1</f>
        <v>0</v>
      </c>
      <c r="D143" s="29">
        <f>D142/C142-1</f>
        <v>0</v>
      </c>
      <c r="E143" s="29">
        <f>E142/D142-1</f>
        <v>0</v>
      </c>
    </row>
    <row r="144" spans="1:5" ht="24.75" thickBot="1" x14ac:dyDescent="0.3">
      <c r="A144" s="13" t="s">
        <v>28</v>
      </c>
      <c r="B144" s="14">
        <f>B97+B45+B130</f>
        <v>4600</v>
      </c>
      <c r="C144" s="14">
        <f>C97+C45+C130</f>
        <v>4600</v>
      </c>
      <c r="D144" s="14">
        <f>D97+D45+D130</f>
        <v>4600</v>
      </c>
      <c r="E144" s="14">
        <f>E97+E45+E130</f>
        <v>4600</v>
      </c>
    </row>
    <row r="145" spans="1:5" ht="24.75" thickBot="1" x14ac:dyDescent="0.3">
      <c r="A145" s="28" t="s">
        <v>86</v>
      </c>
      <c r="B145" s="15"/>
      <c r="C145" s="29">
        <f>C144/B144-1</f>
        <v>0</v>
      </c>
      <c r="D145" s="29">
        <f>D144/C144-1</f>
        <v>0</v>
      </c>
      <c r="E145" s="29">
        <f>E144/D144-1</f>
        <v>0</v>
      </c>
    </row>
    <row r="146" spans="1:5" ht="15.75" thickBot="1" x14ac:dyDescent="0.3">
      <c r="A146" s="13" t="s">
        <v>30</v>
      </c>
      <c r="B146" s="14">
        <f>B98+B46+B131</f>
        <v>34200</v>
      </c>
      <c r="C146" s="14">
        <f>C98+C46+C131</f>
        <v>34350</v>
      </c>
      <c r="D146" s="14">
        <f>D98+D46+D131</f>
        <v>34350</v>
      </c>
      <c r="E146" s="14">
        <f>E98+E46+E131</f>
        <v>34350</v>
      </c>
    </row>
    <row r="147" spans="1:5" ht="24.75" thickBot="1" x14ac:dyDescent="0.3">
      <c r="A147" s="28" t="s">
        <v>87</v>
      </c>
      <c r="B147" s="15"/>
      <c r="C147" s="29">
        <f>C146/B146-1</f>
        <v>4.3859649122806044E-3</v>
      </c>
      <c r="D147" s="29">
        <f>D146/C146-1</f>
        <v>0</v>
      </c>
      <c r="E147" s="29">
        <f>E146/D146-1</f>
        <v>0</v>
      </c>
    </row>
    <row r="148" spans="1:5" ht="15.75" thickBot="1" x14ac:dyDescent="0.3">
      <c r="A148" s="13" t="s">
        <v>32</v>
      </c>
      <c r="B148" s="14">
        <f>B99+B47</f>
        <v>0</v>
      </c>
      <c r="C148" s="14">
        <f>C99+C47</f>
        <v>0</v>
      </c>
      <c r="D148" s="14">
        <f>D99+D47</f>
        <v>0</v>
      </c>
      <c r="E148" s="14">
        <f>E99+E47</f>
        <v>0</v>
      </c>
    </row>
    <row r="149" spans="1:5" ht="15.75" thickBot="1" x14ac:dyDescent="0.3">
      <c r="A149" s="28" t="s">
        <v>88</v>
      </c>
      <c r="B149" s="15"/>
      <c r="C149" s="29" t="e">
        <f>C148/B148-1</f>
        <v>#DIV/0!</v>
      </c>
      <c r="D149" s="29" t="e">
        <f>D148/C148-1</f>
        <v>#DIV/0!</v>
      </c>
      <c r="E149" s="29" t="e">
        <f>E148/D148-1</f>
        <v>#DIV/0!</v>
      </c>
    </row>
    <row r="150" spans="1:5" ht="15.75" thickBot="1" x14ac:dyDescent="0.3">
      <c r="A150" s="13" t="s">
        <v>34</v>
      </c>
      <c r="B150" s="14">
        <f>B100+B48</f>
        <v>0</v>
      </c>
      <c r="C150" s="14">
        <f>C100+C48</f>
        <v>0</v>
      </c>
      <c r="D150" s="14">
        <f>D100+D48</f>
        <v>0</v>
      </c>
      <c r="E150" s="14">
        <f>E100+E48</f>
        <v>0</v>
      </c>
    </row>
    <row r="151" spans="1:5" ht="24.75" thickBot="1" x14ac:dyDescent="0.3">
      <c r="A151" s="28" t="s">
        <v>89</v>
      </c>
      <c r="B151" s="15"/>
      <c r="C151" s="29" t="e">
        <f>C150/B150-1</f>
        <v>#DIV/0!</v>
      </c>
      <c r="D151" s="29" t="e">
        <f>D150/C150-1</f>
        <v>#DIV/0!</v>
      </c>
      <c r="E151" s="29" t="e">
        <f>E150/D150-1</f>
        <v>#DIV/0!</v>
      </c>
    </row>
    <row r="152" spans="1:5" ht="15.75" thickBot="1" x14ac:dyDescent="0.3">
      <c r="A152" s="13" t="s">
        <v>36</v>
      </c>
      <c r="B152" s="14">
        <f>B101+B49</f>
        <v>0</v>
      </c>
      <c r="C152" s="14">
        <f>C101+C49</f>
        <v>0</v>
      </c>
      <c r="D152" s="14">
        <f>D101+D49</f>
        <v>0</v>
      </c>
      <c r="E152" s="14">
        <f>E101+E49</f>
        <v>0</v>
      </c>
    </row>
    <row r="153" spans="1:5" ht="24.75" thickBot="1" x14ac:dyDescent="0.3">
      <c r="A153" s="28" t="s">
        <v>90</v>
      </c>
      <c r="B153" s="15"/>
      <c r="C153" s="29" t="e">
        <f>C152/B152-1</f>
        <v>#DIV/0!</v>
      </c>
      <c r="D153" s="29" t="e">
        <f>D152/C152-1</f>
        <v>#DIV/0!</v>
      </c>
      <c r="E153" s="29" t="e">
        <f>E152/D152-1</f>
        <v>#DIV/0!</v>
      </c>
    </row>
    <row r="154" spans="1:5" ht="24.75" thickBot="1" x14ac:dyDescent="0.3">
      <c r="A154" s="13" t="s">
        <v>38</v>
      </c>
      <c r="B154" s="14">
        <f>B102+B50</f>
        <v>0</v>
      </c>
      <c r="C154" s="14">
        <f>C102+C50</f>
        <v>0</v>
      </c>
      <c r="D154" s="14">
        <f>D102+D50</f>
        <v>0</v>
      </c>
      <c r="E154" s="14">
        <f>E102+E50</f>
        <v>0</v>
      </c>
    </row>
    <row r="155" spans="1:5" ht="24.75" thickBot="1" x14ac:dyDescent="0.3">
      <c r="A155" s="28" t="s">
        <v>91</v>
      </c>
      <c r="B155" s="15"/>
      <c r="C155" s="29" t="e">
        <f>C154/B154-1</f>
        <v>#DIV/0!</v>
      </c>
      <c r="D155" s="29" t="e">
        <f>D154/C154-1</f>
        <v>#DIV/0!</v>
      </c>
      <c r="E155" s="29" t="e">
        <f>E154/D154-1</f>
        <v>#DIV/0!</v>
      </c>
    </row>
    <row r="156" spans="1:5" ht="15.75" thickBot="1" x14ac:dyDescent="0.3">
      <c r="A156" s="13" t="s">
        <v>92</v>
      </c>
      <c r="B156" s="14">
        <f>B70</f>
        <v>0</v>
      </c>
      <c r="C156" s="14">
        <f>C70</f>
        <v>0</v>
      </c>
      <c r="D156" s="14">
        <f>D70</f>
        <v>0</v>
      </c>
      <c r="E156" s="14">
        <f>E70</f>
        <v>0</v>
      </c>
    </row>
    <row r="157" spans="1:5" ht="24.75" thickBot="1" x14ac:dyDescent="0.3">
      <c r="A157" s="28" t="s">
        <v>93</v>
      </c>
      <c r="B157" s="15"/>
      <c r="C157" s="29" t="e">
        <f>C156/B156-1</f>
        <v>#DIV/0!</v>
      </c>
      <c r="D157" s="29" t="e">
        <f>D156/C156-1</f>
        <v>#DIV/0!</v>
      </c>
      <c r="E157" s="29" t="e">
        <f>E156/D156-1</f>
        <v>#DIV/0!</v>
      </c>
    </row>
    <row r="158" spans="1:5" ht="15.75" thickBot="1" x14ac:dyDescent="0.3">
      <c r="A158" s="13" t="s">
        <v>94</v>
      </c>
      <c r="B158" s="14">
        <f>B71</f>
        <v>6000</v>
      </c>
      <c r="C158" s="14">
        <f>C71</f>
        <v>0</v>
      </c>
      <c r="D158" s="14">
        <f>D71</f>
        <v>3000</v>
      </c>
      <c r="E158" s="14">
        <f>E71</f>
        <v>3000</v>
      </c>
    </row>
    <row r="159" spans="1:5" ht="24.75" thickBot="1" x14ac:dyDescent="0.3">
      <c r="A159" s="1041" t="s">
        <v>95</v>
      </c>
      <c r="B159" s="15"/>
      <c r="C159" s="29">
        <f>C158/B158-1</f>
        <v>-1</v>
      </c>
      <c r="D159" s="29" t="e">
        <f>D158/C158-1</f>
        <v>#DIV/0!</v>
      </c>
      <c r="E159" s="29">
        <f>E158/D158-1</f>
        <v>0</v>
      </c>
    </row>
    <row r="160" spans="1:5" ht="15.75" thickBot="1" x14ac:dyDescent="0.3">
      <c r="A160" s="1040" t="s">
        <v>41</v>
      </c>
      <c r="B160" s="18">
        <f>IF(B140-B139=0,0,"Error")</f>
        <v>0</v>
      </c>
      <c r="C160" s="18">
        <f>IF(C140-C139=0,0,"Error")</f>
        <v>0</v>
      </c>
      <c r="D160" s="18">
        <f>IF(D140-D139=0,0,"Error")</f>
        <v>0</v>
      </c>
      <c r="E160" s="18">
        <f>IF(E140-E139=0,0,"Error")</f>
        <v>0</v>
      </c>
    </row>
    <row r="161" spans="1:5" ht="24.75" thickBot="1" x14ac:dyDescent="0.3">
      <c r="A161" s="1039" t="s">
        <v>96</v>
      </c>
      <c r="B161" s="14">
        <v>29</v>
      </c>
      <c r="C161" s="14">
        <v>37</v>
      </c>
      <c r="D161" s="14">
        <v>37</v>
      </c>
      <c r="E161" s="14">
        <v>37</v>
      </c>
    </row>
    <row r="162" spans="1:5" ht="36.75" thickBot="1" x14ac:dyDescent="0.3">
      <c r="A162" s="30" t="s">
        <v>97</v>
      </c>
      <c r="B162" s="14">
        <v>16</v>
      </c>
      <c r="C162" s="14">
        <v>0</v>
      </c>
      <c r="D162" s="14">
        <v>0</v>
      </c>
      <c r="E162" s="14">
        <v>0</v>
      </c>
    </row>
  </sheetData>
  <mergeCells count="57">
    <mergeCell ref="B31:E31"/>
    <mergeCell ref="B32:E32"/>
    <mergeCell ref="A33:A34"/>
    <mergeCell ref="B58:E58"/>
    <mergeCell ref="A59:A60"/>
    <mergeCell ref="A53:E53"/>
    <mergeCell ref="B18:E18"/>
    <mergeCell ref="A19:A20"/>
    <mergeCell ref="B105:E105"/>
    <mergeCell ref="A106:E106"/>
    <mergeCell ref="A28:E28"/>
    <mergeCell ref="B24:E24"/>
    <mergeCell ref="A25:E25"/>
    <mergeCell ref="A42:A43"/>
    <mergeCell ref="A29:E29"/>
    <mergeCell ref="B30:E30"/>
    <mergeCell ref="A41:E41"/>
    <mergeCell ref="A54:E54"/>
    <mergeCell ref="B55:E55"/>
    <mergeCell ref="B56:E56"/>
    <mergeCell ref="B57:E57"/>
    <mergeCell ref="A67:E67"/>
    <mergeCell ref="B13:E13"/>
    <mergeCell ref="B14:E14"/>
    <mergeCell ref="B15:E15"/>
    <mergeCell ref="A16:E16"/>
    <mergeCell ref="A17:E17"/>
    <mergeCell ref="A94:A95"/>
    <mergeCell ref="B82:E82"/>
    <mergeCell ref="B83:E83"/>
    <mergeCell ref="A68:A69"/>
    <mergeCell ref="A73:A75"/>
    <mergeCell ref="B73:E75"/>
    <mergeCell ref="A81:E81"/>
    <mergeCell ref="A80:E80"/>
    <mergeCell ref="A11:E11"/>
    <mergeCell ref="A127:A128"/>
    <mergeCell ref="A109:E109"/>
    <mergeCell ref="A110:E110"/>
    <mergeCell ref="A111:A112"/>
    <mergeCell ref="B113:E113"/>
    <mergeCell ref="B114:E114"/>
    <mergeCell ref="B115:E115"/>
    <mergeCell ref="A116:A117"/>
    <mergeCell ref="A124:A125"/>
    <mergeCell ref="A126:E126"/>
    <mergeCell ref="B76:E76"/>
    <mergeCell ref="A77:E77"/>
    <mergeCell ref="B84:E84"/>
    <mergeCell ref="A85:A86"/>
    <mergeCell ref="A93:E93"/>
    <mergeCell ref="C10:E10"/>
    <mergeCell ref="B5:E5"/>
    <mergeCell ref="B6:E6"/>
    <mergeCell ref="B7:E7"/>
    <mergeCell ref="C8:E8"/>
    <mergeCell ref="C9:E9"/>
  </mergeCells>
  <printOptions horizontalCentered="1" verticalCentered="1"/>
  <pageMargins left="0.7" right="0.7" top="0.75" bottom="0.75" header="0.3" footer="0.3"/>
  <pageSetup scale="85" orientation="landscape" r:id="rId1"/>
  <rowBreaks count="2" manualBreakCount="2">
    <brk id="52" max="16383" man="1"/>
    <brk id="87" max="16383" man="1"/>
  </row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2:I241"/>
  <sheetViews>
    <sheetView view="pageBreakPreview" zoomScale="60" zoomScaleNormal="93" workbookViewId="0">
      <selection activeCell="X26" sqref="X26"/>
    </sheetView>
  </sheetViews>
  <sheetFormatPr defaultRowHeight="15" x14ac:dyDescent="0.25"/>
  <cols>
    <col min="1" max="1" width="33.85546875" customWidth="1"/>
    <col min="2" max="2" width="16" customWidth="1"/>
    <col min="3" max="4" width="11.7109375" customWidth="1"/>
    <col min="5" max="5" width="14.5703125" customWidth="1"/>
    <col min="6" max="6" width="11" customWidth="1"/>
    <col min="7" max="7" width="11" bestFit="1" customWidth="1"/>
  </cols>
  <sheetData>
    <row r="2" spans="1:5" x14ac:dyDescent="0.25">
      <c r="A2" s="189" t="s">
        <v>898</v>
      </c>
      <c r="B2" s="188"/>
      <c r="C2" s="188"/>
      <c r="D2" s="188"/>
    </row>
    <row r="4" spans="1:5" ht="15.75" thickBot="1" x14ac:dyDescent="0.3"/>
    <row r="5" spans="1:5" ht="48.75" customHeight="1" thickBot="1" x14ac:dyDescent="0.3">
      <c r="A5" s="168" t="s">
        <v>897</v>
      </c>
      <c r="B5" s="2270" t="s">
        <v>1436</v>
      </c>
      <c r="C5" s="2271"/>
      <c r="D5" s="2271"/>
      <c r="E5" s="2272"/>
    </row>
    <row r="6" spans="1:5" ht="32.25" thickBot="1" x14ac:dyDescent="0.3">
      <c r="A6" s="36" t="s">
        <v>895</v>
      </c>
      <c r="B6" s="1087" t="s">
        <v>730</v>
      </c>
      <c r="C6" s="1088"/>
      <c r="D6" s="1088"/>
      <c r="E6" s="1089"/>
    </row>
    <row r="7" spans="1:5" ht="76.5" customHeight="1" thickBot="1" x14ac:dyDescent="0.3">
      <c r="A7" s="36" t="s">
        <v>893</v>
      </c>
      <c r="B7" s="1265" t="s">
        <v>1435</v>
      </c>
      <c r="C7" s="1095"/>
      <c r="D7" s="1095"/>
      <c r="E7" s="1096"/>
    </row>
    <row r="8" spans="1:5" ht="32.25" customHeight="1" thickBot="1" x14ac:dyDescent="0.3">
      <c r="A8" s="36" t="s">
        <v>891</v>
      </c>
      <c r="B8" s="167" t="s">
        <v>912</v>
      </c>
      <c r="C8" s="1512" t="s">
        <v>7</v>
      </c>
      <c r="D8" s="1093"/>
      <c r="E8" s="1094"/>
    </row>
    <row r="9" spans="1:5" ht="32.25" customHeight="1" thickBot="1" x14ac:dyDescent="0.3">
      <c r="A9" s="36" t="s">
        <v>929</v>
      </c>
      <c r="B9" s="166">
        <v>1087026</v>
      </c>
      <c r="C9" s="1265" t="s">
        <v>342</v>
      </c>
      <c r="D9" s="1095"/>
      <c r="E9" s="1096"/>
    </row>
    <row r="11" spans="1:5" ht="18" customHeight="1" x14ac:dyDescent="0.25">
      <c r="A11" s="1558" t="s">
        <v>948</v>
      </c>
      <c r="B11" s="1558"/>
      <c r="C11" s="1558"/>
      <c r="D11" s="1558"/>
      <c r="E11" s="1558"/>
    </row>
    <row r="12" spans="1:5" ht="15.75" thickBot="1" x14ac:dyDescent="0.3"/>
    <row r="13" spans="1:5" ht="15.75" thickBot="1" x14ac:dyDescent="0.3">
      <c r="A13" s="2" t="s">
        <v>2</v>
      </c>
      <c r="B13" s="1263" t="s">
        <v>342</v>
      </c>
      <c r="C13" s="1263"/>
      <c r="D13" s="1263"/>
      <c r="E13" s="1263"/>
    </row>
    <row r="14" spans="1:5" ht="15.75" thickBot="1" x14ac:dyDescent="0.3">
      <c r="A14" s="2" t="s">
        <v>3</v>
      </c>
      <c r="B14" s="1087" t="s">
        <v>730</v>
      </c>
      <c r="C14" s="1088"/>
      <c r="D14" s="1088"/>
      <c r="E14" s="1089"/>
    </row>
    <row r="15" spans="1:5" ht="15.75" thickBot="1" x14ac:dyDescent="0.3">
      <c r="A15" s="2" t="s">
        <v>5</v>
      </c>
      <c r="B15" s="1265" t="s">
        <v>6</v>
      </c>
      <c r="C15" s="1095"/>
      <c r="D15" s="1095"/>
      <c r="E15" s="1096"/>
    </row>
    <row r="16" spans="1:5" ht="15.75" thickBot="1" x14ac:dyDescent="0.3">
      <c r="A16" s="1266" t="s">
        <v>7</v>
      </c>
      <c r="B16" s="1267"/>
      <c r="C16" s="1267"/>
      <c r="D16" s="1267"/>
      <c r="E16" s="1297"/>
    </row>
    <row r="17" spans="1:8" ht="20.25" customHeight="1" thickBot="1" x14ac:dyDescent="0.3">
      <c r="A17" s="1268" t="s">
        <v>731</v>
      </c>
      <c r="B17" s="1269"/>
      <c r="C17" s="1269"/>
      <c r="D17" s="1269"/>
      <c r="E17" s="1301"/>
    </row>
    <row r="18" spans="1:8" ht="18.75" customHeight="1" thickBot="1" x14ac:dyDescent="0.3">
      <c r="A18" s="1268"/>
      <c r="B18" s="1269"/>
      <c r="C18" s="1269"/>
      <c r="D18" s="1269"/>
      <c r="E18" s="1301"/>
    </row>
    <row r="19" spans="1:8" ht="24" customHeight="1" thickBot="1" x14ac:dyDescent="0.3">
      <c r="A19" s="1268"/>
      <c r="B19" s="1269"/>
      <c r="C19" s="1269"/>
      <c r="D19" s="1269"/>
      <c r="E19" s="1301"/>
    </row>
    <row r="20" spans="1:8" ht="78" customHeight="1" thickBot="1" x14ac:dyDescent="0.3">
      <c r="A20" s="3" t="s">
        <v>8</v>
      </c>
      <c r="B20" s="1885" t="s">
        <v>1434</v>
      </c>
      <c r="C20" s="1303"/>
      <c r="D20" s="1303"/>
      <c r="E20" s="1304"/>
    </row>
    <row r="21" spans="1:8" ht="20.25" customHeight="1" x14ac:dyDescent="0.25">
      <c r="A21" s="1250" t="s">
        <v>9</v>
      </c>
      <c r="B21" s="245">
        <v>2018</v>
      </c>
      <c r="C21" s="245">
        <v>2019</v>
      </c>
      <c r="D21" s="245">
        <v>2020</v>
      </c>
      <c r="E21" s="245">
        <v>2021</v>
      </c>
    </row>
    <row r="22" spans="1:8" ht="15.75" thickBot="1" x14ac:dyDescent="0.3">
      <c r="A22" s="1251"/>
      <c r="B22" s="244" t="s">
        <v>10</v>
      </c>
      <c r="C22" s="244" t="s">
        <v>11</v>
      </c>
      <c r="D22" s="244" t="s">
        <v>11</v>
      </c>
      <c r="E22" s="244" t="s">
        <v>11</v>
      </c>
    </row>
    <row r="23" spans="1:8" ht="57" thickBot="1" x14ac:dyDescent="0.3">
      <c r="A23" s="221" t="s">
        <v>1433</v>
      </c>
      <c r="B23" s="4">
        <v>0.67</v>
      </c>
      <c r="C23" s="4">
        <v>0.67</v>
      </c>
      <c r="D23" s="4">
        <v>0.72</v>
      </c>
      <c r="E23" s="4">
        <v>0.72</v>
      </c>
    </row>
    <row r="24" spans="1:8" ht="34.5" thickBot="1" x14ac:dyDescent="0.3">
      <c r="A24" s="5" t="s">
        <v>732</v>
      </c>
      <c r="B24" s="4">
        <v>0.67</v>
      </c>
      <c r="C24" s="4">
        <v>0.72</v>
      </c>
      <c r="D24" s="4">
        <v>0.77</v>
      </c>
      <c r="E24" s="4">
        <v>0.77</v>
      </c>
    </row>
    <row r="25" spans="1:8" ht="42.75" customHeight="1" thickBot="1" x14ac:dyDescent="0.3">
      <c r="A25" s="5" t="s">
        <v>1432</v>
      </c>
      <c r="B25" s="4">
        <v>0.7</v>
      </c>
      <c r="C25" s="4">
        <v>0.79</v>
      </c>
      <c r="D25" s="4">
        <v>0.85</v>
      </c>
      <c r="E25" s="4">
        <v>0.85</v>
      </c>
    </row>
    <row r="26" spans="1:8" ht="51" customHeight="1" thickBot="1" x14ac:dyDescent="0.3">
      <c r="A26" s="820" t="s">
        <v>1431</v>
      </c>
      <c r="B26" s="1272" t="s">
        <v>733</v>
      </c>
      <c r="C26" s="1270"/>
      <c r="D26" s="1270"/>
      <c r="E26" s="1305"/>
    </row>
    <row r="27" spans="1:8" ht="23.25" customHeight="1" thickBot="1" x14ac:dyDescent="0.3">
      <c r="A27" s="1245" t="s">
        <v>13</v>
      </c>
      <c r="B27" s="1246"/>
      <c r="C27" s="1246"/>
      <c r="D27" s="1246"/>
      <c r="E27" s="1298"/>
      <c r="F27" s="35"/>
      <c r="H27" s="35"/>
    </row>
    <row r="28" spans="1:8" ht="68.25" customHeight="1" thickBot="1" x14ac:dyDescent="0.3">
      <c r="A28" s="221" t="s">
        <v>1430</v>
      </c>
      <c r="B28" s="4">
        <v>0.67</v>
      </c>
      <c r="C28" s="4">
        <v>0.67</v>
      </c>
      <c r="D28" s="4">
        <v>0.72</v>
      </c>
      <c r="E28" s="4">
        <v>0.72</v>
      </c>
    </row>
    <row r="29" spans="1:8" ht="45.75" thickBot="1" x14ac:dyDescent="0.3">
      <c r="A29" s="5" t="s">
        <v>1429</v>
      </c>
      <c r="B29" s="4">
        <v>0.72</v>
      </c>
      <c r="C29" s="4">
        <v>0.72</v>
      </c>
      <c r="D29" s="4">
        <v>0.77</v>
      </c>
      <c r="E29" s="4">
        <v>0.77</v>
      </c>
    </row>
    <row r="30" spans="1:8" ht="15.75" thickBot="1" x14ac:dyDescent="0.3">
      <c r="A30" s="2273" t="s">
        <v>14</v>
      </c>
      <c r="B30" s="2274"/>
      <c r="C30" s="2274"/>
      <c r="D30" s="2274"/>
      <c r="E30" s="2275"/>
    </row>
    <row r="31" spans="1:8" ht="15.75" thickBot="1" x14ac:dyDescent="0.3">
      <c r="A31" s="1275" t="s">
        <v>15</v>
      </c>
      <c r="B31" s="1276"/>
      <c r="C31" s="1276"/>
      <c r="D31" s="1276"/>
      <c r="E31" s="1317"/>
    </row>
    <row r="32" spans="1:8" ht="15.75" thickBot="1" x14ac:dyDescent="0.3">
      <c r="A32" s="7" t="s">
        <v>16</v>
      </c>
      <c r="B32" s="1834" t="s">
        <v>1428</v>
      </c>
      <c r="C32" s="1835"/>
      <c r="D32" s="1835"/>
      <c r="E32" s="1836"/>
    </row>
    <row r="33" spans="1:9" ht="48.75" customHeight="1" thickBot="1" x14ac:dyDescent="0.3">
      <c r="A33" s="5" t="s">
        <v>17</v>
      </c>
      <c r="B33" s="1245" t="s">
        <v>735</v>
      </c>
      <c r="C33" s="1246"/>
      <c r="D33" s="1246"/>
      <c r="E33" s="1298"/>
    </row>
    <row r="34" spans="1:9" ht="15.75" thickBot="1" x14ac:dyDescent="0.3">
      <c r="A34" s="5" t="s">
        <v>18</v>
      </c>
      <c r="B34" s="1248" t="s">
        <v>1427</v>
      </c>
      <c r="C34" s="1249"/>
      <c r="D34" s="1249"/>
      <c r="E34" s="1316"/>
    </row>
    <row r="35" spans="1:9" ht="12.75" customHeight="1" x14ac:dyDescent="0.25">
      <c r="A35" s="1250"/>
      <c r="B35" s="8">
        <v>2018</v>
      </c>
      <c r="C35" s="8">
        <v>2019</v>
      </c>
      <c r="D35" s="8">
        <v>2020</v>
      </c>
      <c r="E35" s="8">
        <v>2021</v>
      </c>
    </row>
    <row r="36" spans="1:9" ht="12.75" customHeight="1" thickBot="1" x14ac:dyDescent="0.3">
      <c r="A36" s="1251"/>
      <c r="B36" s="9" t="s">
        <v>10</v>
      </c>
      <c r="C36" s="9" t="s">
        <v>11</v>
      </c>
      <c r="D36" s="9" t="s">
        <v>11</v>
      </c>
      <c r="E36" s="9" t="s">
        <v>11</v>
      </c>
    </row>
    <row r="37" spans="1:9" ht="15.75" thickBot="1" x14ac:dyDescent="0.3">
      <c r="A37" s="5" t="s">
        <v>19</v>
      </c>
      <c r="B37" s="10">
        <v>17</v>
      </c>
      <c r="C37" s="10">
        <v>17</v>
      </c>
      <c r="D37" s="10">
        <v>17</v>
      </c>
      <c r="E37" s="10">
        <v>17</v>
      </c>
    </row>
    <row r="38" spans="1:9" ht="15.75" thickBot="1" x14ac:dyDescent="0.3">
      <c r="A38" s="5" t="s">
        <v>20</v>
      </c>
      <c r="B38" s="10">
        <f>B46+B49+B52</f>
        <v>26556</v>
      </c>
      <c r="C38" s="10">
        <f>C46+C49+C52</f>
        <v>26556</v>
      </c>
      <c r="D38" s="10">
        <f>D46+D49+D52</f>
        <v>26556</v>
      </c>
      <c r="E38" s="10">
        <f>E46+E49+E52</f>
        <v>26556</v>
      </c>
    </row>
    <row r="39" spans="1:9" ht="15.75" thickBot="1" x14ac:dyDescent="0.3">
      <c r="A39" s="5" t="s">
        <v>21</v>
      </c>
      <c r="B39" s="10">
        <f>B38/B37</f>
        <v>1562.1176470588234</v>
      </c>
      <c r="C39" s="10">
        <f>C38/C37</f>
        <v>1562.1176470588234</v>
      </c>
      <c r="D39" s="10">
        <f>D38/D37</f>
        <v>1562.1176470588234</v>
      </c>
      <c r="E39" s="10">
        <f>E38/E37</f>
        <v>1562.1176470588234</v>
      </c>
    </row>
    <row r="40" spans="1:9" ht="15.75" thickBot="1" x14ac:dyDescent="0.3">
      <c r="A40" s="5" t="s">
        <v>22</v>
      </c>
      <c r="B40" s="225" t="s">
        <v>23</v>
      </c>
      <c r="C40" s="11">
        <f t="shared" ref="C40:E42" si="0">C37/B37-1</f>
        <v>0</v>
      </c>
      <c r="D40" s="11">
        <f t="shared" si="0"/>
        <v>0</v>
      </c>
      <c r="E40" s="11">
        <f t="shared" si="0"/>
        <v>0</v>
      </c>
      <c r="F40" s="12"/>
      <c r="G40" s="12"/>
      <c r="H40" s="12"/>
      <c r="I40" s="12"/>
    </row>
    <row r="41" spans="1:9" ht="15.75" thickBot="1" x14ac:dyDescent="0.3">
      <c r="A41" s="5" t="s">
        <v>24</v>
      </c>
      <c r="B41" s="225" t="s">
        <v>23</v>
      </c>
      <c r="C41" s="11">
        <f t="shared" si="0"/>
        <v>0</v>
      </c>
      <c r="D41" s="11">
        <f t="shared" si="0"/>
        <v>0</v>
      </c>
      <c r="E41" s="11">
        <f t="shared" si="0"/>
        <v>0</v>
      </c>
    </row>
    <row r="42" spans="1:9" ht="15.75" thickBot="1" x14ac:dyDescent="0.3">
      <c r="A42" s="5" t="s">
        <v>25</v>
      </c>
      <c r="B42" s="225" t="s">
        <v>23</v>
      </c>
      <c r="C42" s="11">
        <f t="shared" si="0"/>
        <v>0</v>
      </c>
      <c r="D42" s="11">
        <f t="shared" si="0"/>
        <v>0</v>
      </c>
      <c r="E42" s="11">
        <f t="shared" si="0"/>
        <v>0</v>
      </c>
    </row>
    <row r="43" spans="1:9" ht="15.75" thickBot="1" x14ac:dyDescent="0.3">
      <c r="A43" s="1252" t="s">
        <v>109</v>
      </c>
      <c r="B43" s="1253"/>
      <c r="C43" s="1253"/>
      <c r="D43" s="1253"/>
      <c r="E43" s="1300"/>
    </row>
    <row r="44" spans="1:9" ht="12.75" customHeight="1" x14ac:dyDescent="0.25">
      <c r="A44" s="1250"/>
      <c r="B44" s="8">
        <v>2018</v>
      </c>
      <c r="C44" s="8">
        <v>2019</v>
      </c>
      <c r="D44" s="8">
        <v>2020</v>
      </c>
      <c r="E44" s="8">
        <v>2021</v>
      </c>
    </row>
    <row r="45" spans="1:9" ht="12.75" customHeight="1" thickBot="1" x14ac:dyDescent="0.3">
      <c r="A45" s="1251"/>
      <c r="B45" s="9" t="s">
        <v>10</v>
      </c>
      <c r="C45" s="9" t="s">
        <v>11</v>
      </c>
      <c r="D45" s="9" t="s">
        <v>11</v>
      </c>
      <c r="E45" s="9" t="s">
        <v>11</v>
      </c>
    </row>
    <row r="46" spans="1:9" ht="15.75" thickBot="1" x14ac:dyDescent="0.3">
      <c r="A46" s="13" t="s">
        <v>26</v>
      </c>
      <c r="B46" s="14">
        <v>15577</v>
      </c>
      <c r="C46" s="14">
        <v>15577</v>
      </c>
      <c r="D46" s="14">
        <v>15577</v>
      </c>
      <c r="E46" s="14">
        <v>15577</v>
      </c>
    </row>
    <row r="47" spans="1:9" ht="24.75" thickBot="1" x14ac:dyDescent="0.3">
      <c r="A47" s="28" t="s">
        <v>27</v>
      </c>
      <c r="B47" s="11">
        <f>B46/B38</f>
        <v>0.58657177285735806</v>
      </c>
      <c r="C47" s="11">
        <f>C46/C38</f>
        <v>0.58657177285735806</v>
      </c>
      <c r="D47" s="11">
        <f>D46/D38</f>
        <v>0.58657177285735806</v>
      </c>
      <c r="E47" s="11">
        <f>E46/E38</f>
        <v>0.58657177285735806</v>
      </c>
    </row>
    <row r="48" spans="1:9" ht="24.75" thickBot="1" x14ac:dyDescent="0.3">
      <c r="A48" s="28" t="s">
        <v>1426</v>
      </c>
      <c r="B48" s="15"/>
      <c r="C48" s="29"/>
      <c r="D48" s="29"/>
      <c r="E48" s="29"/>
    </row>
    <row r="49" spans="1:5" ht="15.75" thickBot="1" x14ac:dyDescent="0.3">
      <c r="A49" s="13" t="s">
        <v>28</v>
      </c>
      <c r="B49" s="14">
        <v>2979</v>
      </c>
      <c r="C49" s="14">
        <v>2979</v>
      </c>
      <c r="D49" s="14">
        <v>2979</v>
      </c>
      <c r="E49" s="14">
        <v>2979</v>
      </c>
    </row>
    <row r="50" spans="1:5" ht="36.75" thickBot="1" x14ac:dyDescent="0.3">
      <c r="A50" s="28" t="s">
        <v>29</v>
      </c>
      <c r="B50" s="11">
        <f>B49/B38</f>
        <v>0.11217803886127428</v>
      </c>
      <c r="C50" s="11">
        <f>C49/C38</f>
        <v>0.11217803886127428</v>
      </c>
      <c r="D50" s="11">
        <f>D49/D38</f>
        <v>0.11217803886127428</v>
      </c>
      <c r="E50" s="11">
        <f>E49/E38</f>
        <v>0.11217803886127428</v>
      </c>
    </row>
    <row r="51" spans="1:5" ht="36.75" thickBot="1" x14ac:dyDescent="0.3">
      <c r="A51" s="28" t="s">
        <v>1425</v>
      </c>
      <c r="B51" s="15"/>
      <c r="C51" s="14"/>
      <c r="D51" s="14"/>
      <c r="E51" s="14"/>
    </row>
    <row r="52" spans="1:5" ht="15.75" thickBot="1" x14ac:dyDescent="0.3">
      <c r="A52" s="13" t="s">
        <v>30</v>
      </c>
      <c r="B52" s="15">
        <v>8000</v>
      </c>
      <c r="C52" s="15">
        <v>8000</v>
      </c>
      <c r="D52" s="15">
        <v>8000</v>
      </c>
      <c r="E52" s="15">
        <v>8000</v>
      </c>
    </row>
    <row r="53" spans="1:5" ht="24.75" thickBot="1" x14ac:dyDescent="0.3">
      <c r="A53" s="28" t="s">
        <v>31</v>
      </c>
      <c r="B53" s="11">
        <f>B52/B38</f>
        <v>0.30125018828136768</v>
      </c>
      <c r="C53" s="11">
        <f>C52/C38</f>
        <v>0.30125018828136768</v>
      </c>
      <c r="D53" s="11">
        <f>D52/D38</f>
        <v>0.30125018828136768</v>
      </c>
      <c r="E53" s="11">
        <f>E52/E38</f>
        <v>0.30125018828136768</v>
      </c>
    </row>
    <row r="54" spans="1:5" ht="24.75" thickBot="1" x14ac:dyDescent="0.3">
      <c r="A54" s="28" t="s">
        <v>1424</v>
      </c>
      <c r="B54" s="15">
        <v>0</v>
      </c>
      <c r="C54" s="14">
        <v>0</v>
      </c>
      <c r="D54" s="14">
        <v>0</v>
      </c>
      <c r="E54" s="14">
        <v>0</v>
      </c>
    </row>
    <row r="55" spans="1:5" ht="15.75" thickBot="1" x14ac:dyDescent="0.3">
      <c r="A55" s="13" t="s">
        <v>32</v>
      </c>
      <c r="B55" s="15">
        <v>0</v>
      </c>
      <c r="C55" s="14">
        <v>0</v>
      </c>
      <c r="D55" s="14">
        <v>0</v>
      </c>
      <c r="E55" s="14">
        <v>0</v>
      </c>
    </row>
    <row r="56" spans="1:5" ht="24.75" thickBot="1" x14ac:dyDescent="0.3">
      <c r="A56" s="28" t="s">
        <v>33</v>
      </c>
      <c r="B56" s="15">
        <v>0</v>
      </c>
      <c r="C56" s="14">
        <v>0</v>
      </c>
      <c r="D56" s="14">
        <v>0</v>
      </c>
      <c r="E56" s="14">
        <v>0</v>
      </c>
    </row>
    <row r="57" spans="1:5" ht="24.75" thickBot="1" x14ac:dyDescent="0.3">
      <c r="A57" s="28" t="s">
        <v>1423</v>
      </c>
      <c r="B57" s="15">
        <v>0</v>
      </c>
      <c r="C57" s="14">
        <v>0</v>
      </c>
      <c r="D57" s="14">
        <v>0</v>
      </c>
      <c r="E57" s="14">
        <v>0</v>
      </c>
    </row>
    <row r="58" spans="1:5" ht="15.75" thickBot="1" x14ac:dyDescent="0.3">
      <c r="A58" s="13" t="s">
        <v>34</v>
      </c>
      <c r="B58" s="15">
        <v>0</v>
      </c>
      <c r="C58" s="14">
        <v>0</v>
      </c>
      <c r="D58" s="14">
        <v>0</v>
      </c>
      <c r="E58" s="14">
        <v>0</v>
      </c>
    </row>
    <row r="59" spans="1:5" ht="24.75" thickBot="1" x14ac:dyDescent="0.3">
      <c r="A59" s="28" t="s">
        <v>35</v>
      </c>
      <c r="B59" s="15">
        <v>0</v>
      </c>
      <c r="C59" s="14">
        <v>0</v>
      </c>
      <c r="D59" s="14">
        <v>0</v>
      </c>
      <c r="E59" s="14">
        <v>0</v>
      </c>
    </row>
    <row r="60" spans="1:5" ht="24.75" thickBot="1" x14ac:dyDescent="0.3">
      <c r="A60" s="28" t="s">
        <v>1422</v>
      </c>
      <c r="B60" s="15">
        <v>0</v>
      </c>
      <c r="C60" s="14">
        <v>0</v>
      </c>
      <c r="D60" s="14">
        <v>0</v>
      </c>
      <c r="E60" s="14">
        <v>0</v>
      </c>
    </row>
    <row r="61" spans="1:5" ht="15.75" thickBot="1" x14ac:dyDescent="0.3">
      <c r="A61" s="13" t="s">
        <v>36</v>
      </c>
      <c r="B61" s="15">
        <v>0</v>
      </c>
      <c r="C61" s="14">
        <v>0</v>
      </c>
      <c r="D61" s="14">
        <v>0</v>
      </c>
      <c r="E61" s="14">
        <v>0</v>
      </c>
    </row>
    <row r="62" spans="1:5" ht="24.75" thickBot="1" x14ac:dyDescent="0.3">
      <c r="A62" s="28" t="s">
        <v>37</v>
      </c>
      <c r="B62" s="15">
        <v>0</v>
      </c>
      <c r="C62" s="14">
        <v>0</v>
      </c>
      <c r="D62" s="14">
        <v>0</v>
      </c>
      <c r="E62" s="14">
        <v>0</v>
      </c>
    </row>
    <row r="63" spans="1:5" ht="24.75" thickBot="1" x14ac:dyDescent="0.3">
      <c r="A63" s="28" t="s">
        <v>1421</v>
      </c>
      <c r="B63" s="15">
        <v>0</v>
      </c>
      <c r="C63" s="14">
        <v>0</v>
      </c>
      <c r="D63" s="14">
        <v>0</v>
      </c>
      <c r="E63" s="14">
        <v>0</v>
      </c>
    </row>
    <row r="64" spans="1:5" ht="15.75" thickBot="1" x14ac:dyDescent="0.3">
      <c r="A64" s="13" t="s">
        <v>38</v>
      </c>
      <c r="B64" s="15">
        <v>0</v>
      </c>
      <c r="C64" s="14">
        <v>0</v>
      </c>
      <c r="D64" s="14">
        <v>0</v>
      </c>
      <c r="E64" s="14">
        <v>0</v>
      </c>
    </row>
    <row r="65" spans="1:5" ht="36.75" thickBot="1" x14ac:dyDescent="0.3">
      <c r="A65" s="28" t="s">
        <v>39</v>
      </c>
      <c r="B65" s="15">
        <v>0</v>
      </c>
      <c r="C65" s="14">
        <v>0</v>
      </c>
      <c r="D65" s="14">
        <v>0</v>
      </c>
      <c r="E65" s="14">
        <v>0</v>
      </c>
    </row>
    <row r="66" spans="1:5" ht="36.75" thickBot="1" x14ac:dyDescent="0.3">
      <c r="A66" s="28" t="s">
        <v>1420</v>
      </c>
      <c r="B66" s="15">
        <v>0</v>
      </c>
      <c r="C66" s="14">
        <v>0</v>
      </c>
      <c r="D66" s="14">
        <v>0</v>
      </c>
      <c r="E66" s="14">
        <v>0</v>
      </c>
    </row>
    <row r="67" spans="1:5" ht="15.75" thickBot="1" x14ac:dyDescent="0.3">
      <c r="A67" s="16" t="s">
        <v>40</v>
      </c>
      <c r="B67" s="15">
        <f>B64+B61+B58+B55+B52+B49+B46</f>
        <v>26556</v>
      </c>
      <c r="C67" s="15">
        <f>C64+C61+C58+C55+C52+C49+C46</f>
        <v>26556</v>
      </c>
      <c r="D67" s="15">
        <f>D64+D61+D58+D55+D52+D49+D46</f>
        <v>26556</v>
      </c>
      <c r="E67" s="15">
        <f>E64+E61+E58+E55+E52+E49+E46</f>
        <v>26556</v>
      </c>
    </row>
    <row r="68" spans="1:5" x14ac:dyDescent="0.25">
      <c r="A68" s="1254" t="s">
        <v>1419</v>
      </c>
      <c r="B68" s="1322"/>
      <c r="C68" s="1289"/>
      <c r="D68" s="1289"/>
      <c r="E68" s="1290"/>
    </row>
    <row r="69" spans="1:5" x14ac:dyDescent="0.25">
      <c r="A69" s="1255"/>
      <c r="B69" s="1291"/>
      <c r="C69" s="1292"/>
      <c r="D69" s="1292"/>
      <c r="E69" s="1293"/>
    </row>
    <row r="70" spans="1:5" ht="15.75" thickBot="1" x14ac:dyDescent="0.3">
      <c r="A70" s="1256"/>
      <c r="B70" s="1294"/>
      <c r="C70" s="1295"/>
      <c r="D70" s="1295"/>
      <c r="E70" s="1296"/>
    </row>
    <row r="71" spans="1:5" ht="15.75" thickBot="1" x14ac:dyDescent="0.3">
      <c r="A71" s="17" t="s">
        <v>41</v>
      </c>
      <c r="B71" s="18">
        <f>IF(B67-B38=0,0,"Error")</f>
        <v>0</v>
      </c>
      <c r="C71" s="18">
        <f>IF(C67-C38=0,0,"Error")</f>
        <v>0</v>
      </c>
      <c r="D71" s="18">
        <f>IF(D67-D38=0,0,"Error")</f>
        <v>0</v>
      </c>
      <c r="E71" s="18">
        <f>IF(E67-E38=0,0,"Error")</f>
        <v>0</v>
      </c>
    </row>
    <row r="72" spans="1:5" ht="15.75" thickBot="1" x14ac:dyDescent="0.3">
      <c r="A72" s="2267" t="s">
        <v>55</v>
      </c>
      <c r="B72" s="2268"/>
      <c r="C72" s="2268"/>
      <c r="D72" s="2268"/>
      <c r="E72" s="2269"/>
    </row>
    <row r="73" spans="1:5" ht="15.75" thickBot="1" x14ac:dyDescent="0.3">
      <c r="A73" s="1275" t="s">
        <v>56</v>
      </c>
      <c r="B73" s="1276"/>
      <c r="C73" s="1276"/>
      <c r="D73" s="1276"/>
      <c r="E73" s="1317"/>
    </row>
    <row r="74" spans="1:5" ht="15.75" thickBot="1" x14ac:dyDescent="0.3">
      <c r="A74" s="20" t="s">
        <v>79</v>
      </c>
      <c r="B74" s="1241" t="s">
        <v>736</v>
      </c>
      <c r="C74" s="1242"/>
      <c r="D74" s="1242"/>
      <c r="E74" s="1318"/>
    </row>
    <row r="75" spans="1:5" ht="15.75" thickBot="1" x14ac:dyDescent="0.3">
      <c r="A75" s="7" t="s">
        <v>16</v>
      </c>
      <c r="B75" s="1243" t="s">
        <v>1414</v>
      </c>
      <c r="C75" s="1244"/>
      <c r="D75" s="1244"/>
      <c r="E75" s="1315"/>
    </row>
    <row r="76" spans="1:5" ht="39.75" customHeight="1" thickBot="1" x14ac:dyDescent="0.3">
      <c r="A76" s="5" t="s">
        <v>17</v>
      </c>
      <c r="B76" s="1245" t="s">
        <v>735</v>
      </c>
      <c r="C76" s="1246"/>
      <c r="D76" s="1246"/>
      <c r="E76" s="1298"/>
    </row>
    <row r="77" spans="1:5" ht="15.75" thickBot="1" x14ac:dyDescent="0.3">
      <c r="A77" s="5" t="s">
        <v>18</v>
      </c>
      <c r="B77" s="1248" t="s">
        <v>1418</v>
      </c>
      <c r="C77" s="1249"/>
      <c r="D77" s="1249"/>
      <c r="E77" s="1316"/>
    </row>
    <row r="78" spans="1:5" ht="12.75" customHeight="1" x14ac:dyDescent="0.25">
      <c r="A78" s="1250"/>
      <c r="B78" s="8">
        <v>2018</v>
      </c>
      <c r="C78" s="8">
        <v>2019</v>
      </c>
      <c r="D78" s="8">
        <v>2020</v>
      </c>
      <c r="E78" s="8">
        <v>2021</v>
      </c>
    </row>
    <row r="79" spans="1:5" ht="13.5" customHeight="1" thickBot="1" x14ac:dyDescent="0.3">
      <c r="A79" s="1251"/>
      <c r="B79" s="9" t="s">
        <v>10</v>
      </c>
      <c r="C79" s="9" t="s">
        <v>11</v>
      </c>
      <c r="D79" s="9" t="s">
        <v>11</v>
      </c>
      <c r="E79" s="9" t="s">
        <v>11</v>
      </c>
    </row>
    <row r="80" spans="1:5" ht="15.75" thickBot="1" x14ac:dyDescent="0.3">
      <c r="A80" s="5" t="s">
        <v>19</v>
      </c>
      <c r="B80" s="10">
        <v>22</v>
      </c>
      <c r="C80" s="10">
        <v>17</v>
      </c>
      <c r="D80" s="10">
        <v>19</v>
      </c>
      <c r="E80" s="10">
        <v>19</v>
      </c>
    </row>
    <row r="81" spans="1:9" ht="15.75" thickBot="1" x14ac:dyDescent="0.3">
      <c r="A81" s="5" t="s">
        <v>20</v>
      </c>
      <c r="B81" s="10">
        <v>1630</v>
      </c>
      <c r="C81" s="10">
        <v>815</v>
      </c>
      <c r="D81" s="10">
        <v>725</v>
      </c>
      <c r="E81" s="10">
        <v>725</v>
      </c>
    </row>
    <row r="82" spans="1:9" ht="15.75" thickBot="1" x14ac:dyDescent="0.3">
      <c r="A82" s="5" t="s">
        <v>21</v>
      </c>
      <c r="B82" s="10">
        <f>B81/B80</f>
        <v>74.090909090909093</v>
      </c>
      <c r="C82" s="10">
        <f>C81/C80</f>
        <v>47.941176470588232</v>
      </c>
      <c r="D82" s="10">
        <f>D81/D80</f>
        <v>38.157894736842103</v>
      </c>
      <c r="E82" s="10">
        <f>E81/E80</f>
        <v>38.157894736842103</v>
      </c>
    </row>
    <row r="83" spans="1:9" ht="15.75" thickBot="1" x14ac:dyDescent="0.3">
      <c r="A83" s="5" t="s">
        <v>22</v>
      </c>
      <c r="B83" s="225" t="s">
        <v>23</v>
      </c>
      <c r="C83" s="11">
        <f>C80/B80-1</f>
        <v>-0.22727272727272729</v>
      </c>
      <c r="D83" s="11">
        <f>D80/C80-1</f>
        <v>0.11764705882352944</v>
      </c>
      <c r="E83" s="11">
        <f>E80/D80-1</f>
        <v>0</v>
      </c>
      <c r="F83" s="12"/>
      <c r="G83" s="12"/>
      <c r="H83" s="12"/>
      <c r="I83" s="12"/>
    </row>
    <row r="84" spans="1:9" ht="15.75" thickBot="1" x14ac:dyDescent="0.3">
      <c r="A84" s="5" t="s">
        <v>24</v>
      </c>
      <c r="B84" s="225" t="s">
        <v>23</v>
      </c>
      <c r="C84" s="225" t="s">
        <v>23</v>
      </c>
      <c r="D84" s="11">
        <f>D81/C81-1</f>
        <v>-0.11042944785276076</v>
      </c>
      <c r="E84" s="11">
        <f>E81/D81-1</f>
        <v>0</v>
      </c>
    </row>
    <row r="85" spans="1:9" ht="15.75" thickBot="1" x14ac:dyDescent="0.3">
      <c r="A85" s="5" t="s">
        <v>25</v>
      </c>
      <c r="B85" s="225" t="s">
        <v>23</v>
      </c>
      <c r="C85" s="225" t="s">
        <v>23</v>
      </c>
      <c r="D85" s="11">
        <f>D82/C82-1</f>
        <v>-0.20406845334194379</v>
      </c>
      <c r="E85" s="11">
        <f>E82/D82-1</f>
        <v>0</v>
      </c>
    </row>
    <row r="86" spans="1:9" ht="15.75" thickBot="1" x14ac:dyDescent="0.3">
      <c r="A86" s="1252" t="s">
        <v>109</v>
      </c>
      <c r="B86" s="1253"/>
      <c r="C86" s="1253"/>
      <c r="D86" s="1253"/>
      <c r="E86" s="1300"/>
    </row>
    <row r="87" spans="1:9" ht="12.75" customHeight="1" x14ac:dyDescent="0.25">
      <c r="A87" s="1250"/>
      <c r="B87" s="8">
        <v>2018</v>
      </c>
      <c r="C87" s="8">
        <v>2019</v>
      </c>
      <c r="D87" s="8">
        <v>2020</v>
      </c>
      <c r="E87" s="8">
        <v>2021</v>
      </c>
    </row>
    <row r="88" spans="1:9" ht="12" customHeight="1" thickBot="1" x14ac:dyDescent="0.3">
      <c r="A88" s="1251"/>
      <c r="B88" s="9" t="s">
        <v>10</v>
      </c>
      <c r="C88" s="9" t="s">
        <v>11</v>
      </c>
      <c r="D88" s="9" t="s">
        <v>11</v>
      </c>
      <c r="E88" s="9" t="s">
        <v>11</v>
      </c>
    </row>
    <row r="89" spans="1:9" ht="15.75" thickBot="1" x14ac:dyDescent="0.3">
      <c r="A89" s="13" t="s">
        <v>58</v>
      </c>
      <c r="B89" s="14"/>
      <c r="C89" s="14"/>
      <c r="D89" s="14"/>
      <c r="E89" s="14"/>
    </row>
    <row r="90" spans="1:9" ht="15.75" thickBot="1" x14ac:dyDescent="0.3">
      <c r="A90" s="13" t="s">
        <v>59</v>
      </c>
      <c r="B90" s="15">
        <f>B81</f>
        <v>1630</v>
      </c>
      <c r="C90" s="14">
        <v>815</v>
      </c>
      <c r="D90" s="10">
        <v>725</v>
      </c>
      <c r="E90" s="10">
        <v>725</v>
      </c>
    </row>
    <row r="91" spans="1:9" ht="15.75" thickBot="1" x14ac:dyDescent="0.3">
      <c r="A91" s="16" t="s">
        <v>40</v>
      </c>
      <c r="B91" s="15">
        <f>B90+B89</f>
        <v>1630</v>
      </c>
      <c r="C91" s="15">
        <f>C90+C89</f>
        <v>815</v>
      </c>
      <c r="D91" s="15">
        <f>D90+D89</f>
        <v>725</v>
      </c>
      <c r="E91" s="15">
        <f>E90+E89</f>
        <v>725</v>
      </c>
    </row>
    <row r="92" spans="1:9" x14ac:dyDescent="0.25">
      <c r="A92" s="1254" t="s">
        <v>60</v>
      </c>
      <c r="B92" s="1322"/>
      <c r="C92" s="1289"/>
      <c r="D92" s="1289"/>
      <c r="E92" s="1290"/>
    </row>
    <row r="93" spans="1:9" x14ac:dyDescent="0.25">
      <c r="A93" s="1255"/>
      <c r="B93" s="1291"/>
      <c r="C93" s="1292"/>
      <c r="D93" s="1292"/>
      <c r="E93" s="1293"/>
    </row>
    <row r="94" spans="1:9" ht="15.75" thickBot="1" x14ac:dyDescent="0.3">
      <c r="A94" s="1256"/>
      <c r="B94" s="1294"/>
      <c r="C94" s="1295"/>
      <c r="D94" s="1295"/>
      <c r="E94" s="1296"/>
    </row>
    <row r="95" spans="1:9" ht="15.75" thickBot="1" x14ac:dyDescent="0.3">
      <c r="A95" s="1275" t="s">
        <v>63</v>
      </c>
      <c r="B95" s="1276"/>
      <c r="C95" s="1276"/>
      <c r="D95" s="1276"/>
      <c r="E95" s="1317"/>
    </row>
    <row r="96" spans="1:9" ht="15.75" thickBot="1" x14ac:dyDescent="0.3">
      <c r="A96" s="1275" t="s">
        <v>64</v>
      </c>
      <c r="B96" s="1276"/>
      <c r="C96" s="1276"/>
      <c r="D96" s="1276"/>
      <c r="E96" s="1317"/>
    </row>
    <row r="97" spans="1:9" ht="15.75" thickBot="1" x14ac:dyDescent="0.3">
      <c r="A97" s="20" t="s">
        <v>61</v>
      </c>
      <c r="B97" s="1241" t="s">
        <v>124</v>
      </c>
      <c r="C97" s="1242"/>
      <c r="D97" s="1242"/>
      <c r="E97" s="1318"/>
    </row>
    <row r="98" spans="1:9" ht="15.75" thickBot="1" x14ac:dyDescent="0.3">
      <c r="A98" s="7" t="s">
        <v>16</v>
      </c>
      <c r="B98" s="1243" t="s">
        <v>106</v>
      </c>
      <c r="C98" s="1244"/>
      <c r="D98" s="1244"/>
      <c r="E98" s="1315"/>
    </row>
    <row r="99" spans="1:9" ht="17.25" customHeight="1" thickBot="1" x14ac:dyDescent="0.3">
      <c r="A99" s="5" t="s">
        <v>17</v>
      </c>
      <c r="B99" s="1245" t="s">
        <v>106</v>
      </c>
      <c r="C99" s="1246"/>
      <c r="D99" s="1246"/>
      <c r="E99" s="1298"/>
    </row>
    <row r="100" spans="1:9" ht="15.75" thickBot="1" x14ac:dyDescent="0.3">
      <c r="A100" s="5" t="s">
        <v>18</v>
      </c>
      <c r="B100" s="1248" t="s">
        <v>106</v>
      </c>
      <c r="C100" s="1249"/>
      <c r="D100" s="1249"/>
      <c r="E100" s="1316"/>
    </row>
    <row r="101" spans="1:9" ht="12.75" customHeight="1" x14ac:dyDescent="0.25">
      <c r="A101" s="1250"/>
      <c r="B101" s="8">
        <v>2018</v>
      </c>
      <c r="C101" s="8">
        <v>2019</v>
      </c>
      <c r="D101" s="8">
        <v>2020</v>
      </c>
      <c r="E101" s="8">
        <v>2021</v>
      </c>
    </row>
    <row r="102" spans="1:9" ht="15.75" customHeight="1" thickBot="1" x14ac:dyDescent="0.3">
      <c r="A102" s="1251"/>
      <c r="B102" s="9" t="s">
        <v>10</v>
      </c>
      <c r="C102" s="9" t="s">
        <v>11</v>
      </c>
      <c r="D102" s="9" t="s">
        <v>11</v>
      </c>
      <c r="E102" s="9" t="s">
        <v>11</v>
      </c>
    </row>
    <row r="103" spans="1:9" ht="15.75" thickBot="1" x14ac:dyDescent="0.3">
      <c r="A103" s="5" t="s">
        <v>19</v>
      </c>
      <c r="B103" s="10">
        <v>0</v>
      </c>
      <c r="C103" s="10">
        <v>0</v>
      </c>
      <c r="D103" s="10">
        <v>0</v>
      </c>
      <c r="E103" s="10">
        <v>0</v>
      </c>
    </row>
    <row r="104" spans="1:9" ht="15.75" thickBot="1" x14ac:dyDescent="0.3">
      <c r="A104" s="5" t="s">
        <v>20</v>
      </c>
      <c r="B104" s="10">
        <v>0</v>
      </c>
      <c r="C104" s="10">
        <v>0</v>
      </c>
      <c r="D104" s="10">
        <v>0</v>
      </c>
      <c r="E104" s="10">
        <v>0</v>
      </c>
    </row>
    <row r="105" spans="1:9" ht="15.75" thickBot="1" x14ac:dyDescent="0.3">
      <c r="A105" s="5" t="s">
        <v>21</v>
      </c>
      <c r="B105" s="10">
        <v>0</v>
      </c>
      <c r="C105" s="10">
        <v>0</v>
      </c>
      <c r="D105" s="10">
        <v>0</v>
      </c>
      <c r="E105" s="10">
        <v>0</v>
      </c>
    </row>
    <row r="106" spans="1:9" ht="15.75" thickBot="1" x14ac:dyDescent="0.3">
      <c r="A106" s="5" t="s">
        <v>22</v>
      </c>
      <c r="B106" s="10">
        <v>0</v>
      </c>
      <c r="C106" s="10">
        <v>0</v>
      </c>
      <c r="D106" s="10">
        <v>0</v>
      </c>
      <c r="E106" s="10">
        <v>0</v>
      </c>
      <c r="F106" s="12"/>
      <c r="G106" s="12"/>
      <c r="H106" s="12"/>
      <c r="I106" s="12"/>
    </row>
    <row r="107" spans="1:9" ht="15.75" thickBot="1" x14ac:dyDescent="0.3">
      <c r="A107" s="5" t="s">
        <v>24</v>
      </c>
      <c r="B107" s="10">
        <v>0</v>
      </c>
      <c r="C107" s="10">
        <v>0</v>
      </c>
      <c r="D107" s="10">
        <v>0</v>
      </c>
      <c r="E107" s="10">
        <v>0</v>
      </c>
    </row>
    <row r="108" spans="1:9" ht="15.75" thickBot="1" x14ac:dyDescent="0.3">
      <c r="A108" s="5" t="s">
        <v>25</v>
      </c>
      <c r="B108" s="10">
        <v>0</v>
      </c>
      <c r="C108" s="10">
        <v>0</v>
      </c>
      <c r="D108" s="10">
        <v>0</v>
      </c>
      <c r="E108" s="10">
        <v>0</v>
      </c>
    </row>
    <row r="109" spans="1:9" ht="15.75" thickBot="1" x14ac:dyDescent="0.3">
      <c r="A109" s="1252" t="s">
        <v>109</v>
      </c>
      <c r="B109" s="1253"/>
      <c r="C109" s="1253"/>
      <c r="D109" s="1253"/>
      <c r="E109" s="1300"/>
    </row>
    <row r="110" spans="1:9" ht="12.75" customHeight="1" x14ac:dyDescent="0.25">
      <c r="A110" s="1250"/>
      <c r="B110" s="8">
        <v>2018</v>
      </c>
      <c r="C110" s="8">
        <v>2019</v>
      </c>
      <c r="D110" s="8">
        <v>2020</v>
      </c>
      <c r="E110" s="8">
        <v>2021</v>
      </c>
    </row>
    <row r="111" spans="1:9" ht="12.75" customHeight="1" thickBot="1" x14ac:dyDescent="0.3">
      <c r="A111" s="1251"/>
      <c r="B111" s="9" t="s">
        <v>10</v>
      </c>
      <c r="C111" s="9" t="s">
        <v>11</v>
      </c>
      <c r="D111" s="9" t="s">
        <v>11</v>
      </c>
      <c r="E111" s="9" t="s">
        <v>11</v>
      </c>
    </row>
    <row r="112" spans="1:9" ht="15.75" thickBot="1" x14ac:dyDescent="0.3">
      <c r="A112" s="13" t="s">
        <v>58</v>
      </c>
      <c r="B112" s="14">
        <v>0</v>
      </c>
      <c r="C112" s="14">
        <v>0</v>
      </c>
      <c r="D112" s="14">
        <v>0</v>
      </c>
      <c r="E112" s="14">
        <v>0</v>
      </c>
    </row>
    <row r="113" spans="1:5" ht="15.75" thickBot="1" x14ac:dyDescent="0.3">
      <c r="A113" s="13" t="s">
        <v>59</v>
      </c>
      <c r="B113" s="14">
        <v>0</v>
      </c>
      <c r="C113" s="14">
        <v>0</v>
      </c>
      <c r="D113" s="14">
        <v>0</v>
      </c>
      <c r="E113" s="14">
        <v>0</v>
      </c>
    </row>
    <row r="114" spans="1:5" ht="15.75" thickBot="1" x14ac:dyDescent="0.3">
      <c r="A114" s="16" t="s">
        <v>40</v>
      </c>
      <c r="B114" s="15">
        <f>B113+B112</f>
        <v>0</v>
      </c>
      <c r="C114" s="15">
        <f>C113+C112</f>
        <v>0</v>
      </c>
      <c r="D114" s="15">
        <f>D113+D112</f>
        <v>0</v>
      </c>
      <c r="E114" s="15">
        <f>E113+E112</f>
        <v>0</v>
      </c>
    </row>
    <row r="115" spans="1:5" x14ac:dyDescent="0.25">
      <c r="A115" s="1254" t="s">
        <v>60</v>
      </c>
      <c r="B115" s="1322"/>
      <c r="C115" s="1289"/>
      <c r="D115" s="1289"/>
      <c r="E115" s="1290"/>
    </row>
    <row r="116" spans="1:5" x14ac:dyDescent="0.25">
      <c r="A116" s="1255"/>
      <c r="B116" s="1291"/>
      <c r="C116" s="1292"/>
      <c r="D116" s="1292"/>
      <c r="E116" s="1293"/>
    </row>
    <row r="117" spans="1:5" ht="15.75" thickBot="1" x14ac:dyDescent="0.3">
      <c r="A117" s="1256"/>
      <c r="B117" s="1294"/>
      <c r="C117" s="1295"/>
      <c r="D117" s="1295"/>
      <c r="E117" s="1296"/>
    </row>
    <row r="118" spans="1:5" ht="54.75" customHeight="1" thickBot="1" x14ac:dyDescent="0.3">
      <c r="A118" s="6" t="s">
        <v>1417</v>
      </c>
      <c r="B118" s="1272" t="s">
        <v>737</v>
      </c>
      <c r="C118" s="1270"/>
      <c r="D118" s="1270"/>
      <c r="E118" s="1305"/>
    </row>
    <row r="119" spans="1:5" ht="15.75" customHeight="1" thickBot="1" x14ac:dyDescent="0.3">
      <c r="A119" s="1245" t="s">
        <v>68</v>
      </c>
      <c r="B119" s="1246"/>
      <c r="C119" s="1246"/>
      <c r="D119" s="1246"/>
      <c r="E119" s="1298"/>
    </row>
    <row r="120" spans="1:5" s="816" customFormat="1" ht="68.25" thickBot="1" x14ac:dyDescent="0.3">
      <c r="A120" s="819" t="s">
        <v>738</v>
      </c>
      <c r="B120" s="817">
        <v>0.96299999999999997</v>
      </c>
      <c r="C120" s="817">
        <v>0.96299999999999997</v>
      </c>
      <c r="D120" s="817">
        <v>0.96499999999999997</v>
      </c>
      <c r="E120" s="817">
        <v>0.96499999999999997</v>
      </c>
    </row>
    <row r="121" spans="1:5" s="816" customFormat="1" ht="45.75" thickBot="1" x14ac:dyDescent="0.3">
      <c r="A121" s="421" t="s">
        <v>734</v>
      </c>
      <c r="B121" s="818">
        <v>0.87</v>
      </c>
      <c r="C121" s="818">
        <v>0.87</v>
      </c>
      <c r="D121" s="817">
        <v>0.875</v>
      </c>
      <c r="E121" s="817">
        <v>0.875</v>
      </c>
    </row>
    <row r="122" spans="1:5" ht="23.25" customHeight="1" thickBot="1" x14ac:dyDescent="0.3">
      <c r="A122" s="1278" t="s">
        <v>69</v>
      </c>
      <c r="B122" s="1279"/>
      <c r="C122" s="1279"/>
      <c r="D122" s="1279"/>
      <c r="E122" s="1355"/>
    </row>
    <row r="123" spans="1:5" ht="23.25" customHeight="1" thickBot="1" x14ac:dyDescent="0.3">
      <c r="A123" s="1280" t="s">
        <v>70</v>
      </c>
      <c r="B123" s="1281"/>
      <c r="C123" s="1281"/>
      <c r="D123" s="1281"/>
      <c r="E123" s="1354"/>
    </row>
    <row r="124" spans="1:5" ht="12.75" customHeight="1" x14ac:dyDescent="0.25">
      <c r="A124" s="1250"/>
      <c r="B124" s="8">
        <v>2018</v>
      </c>
      <c r="C124" s="8">
        <v>2019</v>
      </c>
      <c r="D124" s="8">
        <v>2020</v>
      </c>
      <c r="E124" s="8">
        <v>2021</v>
      </c>
    </row>
    <row r="125" spans="1:5" ht="13.5" customHeight="1" thickBot="1" x14ac:dyDescent="0.3">
      <c r="A125" s="1251"/>
      <c r="B125" s="9" t="s">
        <v>10</v>
      </c>
      <c r="C125" s="9" t="s">
        <v>11</v>
      </c>
      <c r="D125" s="9" t="s">
        <v>11</v>
      </c>
      <c r="E125" s="9" t="s">
        <v>11</v>
      </c>
    </row>
    <row r="126" spans="1:5" ht="26.25" customHeight="1" thickBot="1" x14ac:dyDescent="0.3">
      <c r="A126" s="7" t="s">
        <v>16</v>
      </c>
      <c r="B126" s="2276" t="s">
        <v>1416</v>
      </c>
      <c r="C126" s="2277"/>
      <c r="D126" s="2277"/>
      <c r="E126" s="2278"/>
    </row>
    <row r="127" spans="1:5" ht="33.75" customHeight="1" thickBot="1" x14ac:dyDescent="0.3">
      <c r="A127" s="5" t="s">
        <v>17</v>
      </c>
      <c r="B127" s="1245" t="s">
        <v>735</v>
      </c>
      <c r="C127" s="1246"/>
      <c r="D127" s="1246"/>
      <c r="E127" s="1298"/>
    </row>
    <row r="128" spans="1:5" ht="15.75" customHeight="1" thickBot="1" x14ac:dyDescent="0.3">
      <c r="A128" s="5" t="s">
        <v>18</v>
      </c>
      <c r="B128" s="1248" t="s">
        <v>739</v>
      </c>
      <c r="C128" s="1249"/>
      <c r="D128" s="1249"/>
      <c r="E128" s="1316"/>
    </row>
    <row r="129" spans="1:5" ht="12.75" customHeight="1" x14ac:dyDescent="0.25">
      <c r="A129" s="1250"/>
      <c r="B129" s="8">
        <v>2018</v>
      </c>
      <c r="C129" s="8">
        <v>2019</v>
      </c>
      <c r="D129" s="8">
        <v>2020</v>
      </c>
      <c r="E129" s="8">
        <v>2021</v>
      </c>
    </row>
    <row r="130" spans="1:5" ht="12" customHeight="1" thickBot="1" x14ac:dyDescent="0.3">
      <c r="A130" s="1251"/>
      <c r="B130" s="9" t="s">
        <v>10</v>
      </c>
      <c r="C130" s="9" t="s">
        <v>11</v>
      </c>
      <c r="D130" s="9" t="s">
        <v>11</v>
      </c>
      <c r="E130" s="9" t="s">
        <v>11</v>
      </c>
    </row>
    <row r="131" spans="1:5" ht="15.75" customHeight="1" thickBot="1" x14ac:dyDescent="0.3">
      <c r="A131" s="5" t="s">
        <v>19</v>
      </c>
      <c r="B131" s="10">
        <v>4</v>
      </c>
      <c r="C131" s="60">
        <v>7</v>
      </c>
      <c r="D131" s="60">
        <v>7</v>
      </c>
      <c r="E131" s="60">
        <v>7</v>
      </c>
    </row>
    <row r="132" spans="1:5" ht="15.75" thickBot="1" x14ac:dyDescent="0.3">
      <c r="A132" s="5" t="s">
        <v>20</v>
      </c>
      <c r="B132" s="10">
        <f>B142+B145+B148</f>
        <v>17645</v>
      </c>
      <c r="C132" s="10">
        <f>C142+C145+C148</f>
        <v>17645</v>
      </c>
      <c r="D132" s="10">
        <f>D142+D145+D148</f>
        <v>17645</v>
      </c>
      <c r="E132" s="10">
        <f>E142+E145+E148</f>
        <v>17645</v>
      </c>
    </row>
    <row r="133" spans="1:5" ht="15.75" thickBot="1" x14ac:dyDescent="0.3">
      <c r="A133" s="5" t="s">
        <v>21</v>
      </c>
      <c r="B133" s="10">
        <f>B132/B131</f>
        <v>4411.25</v>
      </c>
      <c r="C133" s="10">
        <f>C132/C131</f>
        <v>2520.7142857142858</v>
      </c>
      <c r="D133" s="10">
        <f>D132/D131</f>
        <v>2520.7142857142858</v>
      </c>
      <c r="E133" s="10">
        <f>E132/E131</f>
        <v>2520.7142857142858</v>
      </c>
    </row>
    <row r="134" spans="1:5" ht="15.75" thickBot="1" x14ac:dyDescent="0.3">
      <c r="A134" s="5" t="s">
        <v>22</v>
      </c>
      <c r="B134" s="225">
        <v>0</v>
      </c>
      <c r="C134" s="11">
        <f t="shared" ref="C134:E136" si="1">C131/B131-1</f>
        <v>0.75</v>
      </c>
      <c r="D134" s="11">
        <f t="shared" si="1"/>
        <v>0</v>
      </c>
      <c r="E134" s="11">
        <f t="shared" si="1"/>
        <v>0</v>
      </c>
    </row>
    <row r="135" spans="1:5" ht="15.75" thickBot="1" x14ac:dyDescent="0.3">
      <c r="A135" s="5" t="s">
        <v>24</v>
      </c>
      <c r="B135" s="225">
        <v>0</v>
      </c>
      <c r="C135" s="11">
        <f t="shared" si="1"/>
        <v>0</v>
      </c>
      <c r="D135" s="11">
        <f t="shared" si="1"/>
        <v>0</v>
      </c>
      <c r="E135" s="11">
        <f t="shared" si="1"/>
        <v>0</v>
      </c>
    </row>
    <row r="136" spans="1:5" ht="15.75" thickBot="1" x14ac:dyDescent="0.3">
      <c r="A136" s="5" t="s">
        <v>25</v>
      </c>
      <c r="B136" s="225">
        <v>0</v>
      </c>
      <c r="C136" s="11">
        <f t="shared" si="1"/>
        <v>-0.4285714285714286</v>
      </c>
      <c r="D136" s="11">
        <f t="shared" si="1"/>
        <v>0</v>
      </c>
      <c r="E136" s="11">
        <f t="shared" si="1"/>
        <v>0</v>
      </c>
    </row>
    <row r="137" spans="1:5" ht="12.75" customHeight="1" x14ac:dyDescent="0.25">
      <c r="A137" s="1250"/>
      <c r="B137" s="8">
        <v>2018</v>
      </c>
      <c r="C137" s="8">
        <v>2019</v>
      </c>
      <c r="D137" s="8">
        <v>2020</v>
      </c>
      <c r="E137" s="8">
        <v>2021</v>
      </c>
    </row>
    <row r="138" spans="1:5" ht="15" customHeight="1" thickBot="1" x14ac:dyDescent="0.3">
      <c r="A138" s="1251"/>
      <c r="B138" s="9" t="s">
        <v>10</v>
      </c>
      <c r="C138" s="9" t="s">
        <v>11</v>
      </c>
      <c r="D138" s="9" t="s">
        <v>11</v>
      </c>
      <c r="E138" s="9" t="s">
        <v>11</v>
      </c>
    </row>
    <row r="139" spans="1:5" ht="15.75" thickBot="1" x14ac:dyDescent="0.3">
      <c r="A139" s="1252" t="s">
        <v>1415</v>
      </c>
      <c r="B139" s="1253"/>
      <c r="C139" s="1253"/>
      <c r="D139" s="1253"/>
      <c r="E139" s="1300"/>
    </row>
    <row r="140" spans="1:5" ht="12.75" customHeight="1" x14ac:dyDescent="0.25">
      <c r="A140" s="1250"/>
      <c r="B140" s="8">
        <v>2018</v>
      </c>
      <c r="C140" s="8">
        <v>2019</v>
      </c>
      <c r="D140" s="8">
        <v>2020</v>
      </c>
      <c r="E140" s="8">
        <v>2021</v>
      </c>
    </row>
    <row r="141" spans="1:5" ht="13.5" customHeight="1" thickBot="1" x14ac:dyDescent="0.3">
      <c r="A141" s="1251"/>
      <c r="B141" s="9" t="s">
        <v>10</v>
      </c>
      <c r="C141" s="9" t="s">
        <v>11</v>
      </c>
      <c r="D141" s="9" t="s">
        <v>11</v>
      </c>
      <c r="E141" s="9" t="s">
        <v>11</v>
      </c>
    </row>
    <row r="142" spans="1:5" ht="15.75" thickBot="1" x14ac:dyDescent="0.3">
      <c r="A142" s="13" t="s">
        <v>26</v>
      </c>
      <c r="B142" s="14">
        <v>13971</v>
      </c>
      <c r="C142" s="14">
        <v>13971</v>
      </c>
      <c r="D142" s="14">
        <v>13971</v>
      </c>
      <c r="E142" s="14">
        <v>13971</v>
      </c>
    </row>
    <row r="143" spans="1:5" ht="24.75" thickBot="1" x14ac:dyDescent="0.3">
      <c r="A143" s="28" t="s">
        <v>27</v>
      </c>
      <c r="B143" s="11">
        <f>B142/B132</f>
        <v>0.79178237461037126</v>
      </c>
      <c r="C143" s="11">
        <f>C142/C132</f>
        <v>0.79178237461037126</v>
      </c>
      <c r="D143" s="11">
        <f>D142/D132</f>
        <v>0.79178237461037126</v>
      </c>
      <c r="E143" s="11">
        <f>E142/E132</f>
        <v>0.79178237461037126</v>
      </c>
    </row>
    <row r="144" spans="1:5" ht="24.75" thickBot="1" x14ac:dyDescent="0.3">
      <c r="A144" s="28" t="s">
        <v>45</v>
      </c>
      <c r="B144" s="15">
        <v>0</v>
      </c>
      <c r="C144" s="29">
        <v>0</v>
      </c>
      <c r="D144" s="29">
        <v>0</v>
      </c>
      <c r="E144" s="29">
        <v>0</v>
      </c>
    </row>
    <row r="145" spans="1:5" ht="15.75" thickBot="1" x14ac:dyDescent="0.3">
      <c r="A145" s="13" t="s">
        <v>28</v>
      </c>
      <c r="B145" s="14">
        <v>1674</v>
      </c>
      <c r="C145" s="14">
        <v>1674</v>
      </c>
      <c r="D145" s="14">
        <v>1674</v>
      </c>
      <c r="E145" s="14">
        <v>1674</v>
      </c>
    </row>
    <row r="146" spans="1:5" ht="36.75" thickBot="1" x14ac:dyDescent="0.3">
      <c r="A146" s="28" t="s">
        <v>29</v>
      </c>
      <c r="B146" s="11">
        <f>B145/B132</f>
        <v>9.4871068291300653E-2</v>
      </c>
      <c r="C146" s="11">
        <f>C145/C132</f>
        <v>9.4871068291300653E-2</v>
      </c>
      <c r="D146" s="11">
        <f>D145/D132</f>
        <v>9.4871068291300653E-2</v>
      </c>
      <c r="E146" s="11">
        <f>E145/E132</f>
        <v>9.4871068291300653E-2</v>
      </c>
    </row>
    <row r="147" spans="1:5" ht="36.75" thickBot="1" x14ac:dyDescent="0.3">
      <c r="A147" s="28" t="s">
        <v>46</v>
      </c>
      <c r="B147" s="15">
        <v>0</v>
      </c>
      <c r="C147" s="14">
        <v>0</v>
      </c>
      <c r="D147" s="14">
        <v>0</v>
      </c>
      <c r="E147" s="14">
        <v>0</v>
      </c>
    </row>
    <row r="148" spans="1:5" ht="15.75" thickBot="1" x14ac:dyDescent="0.3">
      <c r="A148" s="13" t="s">
        <v>30</v>
      </c>
      <c r="B148" s="15">
        <v>2000</v>
      </c>
      <c r="C148" s="15">
        <v>2000</v>
      </c>
      <c r="D148" s="15">
        <v>2000</v>
      </c>
      <c r="E148" s="15">
        <v>2000</v>
      </c>
    </row>
    <row r="149" spans="1:5" ht="24.75" thickBot="1" x14ac:dyDescent="0.3">
      <c r="A149" s="28" t="s">
        <v>31</v>
      </c>
      <c r="B149" s="11">
        <f>B148/B132</f>
        <v>0.11334655709832814</v>
      </c>
      <c r="C149" s="11">
        <f>C148/C132</f>
        <v>0.11334655709832814</v>
      </c>
      <c r="D149" s="11">
        <f>D148/D132</f>
        <v>0.11334655709832814</v>
      </c>
      <c r="E149" s="11">
        <f>E148/E132</f>
        <v>0.11334655709832814</v>
      </c>
    </row>
    <row r="150" spans="1:5" ht="24.75" thickBot="1" x14ac:dyDescent="0.3">
      <c r="A150" s="28" t="s">
        <v>47</v>
      </c>
      <c r="B150" s="15">
        <v>0</v>
      </c>
      <c r="C150" s="14">
        <v>0</v>
      </c>
      <c r="D150" s="14">
        <v>0</v>
      </c>
      <c r="E150" s="14">
        <v>0</v>
      </c>
    </row>
    <row r="151" spans="1:5" ht="15.75" thickBot="1" x14ac:dyDescent="0.3">
      <c r="A151" s="13" t="s">
        <v>32</v>
      </c>
      <c r="B151" s="15">
        <v>0</v>
      </c>
      <c r="C151" s="14">
        <v>0</v>
      </c>
      <c r="D151" s="14">
        <v>0</v>
      </c>
      <c r="E151" s="14">
        <v>0</v>
      </c>
    </row>
    <row r="152" spans="1:5" ht="24.75" thickBot="1" x14ac:dyDescent="0.3">
      <c r="A152" s="28" t="s">
        <v>33</v>
      </c>
      <c r="B152" s="15">
        <v>0</v>
      </c>
      <c r="C152" s="14">
        <v>0</v>
      </c>
      <c r="D152" s="14">
        <v>0</v>
      </c>
      <c r="E152" s="14">
        <v>0</v>
      </c>
    </row>
    <row r="153" spans="1:5" ht="24.75" thickBot="1" x14ac:dyDescent="0.3">
      <c r="A153" s="28" t="s">
        <v>48</v>
      </c>
      <c r="B153" s="15">
        <v>0</v>
      </c>
      <c r="C153" s="14">
        <v>0</v>
      </c>
      <c r="D153" s="14">
        <v>0</v>
      </c>
      <c r="E153" s="14">
        <v>0</v>
      </c>
    </row>
    <row r="154" spans="1:5" ht="15.75" thickBot="1" x14ac:dyDescent="0.3">
      <c r="A154" s="13" t="s">
        <v>34</v>
      </c>
      <c r="B154" s="15">
        <v>0</v>
      </c>
      <c r="C154" s="14">
        <v>0</v>
      </c>
      <c r="D154" s="14">
        <v>0</v>
      </c>
      <c r="E154" s="14">
        <v>0</v>
      </c>
    </row>
    <row r="155" spans="1:5" ht="24.75" thickBot="1" x14ac:dyDescent="0.3">
      <c r="A155" s="28" t="s">
        <v>35</v>
      </c>
      <c r="B155" s="15">
        <v>0</v>
      </c>
      <c r="C155" s="14">
        <v>0</v>
      </c>
      <c r="D155" s="14">
        <v>0</v>
      </c>
      <c r="E155" s="14">
        <v>0</v>
      </c>
    </row>
    <row r="156" spans="1:5" ht="24.75" thickBot="1" x14ac:dyDescent="0.3">
      <c r="A156" s="28" t="s">
        <v>49</v>
      </c>
      <c r="B156" s="15">
        <v>0</v>
      </c>
      <c r="C156" s="14">
        <v>0</v>
      </c>
      <c r="D156" s="14">
        <v>0</v>
      </c>
      <c r="E156" s="14">
        <v>0</v>
      </c>
    </row>
    <row r="157" spans="1:5" ht="15.75" thickBot="1" x14ac:dyDescent="0.3">
      <c r="A157" s="13" t="s">
        <v>36</v>
      </c>
      <c r="B157" s="15">
        <v>0</v>
      </c>
      <c r="C157" s="14">
        <v>0</v>
      </c>
      <c r="D157" s="14">
        <v>0</v>
      </c>
      <c r="E157" s="14">
        <v>0</v>
      </c>
    </row>
    <row r="158" spans="1:5" ht="24.75" thickBot="1" x14ac:dyDescent="0.3">
      <c r="A158" s="28" t="s">
        <v>37</v>
      </c>
      <c r="B158" s="15">
        <v>0</v>
      </c>
      <c r="C158" s="14">
        <v>0</v>
      </c>
      <c r="D158" s="14">
        <v>0</v>
      </c>
      <c r="E158" s="14">
        <v>0</v>
      </c>
    </row>
    <row r="159" spans="1:5" ht="24.75" thickBot="1" x14ac:dyDescent="0.3">
      <c r="A159" s="28" t="s">
        <v>50</v>
      </c>
      <c r="B159" s="15">
        <v>0</v>
      </c>
      <c r="C159" s="14">
        <v>0</v>
      </c>
      <c r="D159" s="14">
        <v>0</v>
      </c>
      <c r="E159" s="14">
        <v>0</v>
      </c>
    </row>
    <row r="160" spans="1:5" ht="15.75" thickBot="1" x14ac:dyDescent="0.3">
      <c r="A160" s="13" t="s">
        <v>38</v>
      </c>
      <c r="B160" s="15">
        <v>0</v>
      </c>
      <c r="C160" s="14">
        <v>0</v>
      </c>
      <c r="D160" s="14">
        <v>0</v>
      </c>
      <c r="E160" s="14">
        <v>0</v>
      </c>
    </row>
    <row r="161" spans="1:5" ht="36.75" thickBot="1" x14ac:dyDescent="0.3">
      <c r="A161" s="28" t="s">
        <v>39</v>
      </c>
      <c r="B161" s="15">
        <v>0</v>
      </c>
      <c r="C161" s="14">
        <v>0</v>
      </c>
      <c r="D161" s="14">
        <v>0</v>
      </c>
      <c r="E161" s="14">
        <v>0</v>
      </c>
    </row>
    <row r="162" spans="1:5" ht="36.75" thickBot="1" x14ac:dyDescent="0.3">
      <c r="A162" s="28" t="s">
        <v>51</v>
      </c>
      <c r="B162" s="15">
        <v>0</v>
      </c>
      <c r="C162" s="14">
        <v>0</v>
      </c>
      <c r="D162" s="14">
        <v>0</v>
      </c>
      <c r="E162" s="14">
        <v>0</v>
      </c>
    </row>
    <row r="163" spans="1:5" ht="24.75" thickBot="1" x14ac:dyDescent="0.3">
      <c r="A163" s="137" t="s">
        <v>71</v>
      </c>
      <c r="B163" s="138">
        <f>B160+B157+B154+B151+B148+B145+B142</f>
        <v>17645</v>
      </c>
      <c r="C163" s="138">
        <f>C160+C157+C154+C151+C148+C145+C142</f>
        <v>17645</v>
      </c>
      <c r="D163" s="138">
        <f>D160+D157+D154+D151+D148+D145+D142</f>
        <v>17645</v>
      </c>
      <c r="E163" s="138">
        <f>E160+E157+E154+E151+E148+E145+E142</f>
        <v>17645</v>
      </c>
    </row>
    <row r="164" spans="1:5" x14ac:dyDescent="0.25">
      <c r="A164" s="1254" t="s">
        <v>115</v>
      </c>
      <c r="B164" s="1289" t="s">
        <v>23</v>
      </c>
      <c r="C164" s="1289"/>
      <c r="D164" s="1289"/>
      <c r="E164" s="1290"/>
    </row>
    <row r="165" spans="1:5" x14ac:dyDescent="0.25">
      <c r="A165" s="1255"/>
      <c r="B165" s="1292"/>
      <c r="C165" s="1292"/>
      <c r="D165" s="1292"/>
      <c r="E165" s="1293"/>
    </row>
    <row r="166" spans="1:5" ht="14.25" customHeight="1" thickBot="1" x14ac:dyDescent="0.3">
      <c r="A166" s="1256"/>
      <c r="B166" s="1295"/>
      <c r="C166" s="1295"/>
      <c r="D166" s="1295"/>
      <c r="E166" s="1296"/>
    </row>
    <row r="167" spans="1:5" ht="15.75" thickBot="1" x14ac:dyDescent="0.3">
      <c r="A167" s="17" t="s">
        <v>41</v>
      </c>
      <c r="B167" s="18">
        <f>IF(B163-B132=0,0,"Error")</f>
        <v>0</v>
      </c>
      <c r="C167" s="18">
        <f>IF(C163-C132=0,0,"Error")</f>
        <v>0</v>
      </c>
      <c r="D167" s="18">
        <f>IF(D163-D132=0,0,"Error")</f>
        <v>0</v>
      </c>
      <c r="E167" s="18">
        <f>IF(E163-E132=0,0,"Error")</f>
        <v>0</v>
      </c>
    </row>
    <row r="168" spans="1:5" ht="15.75" thickBot="1" x14ac:dyDescent="0.3">
      <c r="A168" s="1275" t="s">
        <v>63</v>
      </c>
      <c r="B168" s="1276"/>
      <c r="C168" s="1276"/>
      <c r="D168" s="1276"/>
      <c r="E168" s="1317"/>
    </row>
    <row r="169" spans="1:5" ht="15.75" thickBot="1" x14ac:dyDescent="0.3">
      <c r="A169" s="1275" t="s">
        <v>56</v>
      </c>
      <c r="B169" s="1276"/>
      <c r="C169" s="1276"/>
      <c r="D169" s="1276"/>
      <c r="E169" s="1317"/>
    </row>
    <row r="170" spans="1:5" ht="15.75" thickBot="1" x14ac:dyDescent="0.3">
      <c r="A170" s="20" t="s">
        <v>61</v>
      </c>
      <c r="B170" s="1241" t="s">
        <v>736</v>
      </c>
      <c r="C170" s="1242"/>
      <c r="D170" s="1242"/>
      <c r="E170" s="1318"/>
    </row>
    <row r="171" spans="1:5" ht="15.75" thickBot="1" x14ac:dyDescent="0.3">
      <c r="A171" s="7" t="s">
        <v>16</v>
      </c>
      <c r="B171" s="1243" t="s">
        <v>1414</v>
      </c>
      <c r="C171" s="1244"/>
      <c r="D171" s="1244"/>
      <c r="E171" s="1315"/>
    </row>
    <row r="172" spans="1:5" ht="36" customHeight="1" thickBot="1" x14ac:dyDescent="0.3">
      <c r="A172" s="5" t="s">
        <v>17</v>
      </c>
      <c r="B172" s="1245" t="s">
        <v>740</v>
      </c>
      <c r="C172" s="1246"/>
      <c r="D172" s="1246"/>
      <c r="E172" s="1298"/>
    </row>
    <row r="173" spans="1:5" ht="15.75" thickBot="1" x14ac:dyDescent="0.3">
      <c r="A173" s="5" t="s">
        <v>18</v>
      </c>
      <c r="B173" s="1243" t="s">
        <v>1414</v>
      </c>
      <c r="C173" s="1244"/>
      <c r="D173" s="1244"/>
      <c r="E173" s="1315"/>
    </row>
    <row r="174" spans="1:5" ht="12.75" customHeight="1" x14ac:dyDescent="0.25">
      <c r="A174" s="1250"/>
      <c r="B174" s="8">
        <v>2018</v>
      </c>
      <c r="C174" s="8">
        <v>2019</v>
      </c>
      <c r="D174" s="8">
        <v>2020</v>
      </c>
      <c r="E174" s="8">
        <v>2021</v>
      </c>
    </row>
    <row r="175" spans="1:5" ht="14.25" customHeight="1" thickBot="1" x14ac:dyDescent="0.3">
      <c r="A175" s="1251"/>
      <c r="B175" s="9" t="s">
        <v>10</v>
      </c>
      <c r="C175" s="9" t="s">
        <v>11</v>
      </c>
      <c r="D175" s="9" t="s">
        <v>11</v>
      </c>
      <c r="E175" s="9" t="s">
        <v>11</v>
      </c>
    </row>
    <row r="176" spans="1:5" ht="15.75" thickBot="1" x14ac:dyDescent="0.3">
      <c r="A176" s="5" t="s">
        <v>19</v>
      </c>
      <c r="B176" s="10">
        <v>22</v>
      </c>
      <c r="C176" s="60">
        <v>16</v>
      </c>
      <c r="D176" s="60">
        <v>19</v>
      </c>
      <c r="E176" s="60">
        <v>19</v>
      </c>
    </row>
    <row r="177" spans="1:9" ht="15.75" thickBot="1" x14ac:dyDescent="0.3">
      <c r="A177" s="5" t="s">
        <v>20</v>
      </c>
      <c r="B177" s="10">
        <v>1631</v>
      </c>
      <c r="C177" s="10">
        <v>815</v>
      </c>
      <c r="D177" s="10">
        <v>725</v>
      </c>
      <c r="E177" s="10">
        <v>725</v>
      </c>
    </row>
    <row r="178" spans="1:9" ht="15.75" thickBot="1" x14ac:dyDescent="0.3">
      <c r="A178" s="5" t="s">
        <v>21</v>
      </c>
      <c r="B178" s="815">
        <f>B177/B176</f>
        <v>74.13636363636364</v>
      </c>
      <c r="C178" s="10">
        <f>C177/C176</f>
        <v>50.9375</v>
      </c>
      <c r="D178" s="10">
        <f>D177/D176</f>
        <v>38.157894736842103</v>
      </c>
      <c r="E178" s="10">
        <f>E177/E176</f>
        <v>38.157894736842103</v>
      </c>
    </row>
    <row r="179" spans="1:9" ht="15.75" thickBot="1" x14ac:dyDescent="0.3">
      <c r="A179" s="5" t="s">
        <v>22</v>
      </c>
      <c r="B179" s="225" t="s">
        <v>23</v>
      </c>
      <c r="C179" s="11">
        <f t="shared" ref="C179:E181" si="2">C176/B176-1</f>
        <v>-0.27272727272727271</v>
      </c>
      <c r="D179" s="11">
        <f t="shared" si="2"/>
        <v>0.1875</v>
      </c>
      <c r="E179" s="11">
        <f t="shared" si="2"/>
        <v>0</v>
      </c>
      <c r="F179" s="12"/>
      <c r="G179" s="12"/>
      <c r="H179" s="12"/>
      <c r="I179" s="12"/>
    </row>
    <row r="180" spans="1:9" ht="15.75" thickBot="1" x14ac:dyDescent="0.3">
      <c r="A180" s="5" t="s">
        <v>24</v>
      </c>
      <c r="B180" s="225" t="s">
        <v>23</v>
      </c>
      <c r="C180" s="11">
        <f t="shared" si="2"/>
        <v>-0.50030656039239729</v>
      </c>
      <c r="D180" s="11">
        <f t="shared" si="2"/>
        <v>-0.11042944785276076</v>
      </c>
      <c r="E180" s="11">
        <f t="shared" si="2"/>
        <v>0</v>
      </c>
    </row>
    <row r="181" spans="1:9" ht="15.75" thickBot="1" x14ac:dyDescent="0.3">
      <c r="A181" s="5" t="s">
        <v>25</v>
      </c>
      <c r="B181" s="225" t="s">
        <v>23</v>
      </c>
      <c r="C181" s="11">
        <f t="shared" si="2"/>
        <v>-0.31292152053954636</v>
      </c>
      <c r="D181" s="11">
        <f t="shared" si="2"/>
        <v>-0.25088795608653536</v>
      </c>
      <c r="E181" s="11">
        <f t="shared" si="2"/>
        <v>0</v>
      </c>
    </row>
    <row r="182" spans="1:9" ht="15.75" thickBot="1" x14ac:dyDescent="0.3">
      <c r="A182" s="1252" t="s">
        <v>109</v>
      </c>
      <c r="B182" s="1253"/>
      <c r="C182" s="1253"/>
      <c r="D182" s="1253"/>
      <c r="E182" s="1300"/>
    </row>
    <row r="183" spans="1:9" ht="12.75" customHeight="1" x14ac:dyDescent="0.25">
      <c r="A183" s="1250"/>
      <c r="B183" s="8">
        <v>2018</v>
      </c>
      <c r="C183" s="8">
        <v>2019</v>
      </c>
      <c r="D183" s="8">
        <v>2020</v>
      </c>
      <c r="E183" s="8">
        <v>2021</v>
      </c>
    </row>
    <row r="184" spans="1:9" ht="12.75" customHeight="1" thickBot="1" x14ac:dyDescent="0.3">
      <c r="A184" s="1251"/>
      <c r="B184" s="9" t="s">
        <v>10</v>
      </c>
      <c r="C184" s="9" t="s">
        <v>11</v>
      </c>
      <c r="D184" s="9" t="s">
        <v>11</v>
      </c>
      <c r="E184" s="9" t="s">
        <v>11</v>
      </c>
    </row>
    <row r="185" spans="1:9" ht="15.75" thickBot="1" x14ac:dyDescent="0.3">
      <c r="A185" s="13" t="s">
        <v>58</v>
      </c>
      <c r="B185" s="14">
        <v>0</v>
      </c>
      <c r="C185" s="14">
        <v>0</v>
      </c>
      <c r="D185" s="14">
        <v>0</v>
      </c>
      <c r="E185" s="14">
        <v>0</v>
      </c>
    </row>
    <row r="186" spans="1:9" ht="15.75" thickBot="1" x14ac:dyDescent="0.3">
      <c r="A186" s="13" t="s">
        <v>59</v>
      </c>
      <c r="B186" s="15">
        <f>B177</f>
        <v>1631</v>
      </c>
      <c r="C186" s="14">
        <v>815</v>
      </c>
      <c r="D186" s="10">
        <v>725</v>
      </c>
      <c r="E186" s="10">
        <v>725</v>
      </c>
    </row>
    <row r="187" spans="1:9" ht="15.75" thickBot="1" x14ac:dyDescent="0.3">
      <c r="A187" s="16" t="s">
        <v>40</v>
      </c>
      <c r="B187" s="15">
        <f>B186+B185</f>
        <v>1631</v>
      </c>
      <c r="C187" s="15">
        <f>C186+C185</f>
        <v>815</v>
      </c>
      <c r="D187" s="15">
        <f>D186+D185</f>
        <v>725</v>
      </c>
      <c r="E187" s="15">
        <f>E186+E185</f>
        <v>725</v>
      </c>
    </row>
    <row r="188" spans="1:9" x14ac:dyDescent="0.25">
      <c r="A188" s="1254" t="s">
        <v>60</v>
      </c>
      <c r="B188" s="1322"/>
      <c r="C188" s="1289"/>
      <c r="D188" s="1289"/>
      <c r="E188" s="1290"/>
    </row>
    <row r="189" spans="1:9" x14ac:dyDescent="0.25">
      <c r="A189" s="1255"/>
      <c r="B189" s="1291"/>
      <c r="C189" s="1292"/>
      <c r="D189" s="1292"/>
      <c r="E189" s="1293"/>
    </row>
    <row r="190" spans="1:9" ht="15.75" thickBot="1" x14ac:dyDescent="0.3">
      <c r="A190" s="1256"/>
      <c r="B190" s="1294"/>
      <c r="C190" s="1295"/>
      <c r="D190" s="1295"/>
      <c r="E190" s="1296"/>
    </row>
    <row r="191" spans="1:9" ht="15.75" thickBot="1" x14ac:dyDescent="0.3">
      <c r="A191" s="1275" t="s">
        <v>63</v>
      </c>
      <c r="B191" s="1276"/>
      <c r="C191" s="1276"/>
      <c r="D191" s="1276"/>
      <c r="E191" s="1317"/>
    </row>
    <row r="192" spans="1:9" ht="15.75" thickBot="1" x14ac:dyDescent="0.3">
      <c r="A192" s="1275" t="s">
        <v>64</v>
      </c>
      <c r="B192" s="1276"/>
      <c r="C192" s="1276"/>
      <c r="D192" s="1276"/>
      <c r="E192" s="1317"/>
    </row>
    <row r="193" spans="1:9" ht="15.75" thickBot="1" x14ac:dyDescent="0.3">
      <c r="A193" s="20" t="s">
        <v>61</v>
      </c>
      <c r="B193" s="1241" t="s">
        <v>124</v>
      </c>
      <c r="C193" s="1242"/>
      <c r="D193" s="1242"/>
      <c r="E193" s="1318"/>
    </row>
    <row r="194" spans="1:9" ht="15.75" thickBot="1" x14ac:dyDescent="0.3">
      <c r="A194" s="7" t="s">
        <v>16</v>
      </c>
      <c r="B194" s="1243" t="s">
        <v>106</v>
      </c>
      <c r="C194" s="1244"/>
      <c r="D194" s="1244"/>
      <c r="E194" s="1315"/>
    </row>
    <row r="195" spans="1:9" ht="17.25" customHeight="1" thickBot="1" x14ac:dyDescent="0.3">
      <c r="A195" s="5" t="s">
        <v>17</v>
      </c>
      <c r="B195" s="1245" t="s">
        <v>106</v>
      </c>
      <c r="C195" s="1246"/>
      <c r="D195" s="1246"/>
      <c r="E195" s="1298"/>
    </row>
    <row r="196" spans="1:9" ht="15.75" thickBot="1" x14ac:dyDescent="0.3">
      <c r="A196" s="5" t="s">
        <v>18</v>
      </c>
      <c r="B196" s="1248" t="s">
        <v>106</v>
      </c>
      <c r="C196" s="1249"/>
      <c r="D196" s="1249"/>
      <c r="E196" s="1316"/>
    </row>
    <row r="197" spans="1:9" ht="12.75" customHeight="1" x14ac:dyDescent="0.25">
      <c r="A197" s="1250"/>
      <c r="B197" s="8">
        <v>2018</v>
      </c>
      <c r="C197" s="8">
        <v>2019</v>
      </c>
      <c r="D197" s="8">
        <v>2020</v>
      </c>
      <c r="E197" s="8">
        <v>2021</v>
      </c>
    </row>
    <row r="198" spans="1:9" ht="13.5" customHeight="1" thickBot="1" x14ac:dyDescent="0.3">
      <c r="A198" s="1251"/>
      <c r="B198" s="9" t="s">
        <v>10</v>
      </c>
      <c r="C198" s="9" t="s">
        <v>11</v>
      </c>
      <c r="D198" s="9" t="s">
        <v>11</v>
      </c>
      <c r="E198" s="9" t="s">
        <v>11</v>
      </c>
    </row>
    <row r="199" spans="1:9" ht="15.75" thickBot="1" x14ac:dyDescent="0.3">
      <c r="A199" s="5" t="s">
        <v>19</v>
      </c>
      <c r="B199" s="10">
        <v>0</v>
      </c>
      <c r="C199" s="10">
        <v>0</v>
      </c>
      <c r="D199" s="10">
        <v>0</v>
      </c>
      <c r="E199" s="10">
        <v>0</v>
      </c>
    </row>
    <row r="200" spans="1:9" ht="15.75" thickBot="1" x14ac:dyDescent="0.3">
      <c r="A200" s="5" t="s">
        <v>20</v>
      </c>
      <c r="B200" s="10">
        <v>0</v>
      </c>
      <c r="C200" s="10">
        <v>0</v>
      </c>
      <c r="D200" s="10">
        <v>0</v>
      </c>
      <c r="E200" s="10">
        <v>0</v>
      </c>
    </row>
    <row r="201" spans="1:9" ht="15.75" thickBot="1" x14ac:dyDescent="0.3">
      <c r="A201" s="5" t="s">
        <v>21</v>
      </c>
      <c r="B201" s="10">
        <v>0</v>
      </c>
      <c r="C201" s="10">
        <v>0</v>
      </c>
      <c r="D201" s="10">
        <v>0</v>
      </c>
      <c r="E201" s="10">
        <v>0</v>
      </c>
    </row>
    <row r="202" spans="1:9" ht="15.75" thickBot="1" x14ac:dyDescent="0.3">
      <c r="A202" s="5" t="s">
        <v>22</v>
      </c>
      <c r="B202" s="10">
        <v>0</v>
      </c>
      <c r="C202" s="10">
        <v>0</v>
      </c>
      <c r="D202" s="10">
        <v>0</v>
      </c>
      <c r="E202" s="10">
        <v>0</v>
      </c>
      <c r="F202" s="12"/>
      <c r="G202" s="12"/>
      <c r="H202" s="12"/>
      <c r="I202" s="12"/>
    </row>
    <row r="203" spans="1:9" ht="15.75" thickBot="1" x14ac:dyDescent="0.3">
      <c r="A203" s="5" t="s">
        <v>24</v>
      </c>
      <c r="B203" s="10">
        <v>0</v>
      </c>
      <c r="C203" s="10">
        <v>0</v>
      </c>
      <c r="D203" s="10">
        <v>0</v>
      </c>
      <c r="E203" s="10">
        <v>0</v>
      </c>
    </row>
    <row r="204" spans="1:9" ht="15.75" thickBot="1" x14ac:dyDescent="0.3">
      <c r="A204" s="5" t="s">
        <v>25</v>
      </c>
      <c r="B204" s="10">
        <v>0</v>
      </c>
      <c r="C204" s="10">
        <v>0</v>
      </c>
      <c r="D204" s="10">
        <v>0</v>
      </c>
      <c r="E204" s="10">
        <v>0</v>
      </c>
    </row>
    <row r="205" spans="1:9" ht="15.75" thickBot="1" x14ac:dyDescent="0.3">
      <c r="A205" s="1252" t="s">
        <v>109</v>
      </c>
      <c r="B205" s="1253"/>
      <c r="C205" s="1253"/>
      <c r="D205" s="1253"/>
      <c r="E205" s="1300"/>
    </row>
    <row r="206" spans="1:9" ht="12.75" customHeight="1" x14ac:dyDescent="0.25">
      <c r="A206" s="1250"/>
      <c r="B206" s="8">
        <v>2018</v>
      </c>
      <c r="C206" s="8">
        <v>2019</v>
      </c>
      <c r="D206" s="8">
        <v>2020</v>
      </c>
      <c r="E206" s="8">
        <v>2021</v>
      </c>
    </row>
    <row r="207" spans="1:9" ht="12.75" customHeight="1" thickBot="1" x14ac:dyDescent="0.3">
      <c r="A207" s="1251"/>
      <c r="B207" s="9" t="s">
        <v>10</v>
      </c>
      <c r="C207" s="9" t="s">
        <v>11</v>
      </c>
      <c r="D207" s="9" t="s">
        <v>11</v>
      </c>
      <c r="E207" s="9" t="s">
        <v>11</v>
      </c>
    </row>
    <row r="208" spans="1:9" ht="15.75" thickBot="1" x14ac:dyDescent="0.3">
      <c r="A208" s="13" t="s">
        <v>58</v>
      </c>
      <c r="B208" s="14">
        <v>0</v>
      </c>
      <c r="C208" s="14">
        <v>0</v>
      </c>
      <c r="D208" s="14">
        <v>0</v>
      </c>
      <c r="E208" s="14">
        <v>0</v>
      </c>
    </row>
    <row r="209" spans="1:5" ht="15.75" thickBot="1" x14ac:dyDescent="0.3">
      <c r="A209" s="13" t="s">
        <v>59</v>
      </c>
      <c r="B209" s="14">
        <v>0</v>
      </c>
      <c r="C209" s="14">
        <v>0</v>
      </c>
      <c r="D209" s="14">
        <v>0</v>
      </c>
      <c r="E209" s="14">
        <v>0</v>
      </c>
    </row>
    <row r="210" spans="1:5" ht="15.75" thickBot="1" x14ac:dyDescent="0.3">
      <c r="A210" s="16" t="s">
        <v>40</v>
      </c>
      <c r="B210" s="15">
        <f>B209+B208</f>
        <v>0</v>
      </c>
      <c r="C210" s="15">
        <f>C209+C208</f>
        <v>0</v>
      </c>
      <c r="D210" s="15">
        <f>D209+D208</f>
        <v>0</v>
      </c>
      <c r="E210" s="15">
        <f>E209+E208</f>
        <v>0</v>
      </c>
    </row>
    <row r="211" spans="1:5" x14ac:dyDescent="0.25">
      <c r="A211" s="1254" t="s">
        <v>60</v>
      </c>
      <c r="B211" s="1322" t="s">
        <v>106</v>
      </c>
      <c r="C211" s="1289"/>
      <c r="D211" s="1289"/>
      <c r="E211" s="1290"/>
    </row>
    <row r="212" spans="1:5" x14ac:dyDescent="0.25">
      <c r="A212" s="1255"/>
      <c r="B212" s="1291"/>
      <c r="C212" s="1292"/>
      <c r="D212" s="1292"/>
      <c r="E212" s="1293"/>
    </row>
    <row r="213" spans="1:5" ht="15.75" thickBot="1" x14ac:dyDescent="0.3">
      <c r="A213" s="1256"/>
      <c r="B213" s="1294"/>
      <c r="C213" s="1295"/>
      <c r="D213" s="1295"/>
      <c r="E213" s="1296"/>
    </row>
    <row r="214" spans="1:5" ht="15.75" thickBot="1" x14ac:dyDescent="0.3">
      <c r="A214" s="22"/>
      <c r="B214" s="23"/>
      <c r="C214" s="23"/>
      <c r="D214" s="23"/>
      <c r="E214" s="23"/>
    </row>
    <row r="215" spans="1:5" ht="27" customHeight="1" thickBot="1" x14ac:dyDescent="0.3">
      <c r="A215" s="6" t="s">
        <v>82</v>
      </c>
      <c r="B215" s="24">
        <f>B200+B177+B132+B104+B81+B38</f>
        <v>47462</v>
      </c>
      <c r="C215" s="24">
        <f>C200+C177+C132+C104+C81+C38</f>
        <v>45831</v>
      </c>
      <c r="D215" s="24">
        <f>D200+D177+D132+D104+D81+D38</f>
        <v>45651</v>
      </c>
      <c r="E215" s="24">
        <f>E200+E177+E132+E104+E81+E38</f>
        <v>45651</v>
      </c>
    </row>
    <row r="216" spans="1:5" ht="24.75" thickBot="1" x14ac:dyDescent="0.3">
      <c r="A216" s="6" t="s">
        <v>83</v>
      </c>
      <c r="B216" s="24">
        <f>B218+B220+B222+B224+B226+B228+B230+B232+B234</f>
        <v>47462</v>
      </c>
      <c r="C216" s="24">
        <f>C218+C220+C222+C224+C226+C228+C230+C232+C234</f>
        <v>45831</v>
      </c>
      <c r="D216" s="24">
        <f>D218+D220+D222+D224+D226+D228+D230+D232+D234</f>
        <v>45651</v>
      </c>
      <c r="E216" s="24">
        <f>E218+E220+E222+E224+E226+E228+E230+E232+E234</f>
        <v>45651</v>
      </c>
    </row>
    <row r="217" spans="1:5" ht="24.75" thickBot="1" x14ac:dyDescent="0.3">
      <c r="A217" s="25" t="s">
        <v>84</v>
      </c>
      <c r="B217" s="26">
        <v>0</v>
      </c>
      <c r="C217" s="27">
        <f>C216/B216-1</f>
        <v>-3.4364333572120875E-2</v>
      </c>
      <c r="D217" s="27">
        <f>D216/C216-1</f>
        <v>-3.9274726713359742E-3</v>
      </c>
      <c r="E217" s="27">
        <f>E216/D216-1</f>
        <v>0</v>
      </c>
    </row>
    <row r="218" spans="1:5" ht="15.75" thickBot="1" x14ac:dyDescent="0.3">
      <c r="A218" s="13" t="s">
        <v>26</v>
      </c>
      <c r="B218" s="14">
        <f>B142+B46</f>
        <v>29548</v>
      </c>
      <c r="C218" s="14">
        <f>C142+C46</f>
        <v>29548</v>
      </c>
      <c r="D218" s="14">
        <f>D142+D46</f>
        <v>29548</v>
      </c>
      <c r="E218" s="14">
        <f>E142+E46</f>
        <v>29548</v>
      </c>
    </row>
    <row r="219" spans="1:5" ht="15.75" thickBot="1" x14ac:dyDescent="0.3">
      <c r="A219" s="28" t="s">
        <v>85</v>
      </c>
      <c r="B219" s="15">
        <v>0</v>
      </c>
      <c r="C219" s="29">
        <f>C218/B218-1</f>
        <v>0</v>
      </c>
      <c r="D219" s="29">
        <f>D218/C218-1</f>
        <v>0</v>
      </c>
      <c r="E219" s="29">
        <f>E218/D218-1</f>
        <v>0</v>
      </c>
    </row>
    <row r="220" spans="1:5" ht="15.75" thickBot="1" x14ac:dyDescent="0.3">
      <c r="A220" s="13" t="s">
        <v>28</v>
      </c>
      <c r="B220" s="14">
        <f>B145+B49</f>
        <v>4653</v>
      </c>
      <c r="C220" s="14">
        <f>C145+C49</f>
        <v>4653</v>
      </c>
      <c r="D220" s="14">
        <f>D145+D49</f>
        <v>4653</v>
      </c>
      <c r="E220" s="14">
        <f>E145+E49</f>
        <v>4653</v>
      </c>
    </row>
    <row r="221" spans="1:5" ht="24.75" thickBot="1" x14ac:dyDescent="0.3">
      <c r="A221" s="28" t="s">
        <v>86</v>
      </c>
      <c r="B221" s="15">
        <v>0</v>
      </c>
      <c r="C221" s="29">
        <f>C220/B220-1</f>
        <v>0</v>
      </c>
      <c r="D221" s="29">
        <f>D220/C220-1</f>
        <v>0</v>
      </c>
      <c r="E221" s="29">
        <f>E220/D220-1</f>
        <v>0</v>
      </c>
    </row>
    <row r="222" spans="1:5" ht="15.75" thickBot="1" x14ac:dyDescent="0.3">
      <c r="A222" s="13" t="s">
        <v>30</v>
      </c>
      <c r="B222" s="814">
        <v>8598.4</v>
      </c>
      <c r="C222" s="14">
        <f>C148+C52</f>
        <v>10000</v>
      </c>
      <c r="D222" s="14">
        <f>D148+D52</f>
        <v>10000</v>
      </c>
      <c r="E222" s="14">
        <f>E148+E52</f>
        <v>10000</v>
      </c>
    </row>
    <row r="223" spans="1:5" ht="15.75" thickBot="1" x14ac:dyDescent="0.3">
      <c r="A223" s="28" t="s">
        <v>87</v>
      </c>
      <c r="B223" s="15">
        <v>0</v>
      </c>
      <c r="C223" s="29">
        <f>C222/B222-1</f>
        <v>0.16300707108299228</v>
      </c>
      <c r="D223" s="29">
        <f>D222/C222-1</f>
        <v>0</v>
      </c>
      <c r="E223" s="29">
        <f>E222/D222-1</f>
        <v>0</v>
      </c>
    </row>
    <row r="224" spans="1:5" ht="15.75" thickBot="1" x14ac:dyDescent="0.3">
      <c r="A224" s="13" t="s">
        <v>32</v>
      </c>
      <c r="B224" s="14">
        <f t="shared" ref="B224:E225" si="3">B151+B55</f>
        <v>0</v>
      </c>
      <c r="C224" s="14">
        <f t="shared" si="3"/>
        <v>0</v>
      </c>
      <c r="D224" s="14">
        <f t="shared" si="3"/>
        <v>0</v>
      </c>
      <c r="E224" s="14">
        <f t="shared" si="3"/>
        <v>0</v>
      </c>
    </row>
    <row r="225" spans="1:5" ht="15.75" thickBot="1" x14ac:dyDescent="0.3">
      <c r="A225" s="28" t="s">
        <v>88</v>
      </c>
      <c r="B225" s="14">
        <f t="shared" si="3"/>
        <v>0</v>
      </c>
      <c r="C225" s="14">
        <f t="shared" si="3"/>
        <v>0</v>
      </c>
      <c r="D225" s="14">
        <f t="shared" si="3"/>
        <v>0</v>
      </c>
      <c r="E225" s="14">
        <f t="shared" si="3"/>
        <v>0</v>
      </c>
    </row>
    <row r="226" spans="1:5" ht="15.75" thickBot="1" x14ac:dyDescent="0.3">
      <c r="A226" s="13" t="s">
        <v>34</v>
      </c>
      <c r="B226" s="14">
        <f t="shared" ref="B226:E227" si="4">B154+B58</f>
        <v>0</v>
      </c>
      <c r="C226" s="14">
        <f t="shared" si="4"/>
        <v>0</v>
      </c>
      <c r="D226" s="14">
        <f t="shared" si="4"/>
        <v>0</v>
      </c>
      <c r="E226" s="14">
        <f t="shared" si="4"/>
        <v>0</v>
      </c>
    </row>
    <row r="227" spans="1:5" ht="15.75" thickBot="1" x14ac:dyDescent="0.3">
      <c r="A227" s="28" t="s">
        <v>89</v>
      </c>
      <c r="B227" s="14">
        <f t="shared" si="4"/>
        <v>0</v>
      </c>
      <c r="C227" s="14">
        <f t="shared" si="4"/>
        <v>0</v>
      </c>
      <c r="D227" s="14">
        <f t="shared" si="4"/>
        <v>0</v>
      </c>
      <c r="E227" s="14">
        <f t="shared" si="4"/>
        <v>0</v>
      </c>
    </row>
    <row r="228" spans="1:5" ht="15.75" thickBot="1" x14ac:dyDescent="0.3">
      <c r="A228" s="13" t="s">
        <v>36</v>
      </c>
      <c r="B228" s="14">
        <f>B157+B61</f>
        <v>0</v>
      </c>
      <c r="C228" s="14">
        <f>C157+C61</f>
        <v>0</v>
      </c>
      <c r="D228" s="14">
        <f>D157+D61</f>
        <v>0</v>
      </c>
      <c r="E228" s="14">
        <f>E157+E61</f>
        <v>0</v>
      </c>
    </row>
    <row r="229" spans="1:5" ht="15.75" thickBot="1" x14ac:dyDescent="0.3">
      <c r="A229" s="28" t="s">
        <v>90</v>
      </c>
      <c r="B229" s="15">
        <v>0</v>
      </c>
      <c r="C229" s="29">
        <v>0</v>
      </c>
      <c r="D229" s="29">
        <v>0</v>
      </c>
      <c r="E229" s="29">
        <v>0</v>
      </c>
    </row>
    <row r="230" spans="1:5" ht="15.75" thickBot="1" x14ac:dyDescent="0.3">
      <c r="A230" s="13" t="s">
        <v>38</v>
      </c>
      <c r="B230" s="814">
        <v>1401.6</v>
      </c>
      <c r="C230" s="14">
        <f t="shared" ref="C230:E231" si="5">C160+C64</f>
        <v>0</v>
      </c>
      <c r="D230" s="14">
        <f t="shared" si="5"/>
        <v>0</v>
      </c>
      <c r="E230" s="14">
        <f t="shared" si="5"/>
        <v>0</v>
      </c>
    </row>
    <row r="231" spans="1:5" ht="24.75" thickBot="1" x14ac:dyDescent="0.3">
      <c r="A231" s="28" t="s">
        <v>91</v>
      </c>
      <c r="B231" s="14">
        <f>B161+B65</f>
        <v>0</v>
      </c>
      <c r="C231" s="14">
        <f t="shared" si="5"/>
        <v>0</v>
      </c>
      <c r="D231" s="14">
        <f t="shared" si="5"/>
        <v>0</v>
      </c>
      <c r="E231" s="14">
        <f t="shared" si="5"/>
        <v>0</v>
      </c>
    </row>
    <row r="232" spans="1:5" ht="15.75" thickBot="1" x14ac:dyDescent="0.3">
      <c r="A232" s="13" t="s">
        <v>92</v>
      </c>
      <c r="B232" s="14">
        <f t="shared" ref="B232:E233" si="6">B89+B112+B185+B208</f>
        <v>0</v>
      </c>
      <c r="C232" s="14">
        <f t="shared" si="6"/>
        <v>0</v>
      </c>
      <c r="D232" s="14">
        <f t="shared" si="6"/>
        <v>0</v>
      </c>
      <c r="E232" s="14">
        <f t="shared" si="6"/>
        <v>0</v>
      </c>
    </row>
    <row r="233" spans="1:5" ht="15.75" thickBot="1" x14ac:dyDescent="0.3">
      <c r="A233" s="28" t="s">
        <v>93</v>
      </c>
      <c r="B233" s="14">
        <f t="shared" si="6"/>
        <v>3261</v>
      </c>
      <c r="C233" s="14">
        <f t="shared" si="6"/>
        <v>1630</v>
      </c>
      <c r="D233" s="14">
        <f t="shared" si="6"/>
        <v>1450</v>
      </c>
      <c r="E233" s="14">
        <f t="shared" si="6"/>
        <v>1450</v>
      </c>
    </row>
    <row r="234" spans="1:5" ht="15.75" thickBot="1" x14ac:dyDescent="0.3">
      <c r="A234" s="13" t="s">
        <v>94</v>
      </c>
      <c r="B234" s="14">
        <f>B90+B113+B186+B209</f>
        <v>3261</v>
      </c>
      <c r="C234" s="14">
        <f>C90+C113+C186+C209</f>
        <v>1630</v>
      </c>
      <c r="D234" s="14">
        <f>D90+D113+D186+D209</f>
        <v>1450</v>
      </c>
      <c r="E234" s="14">
        <f>E90+E113+E186+E209</f>
        <v>1450</v>
      </c>
    </row>
    <row r="235" spans="1:5" ht="15.75" thickBot="1" x14ac:dyDescent="0.3">
      <c r="A235" s="28" t="s">
        <v>95</v>
      </c>
      <c r="B235" s="15">
        <v>0</v>
      </c>
      <c r="C235" s="29">
        <f>C234/B234-1</f>
        <v>-0.5001533272002453</v>
      </c>
      <c r="D235" s="29">
        <f>D234/C234-1</f>
        <v>-0.11042944785276076</v>
      </c>
      <c r="E235" s="29">
        <f>E234/D234-1</f>
        <v>0</v>
      </c>
    </row>
    <row r="236" spans="1:5" x14ac:dyDescent="0.25">
      <c r="A236" s="1306" t="s">
        <v>1413</v>
      </c>
      <c r="B236" s="1322" t="s">
        <v>106</v>
      </c>
      <c r="C236" s="1289"/>
      <c r="D236" s="1289"/>
      <c r="E236" s="1290"/>
    </row>
    <row r="237" spans="1:5" x14ac:dyDescent="0.25">
      <c r="A237" s="1307"/>
      <c r="B237" s="1291"/>
      <c r="C237" s="1292"/>
      <c r="D237" s="1292"/>
      <c r="E237" s="1293"/>
    </row>
    <row r="238" spans="1:5" ht="15.75" thickBot="1" x14ac:dyDescent="0.3">
      <c r="A238" s="1308"/>
      <c r="B238" s="1294"/>
      <c r="C238" s="1295"/>
      <c r="D238" s="1295"/>
      <c r="E238" s="1296"/>
    </row>
    <row r="239" spans="1:5" ht="15.75" thickBot="1" x14ac:dyDescent="0.3">
      <c r="A239" s="17" t="s">
        <v>41</v>
      </c>
      <c r="B239" s="18">
        <f>IF(B216-B215=0,0,"Error")</f>
        <v>0</v>
      </c>
      <c r="C239" s="18">
        <f>IF(C216-C215=0,0,"Error")</f>
        <v>0</v>
      </c>
      <c r="D239" s="18">
        <f>IF(D216-D215=0,0,"Error")</f>
        <v>0</v>
      </c>
      <c r="E239" s="18">
        <f>IF(E216-E215=0,0,"Error")</f>
        <v>0</v>
      </c>
    </row>
    <row r="240" spans="1:5" ht="34.5" customHeight="1" thickBot="1" x14ac:dyDescent="0.3">
      <c r="A240" s="30" t="s">
        <v>96</v>
      </c>
      <c r="B240" s="14">
        <v>21</v>
      </c>
      <c r="C240" s="14">
        <v>24</v>
      </c>
      <c r="D240" s="14">
        <v>24</v>
      </c>
      <c r="E240" s="14">
        <v>24</v>
      </c>
    </row>
    <row r="241" spans="1:5" ht="48.75" customHeight="1" thickBot="1" x14ac:dyDescent="0.3">
      <c r="A241" s="30" t="s">
        <v>97</v>
      </c>
      <c r="B241" s="14" t="s">
        <v>23</v>
      </c>
      <c r="C241" s="14" t="s">
        <v>23</v>
      </c>
      <c r="D241" s="14" t="s">
        <v>23</v>
      </c>
      <c r="E241" s="14" t="s">
        <v>23</v>
      </c>
    </row>
  </sheetData>
  <mergeCells count="85">
    <mergeCell ref="A206:A207"/>
    <mergeCell ref="A211:A213"/>
    <mergeCell ref="B211:E213"/>
    <mergeCell ref="B194:E194"/>
    <mergeCell ref="B195:E195"/>
    <mergeCell ref="B196:E196"/>
    <mergeCell ref="A197:A198"/>
    <mergeCell ref="A205:E205"/>
    <mergeCell ref="A123:E123"/>
    <mergeCell ref="A122:E122"/>
    <mergeCell ref="A169:E169"/>
    <mergeCell ref="B118:E118"/>
    <mergeCell ref="A129:A130"/>
    <mergeCell ref="B127:E127"/>
    <mergeCell ref="A168:E168"/>
    <mergeCell ref="B126:E126"/>
    <mergeCell ref="A137:A138"/>
    <mergeCell ref="A140:A141"/>
    <mergeCell ref="A139:E139"/>
    <mergeCell ref="A124:A125"/>
    <mergeCell ref="B128:E128"/>
    <mergeCell ref="A11:E11"/>
    <mergeCell ref="B13:E13"/>
    <mergeCell ref="B14:E14"/>
    <mergeCell ref="B15:E15"/>
    <mergeCell ref="A16:E16"/>
    <mergeCell ref="A68:A70"/>
    <mergeCell ref="B77:E77"/>
    <mergeCell ref="A78:A79"/>
    <mergeCell ref="B68:E70"/>
    <mergeCell ref="A17:E19"/>
    <mergeCell ref="B20:E20"/>
    <mergeCell ref="A21:A22"/>
    <mergeCell ref="B26:E26"/>
    <mergeCell ref="A30:E30"/>
    <mergeCell ref="A43:E43"/>
    <mergeCell ref="A35:A36"/>
    <mergeCell ref="A44:A45"/>
    <mergeCell ref="B33:E33"/>
    <mergeCell ref="A73:E73"/>
    <mergeCell ref="B74:E74"/>
    <mergeCell ref="B76:E76"/>
    <mergeCell ref="A101:A102"/>
    <mergeCell ref="A95:E95"/>
    <mergeCell ref="A96:E96"/>
    <mergeCell ref="B97:E97"/>
    <mergeCell ref="A92:A94"/>
    <mergeCell ref="B92:E94"/>
    <mergeCell ref="B5:E5"/>
    <mergeCell ref="B6:E6"/>
    <mergeCell ref="B7:E7"/>
    <mergeCell ref="C8:E8"/>
    <mergeCell ref="C9:E9"/>
    <mergeCell ref="A27:E27"/>
    <mergeCell ref="A119:E119"/>
    <mergeCell ref="B32:E32"/>
    <mergeCell ref="B34:E34"/>
    <mergeCell ref="A31:E31"/>
    <mergeCell ref="A72:E72"/>
    <mergeCell ref="B75:E75"/>
    <mergeCell ref="A110:A111"/>
    <mergeCell ref="A115:A117"/>
    <mergeCell ref="B115:E117"/>
    <mergeCell ref="A109:E109"/>
    <mergeCell ref="A86:E86"/>
    <mergeCell ref="A87:A88"/>
    <mergeCell ref="B98:E98"/>
    <mergeCell ref="B99:E99"/>
    <mergeCell ref="B100:E100"/>
    <mergeCell ref="A236:A238"/>
    <mergeCell ref="B236:E238"/>
    <mergeCell ref="A164:A166"/>
    <mergeCell ref="B164:E166"/>
    <mergeCell ref="A188:A190"/>
    <mergeCell ref="B170:E170"/>
    <mergeCell ref="B171:E171"/>
    <mergeCell ref="B172:E172"/>
    <mergeCell ref="B173:E173"/>
    <mergeCell ref="A191:E191"/>
    <mergeCell ref="A174:A175"/>
    <mergeCell ref="A182:E182"/>
    <mergeCell ref="A183:A184"/>
    <mergeCell ref="B188:E190"/>
    <mergeCell ref="A192:E192"/>
    <mergeCell ref="B193:E193"/>
  </mergeCells>
  <pageMargins left="0.7" right="0.7" top="0.75" bottom="0.75" header="0.3" footer="0.3"/>
  <pageSetup orientation="portrait" r:id="rId1"/>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2:I317"/>
  <sheetViews>
    <sheetView view="pageBreakPreview" topLeftCell="A148" zoomScale="55" zoomScaleNormal="70" zoomScaleSheetLayoutView="55" workbookViewId="0">
      <selection activeCell="N315" sqref="N315"/>
    </sheetView>
  </sheetViews>
  <sheetFormatPr defaultRowHeight="15" x14ac:dyDescent="0.25"/>
  <cols>
    <col min="1" max="1" width="40.28515625" customWidth="1"/>
    <col min="2" max="2" width="44.7109375" customWidth="1"/>
    <col min="3" max="5" width="21.42578125" customWidth="1"/>
    <col min="6" max="6" width="11" customWidth="1"/>
    <col min="7" max="7" width="11" bestFit="1" customWidth="1"/>
  </cols>
  <sheetData>
    <row r="2" spans="1:5" x14ac:dyDescent="0.25">
      <c r="A2" s="189" t="s">
        <v>898</v>
      </c>
      <c r="B2" s="188"/>
      <c r="C2" s="188"/>
      <c r="D2" s="188"/>
    </row>
    <row r="4" spans="1:5" ht="15.75" thickBot="1" x14ac:dyDescent="0.3"/>
    <row r="5" spans="1:5" ht="32.25" thickBot="1" x14ac:dyDescent="0.3">
      <c r="A5" s="168" t="s">
        <v>897</v>
      </c>
      <c r="B5" s="1084" t="s">
        <v>1462</v>
      </c>
      <c r="C5" s="1085"/>
      <c r="D5" s="1085"/>
      <c r="E5" s="1086"/>
    </row>
    <row r="6" spans="1:5" ht="16.5" thickBot="1" x14ac:dyDescent="0.3">
      <c r="A6" s="36" t="s">
        <v>895</v>
      </c>
      <c r="B6" s="1087" t="s">
        <v>1461</v>
      </c>
      <c r="C6" s="1088"/>
      <c r="D6" s="1088"/>
      <c r="E6" s="1089"/>
    </row>
    <row r="7" spans="1:5" ht="75" customHeight="1" thickBot="1" x14ac:dyDescent="0.3">
      <c r="A7" s="36" t="s">
        <v>893</v>
      </c>
      <c r="B7" s="1239" t="s">
        <v>1460</v>
      </c>
      <c r="C7" s="1095"/>
      <c r="D7" s="1095"/>
      <c r="E7" s="1096"/>
    </row>
    <row r="8" spans="1:5" ht="16.5" thickBot="1" x14ac:dyDescent="0.3">
      <c r="A8" s="36" t="s">
        <v>891</v>
      </c>
      <c r="B8" s="167" t="s">
        <v>3</v>
      </c>
      <c r="C8" s="1093" t="s">
        <v>7</v>
      </c>
      <c r="D8" s="1093"/>
      <c r="E8" s="1094"/>
    </row>
    <row r="9" spans="1:5" ht="32.25" thickBot="1" x14ac:dyDescent="0.3">
      <c r="A9" s="36" t="s">
        <v>1459</v>
      </c>
      <c r="B9" s="219" t="s">
        <v>741</v>
      </c>
      <c r="C9" s="1095" t="s">
        <v>1459</v>
      </c>
      <c r="D9" s="1095"/>
      <c r="E9" s="1096"/>
    </row>
    <row r="11" spans="1:5" ht="18" customHeight="1" x14ac:dyDescent="0.25">
      <c r="A11" s="1247" t="s">
        <v>926</v>
      </c>
      <c r="B11" s="1247"/>
      <c r="C11" s="1247"/>
      <c r="D11" s="1247"/>
      <c r="E11" s="1247"/>
    </row>
    <row r="12" spans="1:5" ht="15.75" thickBot="1" x14ac:dyDescent="0.3"/>
    <row r="13" spans="1:5" ht="15.75" thickBot="1" x14ac:dyDescent="0.3">
      <c r="A13" s="2" t="s">
        <v>2</v>
      </c>
      <c r="B13" s="1263" t="s">
        <v>1459</v>
      </c>
      <c r="C13" s="1263"/>
      <c r="D13" s="1263"/>
      <c r="E13" s="1263"/>
    </row>
    <row r="14" spans="1:5" ht="15.75" thickBot="1" x14ac:dyDescent="0.3">
      <c r="A14" s="2" t="s">
        <v>3</v>
      </c>
      <c r="B14" s="1087" t="s">
        <v>741</v>
      </c>
      <c r="C14" s="1088"/>
      <c r="D14" s="1088"/>
      <c r="E14" s="1089"/>
    </row>
    <row r="15" spans="1:5" ht="15.75" thickBot="1" x14ac:dyDescent="0.3">
      <c r="A15" s="2" t="s">
        <v>5</v>
      </c>
      <c r="B15" s="1265" t="s">
        <v>6</v>
      </c>
      <c r="C15" s="1095"/>
      <c r="D15" s="1095"/>
      <c r="E15" s="1096"/>
    </row>
    <row r="16" spans="1:5" ht="15.75" thickBot="1" x14ac:dyDescent="0.3">
      <c r="A16" s="1266" t="s">
        <v>7</v>
      </c>
      <c r="B16" s="1267"/>
      <c r="C16" s="1267"/>
      <c r="D16" s="1267"/>
      <c r="E16" s="1297"/>
    </row>
    <row r="17" spans="1:8" ht="15.75" thickBot="1" x14ac:dyDescent="0.3">
      <c r="A17" s="1268" t="s">
        <v>1458</v>
      </c>
      <c r="B17" s="1269"/>
      <c r="C17" s="1269"/>
      <c r="D17" s="1269"/>
      <c r="E17" s="1301"/>
    </row>
    <row r="18" spans="1:8" ht="36.75" customHeight="1" thickBot="1" x14ac:dyDescent="0.3">
      <c r="A18" s="1268"/>
      <c r="B18" s="1269"/>
      <c r="C18" s="1269"/>
      <c r="D18" s="1269"/>
      <c r="E18" s="1301"/>
    </row>
    <row r="19" spans="1:8" ht="15.75" thickBot="1" x14ac:dyDescent="0.3">
      <c r="A19" s="1268"/>
      <c r="B19" s="1269"/>
      <c r="C19" s="1269"/>
      <c r="D19" s="1269"/>
      <c r="E19" s="1301"/>
    </row>
    <row r="20" spans="1:8" ht="42.75" customHeight="1" thickBot="1" x14ac:dyDescent="0.3">
      <c r="A20" s="3" t="s">
        <v>8</v>
      </c>
      <c r="B20" s="1302" t="s">
        <v>1457</v>
      </c>
      <c r="C20" s="1303"/>
      <c r="D20" s="1303"/>
      <c r="E20" s="1304"/>
    </row>
    <row r="21" spans="1:8" ht="23.25" customHeight="1" x14ac:dyDescent="0.25">
      <c r="A21" s="1250" t="s">
        <v>102</v>
      </c>
      <c r="B21" s="245">
        <v>2018</v>
      </c>
      <c r="C21" s="245">
        <v>2019</v>
      </c>
      <c r="D21" s="245">
        <v>2020</v>
      </c>
      <c r="E21" s="245">
        <v>2021</v>
      </c>
    </row>
    <row r="22" spans="1:8" ht="15.75" thickBot="1" x14ac:dyDescent="0.3">
      <c r="A22" s="1251"/>
      <c r="B22" s="244" t="s">
        <v>10</v>
      </c>
      <c r="C22" s="244" t="s">
        <v>11</v>
      </c>
      <c r="D22" s="244" t="s">
        <v>11</v>
      </c>
      <c r="E22" s="244" t="s">
        <v>11</v>
      </c>
    </row>
    <row r="23" spans="1:8" ht="15.75" thickBot="1" x14ac:dyDescent="0.3">
      <c r="A23" s="819" t="s">
        <v>742</v>
      </c>
      <c r="B23" s="824">
        <v>443</v>
      </c>
      <c r="C23" s="824">
        <v>455</v>
      </c>
      <c r="D23" s="824">
        <v>476</v>
      </c>
      <c r="E23" s="824">
        <v>485</v>
      </c>
    </row>
    <row r="24" spans="1:8" ht="23.25" thickBot="1" x14ac:dyDescent="0.3">
      <c r="A24" s="433" t="s">
        <v>1456</v>
      </c>
      <c r="B24" s="824" t="s">
        <v>1455</v>
      </c>
      <c r="C24" s="824" t="s">
        <v>1454</v>
      </c>
      <c r="D24" s="824" t="s">
        <v>1453</v>
      </c>
      <c r="E24" s="824" t="s">
        <v>1452</v>
      </c>
    </row>
    <row r="25" spans="1:8" ht="23.25" thickBot="1" x14ac:dyDescent="0.3">
      <c r="A25" s="5" t="s">
        <v>1451</v>
      </c>
      <c r="B25" s="4">
        <v>0.6</v>
      </c>
      <c r="C25" s="4">
        <v>0.65</v>
      </c>
      <c r="D25" s="4">
        <v>0.7</v>
      </c>
      <c r="E25" s="4">
        <v>0.73</v>
      </c>
    </row>
    <row r="26" spans="1:8" ht="15.75" thickBot="1" x14ac:dyDescent="0.3">
      <c r="A26" s="6" t="s">
        <v>12</v>
      </c>
      <c r="B26" s="1272" t="s">
        <v>743</v>
      </c>
      <c r="C26" s="1270"/>
      <c r="D26" s="1270"/>
      <c r="E26" s="1305"/>
    </row>
    <row r="27" spans="1:8" ht="23.25" customHeight="1" thickBot="1" x14ac:dyDescent="0.3">
      <c r="A27" s="1245" t="s">
        <v>103</v>
      </c>
      <c r="B27" s="1246"/>
      <c r="C27" s="1246"/>
      <c r="D27" s="1246"/>
      <c r="E27" s="1298"/>
      <c r="F27" s="35"/>
      <c r="H27" s="35"/>
    </row>
    <row r="28" spans="1:8" ht="23.25" thickBot="1" x14ac:dyDescent="0.3">
      <c r="A28" s="819" t="s">
        <v>1450</v>
      </c>
      <c r="B28" s="824">
        <v>6</v>
      </c>
      <c r="C28" s="824">
        <v>11</v>
      </c>
      <c r="D28" s="824">
        <v>14</v>
      </c>
      <c r="E28" s="824">
        <v>17</v>
      </c>
    </row>
    <row r="29" spans="1:8" ht="23.25" thickBot="1" x14ac:dyDescent="0.3">
      <c r="A29" s="819" t="s">
        <v>1449</v>
      </c>
      <c r="B29" s="824">
        <v>3</v>
      </c>
      <c r="C29" s="824">
        <v>8</v>
      </c>
      <c r="D29" s="824">
        <v>13</v>
      </c>
      <c r="E29" s="824">
        <v>18</v>
      </c>
    </row>
    <row r="30" spans="1:8" ht="15.75" thickBot="1" x14ac:dyDescent="0.3">
      <c r="A30" s="819" t="s">
        <v>1448</v>
      </c>
      <c r="B30" s="824">
        <v>0</v>
      </c>
      <c r="C30" s="824">
        <v>3</v>
      </c>
      <c r="D30" s="824">
        <v>4</v>
      </c>
      <c r="E30" s="824">
        <v>4</v>
      </c>
    </row>
    <row r="31" spans="1:8" ht="23.25" thickBot="1" x14ac:dyDescent="0.3">
      <c r="A31" s="819" t="s">
        <v>1447</v>
      </c>
      <c r="B31" s="824" t="s">
        <v>1446</v>
      </c>
      <c r="C31" s="824" t="s">
        <v>1445</v>
      </c>
      <c r="D31" s="824" t="s">
        <v>1444</v>
      </c>
      <c r="E31" s="824" t="s">
        <v>1443</v>
      </c>
    </row>
    <row r="32" spans="1:8" ht="23.25" thickBot="1" x14ac:dyDescent="0.3">
      <c r="A32" s="421" t="s">
        <v>744</v>
      </c>
      <c r="B32" s="824">
        <v>262</v>
      </c>
      <c r="C32" s="824">
        <v>280</v>
      </c>
      <c r="D32" s="824">
        <v>300</v>
      </c>
      <c r="E32" s="824">
        <v>315</v>
      </c>
    </row>
    <row r="33" spans="1:9" ht="23.25" thickBot="1" x14ac:dyDescent="0.3">
      <c r="A33" s="421" t="s">
        <v>1442</v>
      </c>
      <c r="B33" s="818">
        <v>0.15</v>
      </c>
      <c r="C33" s="818">
        <v>0.1</v>
      </c>
      <c r="D33" s="818">
        <v>7.0000000000000007E-2</v>
      </c>
      <c r="E33" s="818">
        <v>0.05</v>
      </c>
    </row>
    <row r="34" spans="1:9" ht="15.75" thickBot="1" x14ac:dyDescent="0.3">
      <c r="A34" s="1273" t="s">
        <v>14</v>
      </c>
      <c r="B34" s="1274"/>
      <c r="C34" s="1274"/>
      <c r="D34" s="1274"/>
      <c r="E34" s="1299"/>
    </row>
    <row r="35" spans="1:9" ht="15.75" thickBot="1" x14ac:dyDescent="0.3">
      <c r="A35" s="1275" t="s">
        <v>104</v>
      </c>
      <c r="B35" s="1276"/>
      <c r="C35" s="1276"/>
      <c r="D35" s="1276"/>
      <c r="E35" s="1317"/>
    </row>
    <row r="36" spans="1:9" ht="15.75" thickBot="1" x14ac:dyDescent="0.3">
      <c r="A36" s="7" t="s">
        <v>105</v>
      </c>
      <c r="B36" s="2279" t="s">
        <v>1441</v>
      </c>
      <c r="C36" s="2280"/>
      <c r="D36" s="2280"/>
      <c r="E36" s="2281"/>
    </row>
    <row r="37" spans="1:9" ht="17.25" customHeight="1" thickBot="1" x14ac:dyDescent="0.3">
      <c r="A37" s="5" t="s">
        <v>17</v>
      </c>
      <c r="B37" s="1319" t="s">
        <v>1440</v>
      </c>
      <c r="C37" s="1320"/>
      <c r="D37" s="1320"/>
      <c r="E37" s="1321"/>
    </row>
    <row r="38" spans="1:9" ht="15.75" thickBot="1" x14ac:dyDescent="0.3">
      <c r="A38" s="5" t="s">
        <v>18</v>
      </c>
      <c r="B38" s="1326" t="s">
        <v>1439</v>
      </c>
      <c r="C38" s="1327"/>
      <c r="D38" s="1327"/>
      <c r="E38" s="1328"/>
    </row>
    <row r="39" spans="1:9" ht="12.75" customHeight="1" x14ac:dyDescent="0.25">
      <c r="A39" s="1250"/>
      <c r="B39" s="8">
        <v>2018</v>
      </c>
      <c r="C39" s="8">
        <v>2019</v>
      </c>
      <c r="D39" s="8">
        <v>2020</v>
      </c>
      <c r="E39" s="8">
        <v>2021</v>
      </c>
    </row>
    <row r="40" spans="1:9" ht="9" customHeight="1" thickBot="1" x14ac:dyDescent="0.3">
      <c r="A40" s="1251"/>
      <c r="B40" s="9" t="s">
        <v>10</v>
      </c>
      <c r="C40" s="9" t="s">
        <v>11</v>
      </c>
      <c r="D40" s="9" t="s">
        <v>11</v>
      </c>
      <c r="E40" s="9" t="s">
        <v>11</v>
      </c>
    </row>
    <row r="41" spans="1:9" ht="15.75" thickBot="1" x14ac:dyDescent="0.3">
      <c r="A41" s="5" t="s">
        <v>19</v>
      </c>
      <c r="B41" s="823">
        <v>1</v>
      </c>
      <c r="C41" s="823">
        <v>1</v>
      </c>
      <c r="D41" s="823">
        <v>1</v>
      </c>
      <c r="E41" s="823">
        <v>1</v>
      </c>
    </row>
    <row r="42" spans="1:9" ht="15.75" thickBot="1" x14ac:dyDescent="0.3">
      <c r="A42" s="5" t="s">
        <v>20</v>
      </c>
      <c r="B42" s="10">
        <v>154270</v>
      </c>
      <c r="C42" s="10">
        <v>226460</v>
      </c>
      <c r="D42" s="10">
        <v>282460</v>
      </c>
      <c r="E42" s="10">
        <v>337410</v>
      </c>
    </row>
    <row r="43" spans="1:9" ht="15.75" thickBot="1" x14ac:dyDescent="0.3">
      <c r="A43" s="5" t="s">
        <v>21</v>
      </c>
      <c r="B43" s="10">
        <f>B42/B41</f>
        <v>154270</v>
      </c>
      <c r="C43" s="10">
        <f>C42/C41</f>
        <v>226460</v>
      </c>
      <c r="D43" s="10">
        <f>D42/D41</f>
        <v>282460</v>
      </c>
      <c r="E43" s="10">
        <f>E42/E41</f>
        <v>337410</v>
      </c>
    </row>
    <row r="44" spans="1:9" ht="15.75" thickBot="1" x14ac:dyDescent="0.3">
      <c r="A44" s="5" t="s">
        <v>22</v>
      </c>
      <c r="B44" s="225" t="s">
        <v>23</v>
      </c>
      <c r="C44" s="11">
        <f t="shared" ref="C44:E46" si="0">C41/B41-1</f>
        <v>0</v>
      </c>
      <c r="D44" s="11">
        <f t="shared" si="0"/>
        <v>0</v>
      </c>
      <c r="E44" s="11">
        <f t="shared" si="0"/>
        <v>0</v>
      </c>
      <c r="F44" s="12"/>
      <c r="G44" s="12"/>
      <c r="H44" s="12"/>
      <c r="I44" s="12"/>
    </row>
    <row r="45" spans="1:9" ht="15.75" thickBot="1" x14ac:dyDescent="0.3">
      <c r="A45" s="5" t="s">
        <v>24</v>
      </c>
      <c r="B45" s="225" t="s">
        <v>23</v>
      </c>
      <c r="C45" s="11">
        <f t="shared" si="0"/>
        <v>0.4679458092953912</v>
      </c>
      <c r="D45" s="11">
        <f t="shared" si="0"/>
        <v>0.24728428861609109</v>
      </c>
      <c r="E45" s="11">
        <f t="shared" si="0"/>
        <v>0.19454081993910632</v>
      </c>
    </row>
    <row r="46" spans="1:9" ht="15.75" thickBot="1" x14ac:dyDescent="0.3">
      <c r="A46" s="5" t="s">
        <v>25</v>
      </c>
      <c r="B46" s="225" t="s">
        <v>23</v>
      </c>
      <c r="C46" s="11">
        <f t="shared" si="0"/>
        <v>0.4679458092953912</v>
      </c>
      <c r="D46" s="11">
        <f t="shared" si="0"/>
        <v>0.24728428861609109</v>
      </c>
      <c r="E46" s="11">
        <f t="shared" si="0"/>
        <v>0.19454081993910632</v>
      </c>
    </row>
    <row r="47" spans="1:9" ht="15.75" thickBot="1" x14ac:dyDescent="0.3">
      <c r="A47" s="1252" t="s">
        <v>633</v>
      </c>
      <c r="B47" s="1253"/>
      <c r="C47" s="1253"/>
      <c r="D47" s="1253"/>
      <c r="E47" s="1300"/>
    </row>
    <row r="48" spans="1:9" ht="12.75" customHeight="1" x14ac:dyDescent="0.25">
      <c r="A48" s="1250"/>
      <c r="B48" s="8">
        <v>2018</v>
      </c>
      <c r="C48" s="8">
        <v>2019</v>
      </c>
      <c r="D48" s="8">
        <v>2020</v>
      </c>
      <c r="E48" s="8">
        <v>2021</v>
      </c>
    </row>
    <row r="49" spans="1:5" ht="9" customHeight="1" thickBot="1" x14ac:dyDescent="0.3">
      <c r="A49" s="1251"/>
      <c r="B49" s="9" t="s">
        <v>10</v>
      </c>
      <c r="C49" s="9" t="s">
        <v>11</v>
      </c>
      <c r="D49" s="9" t="s">
        <v>11</v>
      </c>
      <c r="E49" s="9" t="s">
        <v>11</v>
      </c>
    </row>
    <row r="50" spans="1:5" ht="15.75" thickBot="1" x14ac:dyDescent="0.3">
      <c r="A50" s="13" t="s">
        <v>26</v>
      </c>
      <c r="B50" s="14">
        <v>107780</v>
      </c>
      <c r="C50" s="14">
        <f>157000+4600</f>
        <v>161600</v>
      </c>
      <c r="D50" s="14">
        <f>197000+4600</f>
        <v>201600</v>
      </c>
      <c r="E50" s="14">
        <f>236450+4600</f>
        <v>241050</v>
      </c>
    </row>
    <row r="51" spans="1:5" ht="15.75" thickBot="1" x14ac:dyDescent="0.3">
      <c r="A51" s="13" t="s">
        <v>28</v>
      </c>
      <c r="B51" s="14">
        <v>21490</v>
      </c>
      <c r="C51" s="14">
        <f>26400+760</f>
        <v>27160</v>
      </c>
      <c r="D51" s="14">
        <f>33000+760</f>
        <v>33760</v>
      </c>
      <c r="E51" s="14">
        <f>39500+760</f>
        <v>40260</v>
      </c>
    </row>
    <row r="52" spans="1:5" ht="15.75" thickBot="1" x14ac:dyDescent="0.3">
      <c r="A52" s="13" t="s">
        <v>30</v>
      </c>
      <c r="B52" s="15">
        <v>25000</v>
      </c>
      <c r="C52" s="14">
        <f>36600+1100</f>
        <v>37700</v>
      </c>
      <c r="D52" s="14">
        <f>46000+1100</f>
        <v>47100</v>
      </c>
      <c r="E52" s="14">
        <f>55000+1100</f>
        <v>56100</v>
      </c>
    </row>
    <row r="53" spans="1:5" ht="15.75" thickBot="1" x14ac:dyDescent="0.3">
      <c r="A53" s="13" t="s">
        <v>32</v>
      </c>
      <c r="B53" s="15">
        <v>0</v>
      </c>
      <c r="C53" s="14">
        <v>0</v>
      </c>
      <c r="D53" s="14">
        <v>0</v>
      </c>
      <c r="E53" s="14">
        <v>0</v>
      </c>
    </row>
    <row r="54" spans="1:5" ht="15.75" thickBot="1" x14ac:dyDescent="0.3">
      <c r="A54" s="13" t="s">
        <v>34</v>
      </c>
      <c r="B54" s="15">
        <v>0</v>
      </c>
      <c r="C54" s="14">
        <v>0</v>
      </c>
      <c r="D54" s="14">
        <v>0</v>
      </c>
      <c r="E54" s="14">
        <v>0</v>
      </c>
    </row>
    <row r="55" spans="1:5" ht="15.75" thickBot="1" x14ac:dyDescent="0.3">
      <c r="A55" s="13" t="s">
        <v>36</v>
      </c>
      <c r="B55" s="15">
        <v>0</v>
      </c>
      <c r="C55" s="14">
        <v>0</v>
      </c>
      <c r="D55" s="14">
        <v>0</v>
      </c>
      <c r="E55" s="14">
        <v>0</v>
      </c>
    </row>
    <row r="56" spans="1:5" ht="15.75" thickBot="1" x14ac:dyDescent="0.3">
      <c r="A56" s="13" t="s">
        <v>38</v>
      </c>
      <c r="B56" s="15">
        <v>0</v>
      </c>
      <c r="C56" s="14">
        <v>0</v>
      </c>
      <c r="D56" s="14">
        <v>0</v>
      </c>
      <c r="E56" s="14">
        <v>0</v>
      </c>
    </row>
    <row r="57" spans="1:5" ht="15.75" thickBot="1" x14ac:dyDescent="0.3">
      <c r="A57" s="16" t="s">
        <v>40</v>
      </c>
      <c r="B57" s="15">
        <f>B56+B55+B54+B53+B52+B51+B50</f>
        <v>154270</v>
      </c>
      <c r="C57" s="15">
        <f>C56+C55+C54+C53+C52+C51+C50</f>
        <v>226460</v>
      </c>
      <c r="D57" s="15">
        <f>D56+D55+D54+D53+D52+D51+D50</f>
        <v>282460</v>
      </c>
      <c r="E57" s="15">
        <f>E56+E55+E54+E53+E52+E51+E50</f>
        <v>337410</v>
      </c>
    </row>
    <row r="58" spans="1:5" ht="15.75" thickBot="1" x14ac:dyDescent="0.3">
      <c r="A58" s="17" t="s">
        <v>41</v>
      </c>
      <c r="B58" s="18">
        <f>IF(B57-B42=0,0,"Error")</f>
        <v>0</v>
      </c>
      <c r="C58" s="18">
        <f>IF(C57-C42=0,0,"Error")</f>
        <v>0</v>
      </c>
      <c r="D58" s="18">
        <f>IF(D57-D42=0,0,"Error")</f>
        <v>0</v>
      </c>
      <c r="E58" s="18">
        <f>IF(E57-E42=0,0,"Error")</f>
        <v>0</v>
      </c>
    </row>
    <row r="59" spans="1:5" ht="15.75" hidden="1" thickBot="1" x14ac:dyDescent="0.3">
      <c r="A59" s="139" t="s">
        <v>637</v>
      </c>
      <c r="B59" s="1243" t="s">
        <v>106</v>
      </c>
      <c r="C59" s="1244"/>
      <c r="D59" s="1244"/>
      <c r="E59" s="1315"/>
    </row>
    <row r="60" spans="1:5" ht="15.75" hidden="1" thickBot="1" x14ac:dyDescent="0.3">
      <c r="A60" s="5" t="s">
        <v>17</v>
      </c>
      <c r="B60" s="1245" t="s">
        <v>106</v>
      </c>
      <c r="C60" s="1246"/>
      <c r="D60" s="1246"/>
      <c r="E60" s="1298"/>
    </row>
    <row r="61" spans="1:5" ht="15.75" hidden="1" thickBot="1" x14ac:dyDescent="0.3">
      <c r="A61" s="5" t="s">
        <v>18</v>
      </c>
      <c r="B61" s="1248" t="s">
        <v>106</v>
      </c>
      <c r="C61" s="1249"/>
      <c r="D61" s="1249"/>
      <c r="E61" s="1316"/>
    </row>
    <row r="62" spans="1:5" ht="15.75" hidden="1" thickBot="1" x14ac:dyDescent="0.3">
      <c r="A62" s="5" t="s">
        <v>19</v>
      </c>
      <c r="B62" s="10"/>
      <c r="C62" s="10"/>
      <c r="D62" s="10"/>
      <c r="E62" s="10"/>
    </row>
    <row r="63" spans="1:5" ht="12.75" hidden="1" customHeight="1" x14ac:dyDescent="0.25">
      <c r="A63" s="1250"/>
      <c r="B63" s="8">
        <v>2018</v>
      </c>
      <c r="C63" s="8">
        <v>2019</v>
      </c>
      <c r="D63" s="8">
        <v>2020</v>
      </c>
      <c r="E63" s="8">
        <v>2021</v>
      </c>
    </row>
    <row r="64" spans="1:5" ht="9" hidden="1" customHeight="1" thickBot="1" x14ac:dyDescent="0.3">
      <c r="A64" s="1251"/>
      <c r="B64" s="9" t="s">
        <v>10</v>
      </c>
      <c r="C64" s="9" t="s">
        <v>11</v>
      </c>
      <c r="D64" s="9" t="s">
        <v>11</v>
      </c>
      <c r="E64" s="9" t="s">
        <v>11</v>
      </c>
    </row>
    <row r="65" spans="1:5" ht="15.75" hidden="1" thickBot="1" x14ac:dyDescent="0.3">
      <c r="A65" s="5" t="s">
        <v>20</v>
      </c>
      <c r="B65" s="10"/>
      <c r="C65" s="10"/>
      <c r="D65" s="10"/>
      <c r="E65" s="10"/>
    </row>
    <row r="66" spans="1:5" ht="15.75" hidden="1" thickBot="1" x14ac:dyDescent="0.3">
      <c r="A66" s="5" t="s">
        <v>21</v>
      </c>
      <c r="B66" s="10" t="e">
        <f>B65/B62</f>
        <v>#DIV/0!</v>
      </c>
      <c r="C66" s="10" t="e">
        <f>C65/C62</f>
        <v>#DIV/0!</v>
      </c>
      <c r="D66" s="10" t="e">
        <f>D65/D62</f>
        <v>#DIV/0!</v>
      </c>
      <c r="E66" s="10" t="e">
        <f>E65/E62</f>
        <v>#DIV/0!</v>
      </c>
    </row>
    <row r="67" spans="1:5" ht="15.75" hidden="1" thickBot="1" x14ac:dyDescent="0.3">
      <c r="A67" s="5" t="s">
        <v>22</v>
      </c>
      <c r="B67" s="225"/>
      <c r="C67" s="11" t="e">
        <f>C62/B62-1</f>
        <v>#DIV/0!</v>
      </c>
      <c r="D67" s="11" t="e">
        <f>D62/C62-1</f>
        <v>#DIV/0!</v>
      </c>
      <c r="E67" s="11" t="e">
        <f>E62/D62-1</f>
        <v>#DIV/0!</v>
      </c>
    </row>
    <row r="68" spans="1:5" ht="15.75" hidden="1" thickBot="1" x14ac:dyDescent="0.3">
      <c r="A68" s="5" t="s">
        <v>24</v>
      </c>
      <c r="B68" s="225"/>
      <c r="C68" s="11" t="e">
        <f t="shared" ref="C68:E69" si="1">C65/B65-1</f>
        <v>#DIV/0!</v>
      </c>
      <c r="D68" s="11" t="e">
        <f t="shared" si="1"/>
        <v>#DIV/0!</v>
      </c>
      <c r="E68" s="11" t="e">
        <f t="shared" si="1"/>
        <v>#DIV/0!</v>
      </c>
    </row>
    <row r="69" spans="1:5" ht="15.75" hidden="1" thickBot="1" x14ac:dyDescent="0.3">
      <c r="A69" s="5" t="s">
        <v>25</v>
      </c>
      <c r="B69" s="225"/>
      <c r="C69" s="11" t="e">
        <f t="shared" si="1"/>
        <v>#DIV/0!</v>
      </c>
      <c r="D69" s="11" t="e">
        <f t="shared" si="1"/>
        <v>#DIV/0!</v>
      </c>
      <c r="E69" s="11" t="e">
        <f t="shared" si="1"/>
        <v>#DIV/0!</v>
      </c>
    </row>
    <row r="70" spans="1:5" ht="24.75" hidden="1" customHeight="1" thickBot="1" x14ac:dyDescent="0.3">
      <c r="A70" s="1252" t="s">
        <v>862</v>
      </c>
      <c r="B70" s="1253"/>
      <c r="C70" s="1253"/>
      <c r="D70" s="1253"/>
      <c r="E70" s="1300"/>
    </row>
    <row r="71" spans="1:5" ht="12.75" hidden="1" customHeight="1" x14ac:dyDescent="0.25">
      <c r="A71" s="1250"/>
      <c r="B71" s="8">
        <v>2018</v>
      </c>
      <c r="C71" s="8">
        <v>2019</v>
      </c>
      <c r="D71" s="8">
        <v>2020</v>
      </c>
      <c r="E71" s="8">
        <v>2021</v>
      </c>
    </row>
    <row r="72" spans="1:5" ht="9" hidden="1" customHeight="1" thickBot="1" x14ac:dyDescent="0.3">
      <c r="A72" s="1251"/>
      <c r="B72" s="9" t="s">
        <v>10</v>
      </c>
      <c r="C72" s="9" t="s">
        <v>11</v>
      </c>
      <c r="D72" s="9" t="s">
        <v>11</v>
      </c>
      <c r="E72" s="9" t="s">
        <v>11</v>
      </c>
    </row>
    <row r="73" spans="1:5" ht="24.75" hidden="1" customHeight="1" thickBot="1" x14ac:dyDescent="0.3">
      <c r="A73" s="13" t="s">
        <v>26</v>
      </c>
      <c r="B73" s="14"/>
      <c r="C73" s="14"/>
      <c r="D73" s="14"/>
      <c r="E73" s="14"/>
    </row>
    <row r="74" spans="1:5" ht="24.75" hidden="1" customHeight="1" thickBot="1" x14ac:dyDescent="0.3">
      <c r="A74" s="13" t="s">
        <v>28</v>
      </c>
      <c r="B74" s="14"/>
      <c r="C74" s="14"/>
      <c r="D74" s="14"/>
      <c r="E74" s="14"/>
    </row>
    <row r="75" spans="1:5" ht="24.75" hidden="1" customHeight="1" thickBot="1" x14ac:dyDescent="0.3">
      <c r="A75" s="13" t="s">
        <v>30</v>
      </c>
      <c r="B75" s="15"/>
      <c r="C75" s="14"/>
      <c r="D75" s="14"/>
      <c r="E75" s="14"/>
    </row>
    <row r="76" spans="1:5" ht="15.75" hidden="1" thickBot="1" x14ac:dyDescent="0.3">
      <c r="A76" s="13" t="s">
        <v>32</v>
      </c>
      <c r="B76" s="15"/>
      <c r="C76" s="14"/>
      <c r="D76" s="14"/>
      <c r="E76" s="14"/>
    </row>
    <row r="77" spans="1:5" ht="15.75" hidden="1" thickBot="1" x14ac:dyDescent="0.3">
      <c r="A77" s="13" t="s">
        <v>34</v>
      </c>
      <c r="B77" s="15"/>
      <c r="C77" s="14"/>
      <c r="D77" s="14"/>
      <c r="E77" s="14"/>
    </row>
    <row r="78" spans="1:5" ht="15.75" hidden="1" thickBot="1" x14ac:dyDescent="0.3">
      <c r="A78" s="13" t="s">
        <v>36</v>
      </c>
      <c r="B78" s="15"/>
      <c r="C78" s="14"/>
      <c r="D78" s="14"/>
      <c r="E78" s="14"/>
    </row>
    <row r="79" spans="1:5" ht="15.75" hidden="1" thickBot="1" x14ac:dyDescent="0.3">
      <c r="A79" s="13" t="s">
        <v>38</v>
      </c>
      <c r="B79" s="15"/>
      <c r="C79" s="14"/>
      <c r="D79" s="14"/>
      <c r="E79" s="14"/>
    </row>
    <row r="80" spans="1:5" ht="15.75" hidden="1" thickBot="1" x14ac:dyDescent="0.3">
      <c r="A80" s="135" t="s">
        <v>74</v>
      </c>
      <c r="B80" s="15">
        <f>B79+B78+B77+B76+B75+B74+B73</f>
        <v>0</v>
      </c>
      <c r="C80" s="15">
        <f>C79+C78+C77+C76+C75+C74+C73</f>
        <v>0</v>
      </c>
      <c r="D80" s="15">
        <f>D79+D78+D77+D76+D75+D74+D73</f>
        <v>0</v>
      </c>
      <c r="E80" s="15">
        <f>E79+E78+E77+E76+E75+E74+E73</f>
        <v>0</v>
      </c>
    </row>
    <row r="81" spans="1:9" ht="17.25" hidden="1" customHeight="1" thickBot="1" x14ac:dyDescent="0.3">
      <c r="A81" s="17" t="s">
        <v>41</v>
      </c>
      <c r="B81" s="18">
        <f>IF(B80-B65=0,0,"Error")</f>
        <v>0</v>
      </c>
      <c r="C81" s="18">
        <f>IF(C80-C65=0,0,"Error")</f>
        <v>0</v>
      </c>
      <c r="D81" s="18">
        <f>IF(D80-D65=0,0,"Error")</f>
        <v>0</v>
      </c>
      <c r="E81" s="18">
        <f>IF(E80-E65=0,0,"Error")</f>
        <v>0</v>
      </c>
    </row>
    <row r="82" spans="1:9" ht="15.75" thickBot="1" x14ac:dyDescent="0.3">
      <c r="A82" s="1275" t="s">
        <v>63</v>
      </c>
      <c r="B82" s="1276"/>
      <c r="C82" s="1276"/>
      <c r="D82" s="1276"/>
      <c r="E82" s="1317"/>
    </row>
    <row r="83" spans="1:9" ht="15.75" thickBot="1" x14ac:dyDescent="0.3">
      <c r="A83" s="1275" t="s">
        <v>56</v>
      </c>
      <c r="B83" s="1276"/>
      <c r="C83" s="1276"/>
      <c r="D83" s="1276"/>
      <c r="E83" s="1317"/>
    </row>
    <row r="84" spans="1:9" ht="15.75" thickBot="1" x14ac:dyDescent="0.3">
      <c r="A84" s="20" t="s">
        <v>745</v>
      </c>
      <c r="B84" s="2282" t="s">
        <v>746</v>
      </c>
      <c r="C84" s="2283"/>
      <c r="D84" s="2283"/>
      <c r="E84" s="2284"/>
    </row>
    <row r="85" spans="1:9" ht="15.75" thickBot="1" x14ac:dyDescent="0.3">
      <c r="A85" s="7" t="s">
        <v>16</v>
      </c>
      <c r="B85" s="2279" t="s">
        <v>747</v>
      </c>
      <c r="C85" s="2280"/>
      <c r="D85" s="2280"/>
      <c r="E85" s="2281"/>
    </row>
    <row r="86" spans="1:9" ht="17.25" customHeight="1" thickBot="1" x14ac:dyDescent="0.3">
      <c r="A86" s="5" t="s">
        <v>17</v>
      </c>
      <c r="B86" s="1319" t="s">
        <v>748</v>
      </c>
      <c r="C86" s="1320"/>
      <c r="D86" s="1320"/>
      <c r="E86" s="1321"/>
    </row>
    <row r="87" spans="1:9" ht="15.75" thickBot="1" x14ac:dyDescent="0.3">
      <c r="A87" s="5" t="s">
        <v>18</v>
      </c>
      <c r="B87" s="1326" t="s">
        <v>749</v>
      </c>
      <c r="C87" s="1327"/>
      <c r="D87" s="1327"/>
      <c r="E87" s="1328"/>
    </row>
    <row r="88" spans="1:9" ht="12.75" customHeight="1" x14ac:dyDescent="0.25">
      <c r="A88" s="1250"/>
      <c r="B88" s="8">
        <v>2018</v>
      </c>
      <c r="C88" s="8">
        <v>2019</v>
      </c>
      <c r="D88" s="8">
        <v>2020</v>
      </c>
      <c r="E88" s="8">
        <v>2021</v>
      </c>
    </row>
    <row r="89" spans="1:9" ht="9" customHeight="1" thickBot="1" x14ac:dyDescent="0.3">
      <c r="A89" s="1251"/>
      <c r="B89" s="9" t="s">
        <v>10</v>
      </c>
      <c r="C89" s="9" t="s">
        <v>11</v>
      </c>
      <c r="D89" s="9" t="s">
        <v>11</v>
      </c>
      <c r="E89" s="9" t="s">
        <v>11</v>
      </c>
    </row>
    <row r="90" spans="1:9" ht="15.75" thickBot="1" x14ac:dyDescent="0.3">
      <c r="A90" s="5" t="s">
        <v>19</v>
      </c>
      <c r="B90" s="10">
        <v>1</v>
      </c>
      <c r="C90" s="10">
        <v>1</v>
      </c>
      <c r="D90" s="10">
        <v>1</v>
      </c>
      <c r="E90" s="10">
        <v>1</v>
      </c>
    </row>
    <row r="91" spans="1:9" ht="15.75" thickBot="1" x14ac:dyDescent="0.3">
      <c r="A91" s="5" t="s">
        <v>20</v>
      </c>
      <c r="B91" s="10">
        <v>26477.73</v>
      </c>
      <c r="C91" s="194">
        <v>0</v>
      </c>
      <c r="D91" s="194">
        <v>0</v>
      </c>
      <c r="E91" s="194">
        <v>0</v>
      </c>
    </row>
    <row r="92" spans="1:9" ht="15.75" thickBot="1" x14ac:dyDescent="0.3">
      <c r="A92" s="5" t="s">
        <v>21</v>
      </c>
      <c r="B92" s="10">
        <f>B91/B90</f>
        <v>26477.73</v>
      </c>
      <c r="C92" s="10">
        <f>C91/C90</f>
        <v>0</v>
      </c>
      <c r="D92" s="10">
        <f>D91/D90</f>
        <v>0</v>
      </c>
      <c r="E92" s="10">
        <f>E91/E90</f>
        <v>0</v>
      </c>
    </row>
    <row r="93" spans="1:9" ht="15.75" thickBot="1" x14ac:dyDescent="0.3">
      <c r="A93" s="5" t="s">
        <v>22</v>
      </c>
      <c r="B93" s="225" t="s">
        <v>23</v>
      </c>
      <c r="C93" s="11">
        <f t="shared" ref="C93:E95" si="2">C90/B90-1</f>
        <v>0</v>
      </c>
      <c r="D93" s="11">
        <f t="shared" si="2"/>
        <v>0</v>
      </c>
      <c r="E93" s="11">
        <f t="shared" si="2"/>
        <v>0</v>
      </c>
      <c r="F93" s="12"/>
      <c r="G93" s="12"/>
      <c r="H93" s="12"/>
      <c r="I93" s="12"/>
    </row>
    <row r="94" spans="1:9" ht="15.75" thickBot="1" x14ac:dyDescent="0.3">
      <c r="A94" s="5" t="s">
        <v>24</v>
      </c>
      <c r="B94" s="225" t="s">
        <v>23</v>
      </c>
      <c r="C94" s="11">
        <f t="shared" si="2"/>
        <v>-1</v>
      </c>
      <c r="D94" s="11" t="e">
        <f t="shared" si="2"/>
        <v>#DIV/0!</v>
      </c>
      <c r="E94" s="11" t="e">
        <f t="shared" si="2"/>
        <v>#DIV/0!</v>
      </c>
    </row>
    <row r="95" spans="1:9" ht="15.75" thickBot="1" x14ac:dyDescent="0.3">
      <c r="A95" s="5" t="s">
        <v>25</v>
      </c>
      <c r="B95" s="225" t="s">
        <v>23</v>
      </c>
      <c r="C95" s="11">
        <f t="shared" si="2"/>
        <v>-1</v>
      </c>
      <c r="D95" s="11" t="e">
        <f t="shared" si="2"/>
        <v>#DIV/0!</v>
      </c>
      <c r="E95" s="11" t="e">
        <f t="shared" si="2"/>
        <v>#DIV/0!</v>
      </c>
    </row>
    <row r="96" spans="1:9" ht="15.75" thickBot="1" x14ac:dyDescent="0.3">
      <c r="A96" s="1252" t="s">
        <v>633</v>
      </c>
      <c r="B96" s="1253"/>
      <c r="C96" s="1253"/>
      <c r="D96" s="1253"/>
      <c r="E96" s="1300"/>
    </row>
    <row r="97" spans="1:5" ht="12.75" customHeight="1" x14ac:dyDescent="0.25">
      <c r="A97" s="1250"/>
      <c r="B97" s="8">
        <v>2018</v>
      </c>
      <c r="C97" s="8">
        <v>2019</v>
      </c>
      <c r="D97" s="8">
        <v>2020</v>
      </c>
      <c r="E97" s="8">
        <v>2021</v>
      </c>
    </row>
    <row r="98" spans="1:5" ht="9" customHeight="1" thickBot="1" x14ac:dyDescent="0.3">
      <c r="A98" s="1251"/>
      <c r="B98" s="9" t="s">
        <v>10</v>
      </c>
      <c r="C98" s="9" t="s">
        <v>11</v>
      </c>
      <c r="D98" s="9" t="s">
        <v>11</v>
      </c>
      <c r="E98" s="9" t="s">
        <v>11</v>
      </c>
    </row>
    <row r="99" spans="1:5" ht="15.75" thickBot="1" x14ac:dyDescent="0.3">
      <c r="A99" s="13" t="s">
        <v>58</v>
      </c>
      <c r="B99" s="14">
        <v>0</v>
      </c>
      <c r="C99" s="190">
        <v>0</v>
      </c>
      <c r="D99" s="190">
        <v>0</v>
      </c>
      <c r="E99" s="190">
        <v>0</v>
      </c>
    </row>
    <row r="100" spans="1:5" ht="15.75" thickBot="1" x14ac:dyDescent="0.3">
      <c r="A100" s="13" t="s">
        <v>59</v>
      </c>
      <c r="B100" s="15">
        <v>26477.73</v>
      </c>
      <c r="C100" s="190">
        <v>0</v>
      </c>
      <c r="D100" s="190">
        <v>0</v>
      </c>
      <c r="E100" s="190">
        <v>0</v>
      </c>
    </row>
    <row r="101" spans="1:5" ht="15.75" thickBot="1" x14ac:dyDescent="0.3">
      <c r="A101" s="16" t="s">
        <v>40</v>
      </c>
      <c r="B101" s="15">
        <f>B100+B99</f>
        <v>26477.73</v>
      </c>
      <c r="C101" s="15">
        <f>C100+C99</f>
        <v>0</v>
      </c>
      <c r="D101" s="15">
        <f>D100+D99</f>
        <v>0</v>
      </c>
      <c r="E101" s="15">
        <f>E100+E99</f>
        <v>0</v>
      </c>
    </row>
    <row r="102" spans="1:5" x14ac:dyDescent="0.25">
      <c r="A102" s="1254" t="s">
        <v>60</v>
      </c>
      <c r="B102" s="1322" t="s">
        <v>750</v>
      </c>
      <c r="C102" s="1289"/>
      <c r="D102" s="1289"/>
      <c r="E102" s="1290"/>
    </row>
    <row r="103" spans="1:5" x14ac:dyDescent="0.25">
      <c r="A103" s="1255"/>
      <c r="B103" s="1291"/>
      <c r="C103" s="1292"/>
      <c r="D103" s="1292"/>
      <c r="E103" s="1293"/>
    </row>
    <row r="104" spans="1:5" ht="15.75" thickBot="1" x14ac:dyDescent="0.3">
      <c r="A104" s="1256"/>
      <c r="B104" s="1294"/>
      <c r="C104" s="1295"/>
      <c r="D104" s="1295"/>
      <c r="E104" s="1296"/>
    </row>
    <row r="105" spans="1:5" ht="15.75" thickBot="1" x14ac:dyDescent="0.3">
      <c r="A105" s="7" t="s">
        <v>142</v>
      </c>
      <c r="B105" s="1241" t="s">
        <v>751</v>
      </c>
      <c r="C105" s="1242"/>
      <c r="D105" s="1242"/>
      <c r="E105" s="1318"/>
    </row>
    <row r="106" spans="1:5" ht="17.25" customHeight="1" thickBot="1" x14ac:dyDescent="0.3">
      <c r="A106" s="5" t="s">
        <v>17</v>
      </c>
      <c r="B106" s="1245" t="s">
        <v>752</v>
      </c>
      <c r="C106" s="1246"/>
      <c r="D106" s="1246"/>
      <c r="E106" s="1298"/>
    </row>
    <row r="107" spans="1:5" ht="15.75" thickBot="1" x14ac:dyDescent="0.3">
      <c r="A107" s="5" t="s">
        <v>18</v>
      </c>
      <c r="B107" s="1326" t="s">
        <v>1406</v>
      </c>
      <c r="C107" s="1327"/>
      <c r="D107" s="1327"/>
      <c r="E107" s="1328"/>
    </row>
    <row r="108" spans="1:5" ht="12.75" customHeight="1" x14ac:dyDescent="0.25">
      <c r="A108" s="1250"/>
      <c r="B108" s="8">
        <v>2018</v>
      </c>
      <c r="C108" s="8">
        <v>2019</v>
      </c>
      <c r="D108" s="8">
        <v>2020</v>
      </c>
      <c r="E108" s="8">
        <v>2021</v>
      </c>
    </row>
    <row r="109" spans="1:5" ht="9" customHeight="1" thickBot="1" x14ac:dyDescent="0.3">
      <c r="A109" s="1251"/>
      <c r="B109" s="9" t="s">
        <v>10</v>
      </c>
      <c r="C109" s="9" t="s">
        <v>11</v>
      </c>
      <c r="D109" s="9" t="s">
        <v>11</v>
      </c>
      <c r="E109" s="9" t="s">
        <v>11</v>
      </c>
    </row>
    <row r="110" spans="1:5" ht="15.75" thickBot="1" x14ac:dyDescent="0.3">
      <c r="A110" s="5" t="s">
        <v>19</v>
      </c>
      <c r="B110" s="10">
        <v>90</v>
      </c>
      <c r="C110" s="10">
        <v>140</v>
      </c>
      <c r="D110" s="10">
        <v>140</v>
      </c>
      <c r="E110" s="10">
        <v>140</v>
      </c>
    </row>
    <row r="111" spans="1:5" ht="15.75" thickBot="1" x14ac:dyDescent="0.3">
      <c r="A111" s="5" t="s">
        <v>20</v>
      </c>
      <c r="B111" s="10">
        <v>10880.183999999999</v>
      </c>
      <c r="C111" s="10">
        <v>21000</v>
      </c>
      <c r="D111" s="10">
        <v>21000</v>
      </c>
      <c r="E111" s="10">
        <v>21000</v>
      </c>
    </row>
    <row r="112" spans="1:5" ht="15.75" thickBot="1" x14ac:dyDescent="0.3">
      <c r="A112" s="5" t="s">
        <v>21</v>
      </c>
      <c r="B112" s="10">
        <f>B111/B110</f>
        <v>120.89093333333332</v>
      </c>
      <c r="C112" s="10">
        <f>C111/C110</f>
        <v>150</v>
      </c>
      <c r="D112" s="10">
        <f>D111/D110</f>
        <v>150</v>
      </c>
      <c r="E112" s="10">
        <f>E111/E110</f>
        <v>150</v>
      </c>
    </row>
    <row r="113" spans="1:9" ht="15.75" thickBot="1" x14ac:dyDescent="0.3">
      <c r="A113" s="5" t="s">
        <v>22</v>
      </c>
      <c r="B113" s="225" t="s">
        <v>23</v>
      </c>
      <c r="C113" s="11">
        <f t="shared" ref="C113:E115" si="3">C110/B110-1</f>
        <v>0.55555555555555558</v>
      </c>
      <c r="D113" s="11">
        <f t="shared" si="3"/>
        <v>0</v>
      </c>
      <c r="E113" s="11">
        <f t="shared" si="3"/>
        <v>0</v>
      </c>
      <c r="F113" s="12"/>
      <c r="G113" s="12"/>
      <c r="H113" s="12"/>
      <c r="I113" s="12"/>
    </row>
    <row r="114" spans="1:9" ht="15.75" thickBot="1" x14ac:dyDescent="0.3">
      <c r="A114" s="5" t="s">
        <v>24</v>
      </c>
      <c r="B114" s="225" t="s">
        <v>23</v>
      </c>
      <c r="C114" s="11">
        <f t="shared" si="3"/>
        <v>0.93011441718265075</v>
      </c>
      <c r="D114" s="11">
        <f t="shared" si="3"/>
        <v>0</v>
      </c>
      <c r="E114" s="11">
        <f t="shared" si="3"/>
        <v>0</v>
      </c>
    </row>
    <row r="115" spans="1:9" ht="15.75" thickBot="1" x14ac:dyDescent="0.3">
      <c r="A115" s="5" t="s">
        <v>25</v>
      </c>
      <c r="B115" s="225" t="s">
        <v>23</v>
      </c>
      <c r="C115" s="11">
        <f t="shared" si="3"/>
        <v>0.24078783961741834</v>
      </c>
      <c r="D115" s="11">
        <f t="shared" si="3"/>
        <v>0</v>
      </c>
      <c r="E115" s="11">
        <f t="shared" si="3"/>
        <v>0</v>
      </c>
    </row>
    <row r="116" spans="1:9" ht="15.75" thickBot="1" x14ac:dyDescent="0.3">
      <c r="A116" s="1252" t="s">
        <v>633</v>
      </c>
      <c r="B116" s="1253"/>
      <c r="C116" s="1253"/>
      <c r="D116" s="1253"/>
      <c r="E116" s="1300"/>
    </row>
    <row r="117" spans="1:9" ht="12.75" customHeight="1" x14ac:dyDescent="0.25">
      <c r="A117" s="1250"/>
      <c r="B117" s="8">
        <v>2018</v>
      </c>
      <c r="C117" s="8">
        <v>2019</v>
      </c>
      <c r="D117" s="8">
        <v>2020</v>
      </c>
      <c r="E117" s="8">
        <v>2021</v>
      </c>
    </row>
    <row r="118" spans="1:9" ht="9" customHeight="1" thickBot="1" x14ac:dyDescent="0.3">
      <c r="A118" s="1251"/>
      <c r="B118" s="9" t="s">
        <v>10</v>
      </c>
      <c r="C118" s="9" t="s">
        <v>11</v>
      </c>
      <c r="D118" s="9" t="s">
        <v>11</v>
      </c>
      <c r="E118" s="9" t="s">
        <v>11</v>
      </c>
    </row>
    <row r="119" spans="1:9" ht="15.75" thickBot="1" x14ac:dyDescent="0.3">
      <c r="A119" s="13" t="s">
        <v>58</v>
      </c>
      <c r="B119" s="14">
        <v>0</v>
      </c>
      <c r="C119" s="14">
        <v>0</v>
      </c>
      <c r="D119" s="14">
        <v>0</v>
      </c>
      <c r="E119" s="14">
        <v>0</v>
      </c>
    </row>
    <row r="120" spans="1:9" ht="15.75" thickBot="1" x14ac:dyDescent="0.3">
      <c r="A120" s="13" t="s">
        <v>59</v>
      </c>
      <c r="B120" s="15">
        <v>10880.183999999999</v>
      </c>
      <c r="C120" s="14">
        <v>21000</v>
      </c>
      <c r="D120" s="14">
        <v>21000</v>
      </c>
      <c r="E120" s="14">
        <v>21000</v>
      </c>
    </row>
    <row r="121" spans="1:9" ht="15.75" thickBot="1" x14ac:dyDescent="0.3">
      <c r="A121" s="16" t="s">
        <v>40</v>
      </c>
      <c r="B121" s="15">
        <f>B120+B119</f>
        <v>10880.183999999999</v>
      </c>
      <c r="C121" s="15">
        <f>C120+C119</f>
        <v>21000</v>
      </c>
      <c r="D121" s="15">
        <f>D120+D119</f>
        <v>21000</v>
      </c>
      <c r="E121" s="15">
        <f>E120+E119</f>
        <v>21000</v>
      </c>
    </row>
    <row r="122" spans="1:9" ht="15.75" thickBot="1" x14ac:dyDescent="0.3">
      <c r="A122" s="1275" t="s">
        <v>63</v>
      </c>
      <c r="B122" s="1276"/>
      <c r="C122" s="1276"/>
      <c r="D122" s="1276"/>
      <c r="E122" s="1317"/>
    </row>
    <row r="123" spans="1:9" ht="15.75" thickBot="1" x14ac:dyDescent="0.3">
      <c r="A123" s="1275" t="s">
        <v>64</v>
      </c>
      <c r="B123" s="1276"/>
      <c r="C123" s="1276"/>
      <c r="D123" s="1276"/>
      <c r="E123" s="1317"/>
    </row>
    <row r="124" spans="1:9" ht="15.75" thickBot="1" x14ac:dyDescent="0.3">
      <c r="A124" s="20" t="s">
        <v>61</v>
      </c>
      <c r="B124" s="1241"/>
      <c r="C124" s="1242"/>
      <c r="D124" s="1242"/>
      <c r="E124" s="1318"/>
    </row>
    <row r="125" spans="1:9" ht="15.75" thickBot="1" x14ac:dyDescent="0.3">
      <c r="A125" s="7" t="s">
        <v>16</v>
      </c>
      <c r="B125" s="1243" t="s">
        <v>753</v>
      </c>
      <c r="C125" s="1244"/>
      <c r="D125" s="1244"/>
      <c r="E125" s="1315"/>
    </row>
    <row r="126" spans="1:9" ht="17.25" customHeight="1" thickBot="1" x14ac:dyDescent="0.3">
      <c r="A126" s="5" t="s">
        <v>17</v>
      </c>
      <c r="B126" s="1245" t="s">
        <v>754</v>
      </c>
      <c r="C126" s="1246"/>
      <c r="D126" s="1246"/>
      <c r="E126" s="1298"/>
    </row>
    <row r="127" spans="1:9" ht="15.75" thickBot="1" x14ac:dyDescent="0.3">
      <c r="A127" s="5" t="s">
        <v>18</v>
      </c>
      <c r="B127" s="1326" t="s">
        <v>1438</v>
      </c>
      <c r="C127" s="1327"/>
      <c r="D127" s="1327"/>
      <c r="E127" s="1328"/>
    </row>
    <row r="128" spans="1:9" ht="12.75" customHeight="1" x14ac:dyDescent="0.25">
      <c r="A128" s="1250"/>
      <c r="B128" s="8">
        <v>2018</v>
      </c>
      <c r="C128" s="8">
        <v>2019</v>
      </c>
      <c r="D128" s="8">
        <v>2020</v>
      </c>
      <c r="E128" s="8">
        <v>2021</v>
      </c>
    </row>
    <row r="129" spans="1:9" ht="9" customHeight="1" thickBot="1" x14ac:dyDescent="0.3">
      <c r="A129" s="1251"/>
      <c r="B129" s="9" t="s">
        <v>10</v>
      </c>
      <c r="C129" s="9" t="s">
        <v>11</v>
      </c>
      <c r="D129" s="9" t="s">
        <v>11</v>
      </c>
      <c r="E129" s="9" t="s">
        <v>11</v>
      </c>
    </row>
    <row r="130" spans="1:9" ht="15.75" thickBot="1" x14ac:dyDescent="0.3">
      <c r="A130" s="5" t="s">
        <v>19</v>
      </c>
      <c r="B130" s="10">
        <v>1</v>
      </c>
      <c r="C130" s="10">
        <v>4</v>
      </c>
      <c r="D130" s="10">
        <v>4</v>
      </c>
      <c r="E130" s="10">
        <v>4</v>
      </c>
    </row>
    <row r="131" spans="1:9" ht="15.75" thickBot="1" x14ac:dyDescent="0.3">
      <c r="A131" s="5" t="s">
        <v>20</v>
      </c>
      <c r="B131" s="10">
        <f>42642.086+17000</f>
        <v>59642.086000000003</v>
      </c>
      <c r="C131" s="10">
        <v>208000</v>
      </c>
      <c r="D131" s="10">
        <v>208000</v>
      </c>
      <c r="E131" s="10">
        <v>208000</v>
      </c>
    </row>
    <row r="132" spans="1:9" ht="15.75" thickBot="1" x14ac:dyDescent="0.3">
      <c r="A132" s="5" t="s">
        <v>21</v>
      </c>
      <c r="B132" s="10">
        <f>B131/B130</f>
        <v>59642.086000000003</v>
      </c>
      <c r="C132" s="10">
        <f>C131/C130</f>
        <v>52000</v>
      </c>
      <c r="D132" s="10">
        <f>D131/D130</f>
        <v>52000</v>
      </c>
      <c r="E132" s="10">
        <f>E131/E130</f>
        <v>52000</v>
      </c>
    </row>
    <row r="133" spans="1:9" ht="15.75" thickBot="1" x14ac:dyDescent="0.3">
      <c r="A133" s="5" t="s">
        <v>22</v>
      </c>
      <c r="B133" s="225" t="s">
        <v>23</v>
      </c>
      <c r="C133" s="11">
        <f t="shared" ref="C133:E135" si="4">C130/B130-1</f>
        <v>3</v>
      </c>
      <c r="D133" s="11">
        <f t="shared" si="4"/>
        <v>0</v>
      </c>
      <c r="E133" s="11">
        <f t="shared" si="4"/>
        <v>0</v>
      </c>
      <c r="F133" s="12"/>
      <c r="G133" s="12"/>
      <c r="H133" s="12"/>
      <c r="I133" s="12"/>
    </row>
    <row r="134" spans="1:9" ht="15.75" thickBot="1" x14ac:dyDescent="0.3">
      <c r="A134" s="5" t="s">
        <v>24</v>
      </c>
      <c r="B134" s="225" t="s">
        <v>23</v>
      </c>
      <c r="C134" s="11">
        <f t="shared" si="4"/>
        <v>2.4874702403936708</v>
      </c>
      <c r="D134" s="11">
        <f t="shared" si="4"/>
        <v>0</v>
      </c>
      <c r="E134" s="11">
        <f t="shared" si="4"/>
        <v>0</v>
      </c>
    </row>
    <row r="135" spans="1:9" ht="15.75" thickBot="1" x14ac:dyDescent="0.3">
      <c r="A135" s="5" t="s">
        <v>25</v>
      </c>
      <c r="B135" s="225" t="s">
        <v>23</v>
      </c>
      <c r="C135" s="11">
        <f t="shared" si="4"/>
        <v>-0.1281324399015823</v>
      </c>
      <c r="D135" s="11">
        <f t="shared" si="4"/>
        <v>0</v>
      </c>
      <c r="E135" s="11">
        <f t="shared" si="4"/>
        <v>0</v>
      </c>
    </row>
    <row r="136" spans="1:9" ht="15.75" thickBot="1" x14ac:dyDescent="0.3">
      <c r="A136" s="1252" t="s">
        <v>633</v>
      </c>
      <c r="B136" s="1253"/>
      <c r="C136" s="1253"/>
      <c r="D136" s="1253"/>
      <c r="E136" s="1300"/>
    </row>
    <row r="137" spans="1:9" ht="12.75" customHeight="1" x14ac:dyDescent="0.25">
      <c r="A137" s="1250"/>
      <c r="B137" s="8">
        <v>2018</v>
      </c>
      <c r="C137" s="8">
        <v>2019</v>
      </c>
      <c r="D137" s="8">
        <v>2020</v>
      </c>
      <c r="E137" s="8">
        <v>2021</v>
      </c>
    </row>
    <row r="138" spans="1:9" ht="9" customHeight="1" thickBot="1" x14ac:dyDescent="0.3">
      <c r="A138" s="1251"/>
      <c r="B138" s="9" t="s">
        <v>10</v>
      </c>
      <c r="C138" s="9" t="s">
        <v>11</v>
      </c>
      <c r="D138" s="9" t="s">
        <v>11</v>
      </c>
      <c r="E138" s="9" t="s">
        <v>11</v>
      </c>
    </row>
    <row r="139" spans="1:9" ht="15.75" thickBot="1" x14ac:dyDescent="0.3">
      <c r="A139" s="13" t="s">
        <v>58</v>
      </c>
      <c r="B139" s="14"/>
      <c r="C139" s="14"/>
      <c r="D139" s="14"/>
      <c r="E139" s="14"/>
    </row>
    <row r="140" spans="1:9" ht="15.75" thickBot="1" x14ac:dyDescent="0.3">
      <c r="A140" s="13" t="s">
        <v>59</v>
      </c>
      <c r="B140" s="15">
        <v>59642.086000000003</v>
      </c>
      <c r="C140" s="14">
        <v>208000</v>
      </c>
      <c r="D140" s="14">
        <v>208000</v>
      </c>
      <c r="E140" s="14">
        <v>208000</v>
      </c>
    </row>
    <row r="141" spans="1:9" ht="15.75" thickBot="1" x14ac:dyDescent="0.3">
      <c r="A141" s="16" t="s">
        <v>40</v>
      </c>
      <c r="B141" s="15">
        <f>B140+B139</f>
        <v>59642.086000000003</v>
      </c>
      <c r="C141" s="15">
        <f>C140+C139</f>
        <v>208000</v>
      </c>
      <c r="D141" s="15">
        <f>D140+D139</f>
        <v>208000</v>
      </c>
      <c r="E141" s="15">
        <f>E140+E139</f>
        <v>208000</v>
      </c>
    </row>
    <row r="142" spans="1:9" ht="15.75" thickBot="1" x14ac:dyDescent="0.3">
      <c r="A142" s="136" t="s">
        <v>61</v>
      </c>
      <c r="B142" s="1241"/>
      <c r="C142" s="1242"/>
      <c r="D142" s="1242"/>
      <c r="E142" s="1318"/>
    </row>
    <row r="143" spans="1:9" ht="15.75" thickBot="1" x14ac:dyDescent="0.3">
      <c r="A143" s="7" t="s">
        <v>142</v>
      </c>
      <c r="B143" s="1243" t="s">
        <v>755</v>
      </c>
      <c r="C143" s="1244"/>
      <c r="D143" s="1244"/>
      <c r="E143" s="1315"/>
    </row>
    <row r="144" spans="1:9" ht="17.25" customHeight="1" thickBot="1" x14ac:dyDescent="0.3">
      <c r="A144" s="5" t="s">
        <v>17</v>
      </c>
      <c r="B144" s="1245" t="s">
        <v>756</v>
      </c>
      <c r="C144" s="1246"/>
      <c r="D144" s="1246"/>
      <c r="E144" s="1298"/>
    </row>
    <row r="145" spans="1:9" ht="15.75" thickBot="1" x14ac:dyDescent="0.3">
      <c r="A145" s="5" t="s">
        <v>18</v>
      </c>
      <c r="B145" s="1326" t="s">
        <v>1437</v>
      </c>
      <c r="C145" s="1327"/>
      <c r="D145" s="1327"/>
      <c r="E145" s="1328"/>
    </row>
    <row r="146" spans="1:9" ht="12.75" customHeight="1" x14ac:dyDescent="0.25">
      <c r="A146" s="1250"/>
      <c r="B146" s="8">
        <v>2018</v>
      </c>
      <c r="C146" s="8">
        <v>2019</v>
      </c>
      <c r="D146" s="8">
        <v>2020</v>
      </c>
      <c r="E146" s="8">
        <v>2021</v>
      </c>
    </row>
    <row r="147" spans="1:9" ht="9" customHeight="1" thickBot="1" x14ac:dyDescent="0.3">
      <c r="A147" s="1251"/>
      <c r="B147" s="9" t="s">
        <v>10</v>
      </c>
      <c r="C147" s="9" t="s">
        <v>11</v>
      </c>
      <c r="D147" s="9" t="s">
        <v>11</v>
      </c>
      <c r="E147" s="9" t="s">
        <v>11</v>
      </c>
    </row>
    <row r="148" spans="1:9" ht="15.75" thickBot="1" x14ac:dyDescent="0.3">
      <c r="A148" s="5" t="s">
        <v>19</v>
      </c>
      <c r="B148" s="10">
        <v>0</v>
      </c>
      <c r="C148" s="10">
        <v>3</v>
      </c>
      <c r="D148" s="10">
        <v>3</v>
      </c>
      <c r="E148" s="10">
        <v>3</v>
      </c>
    </row>
    <row r="149" spans="1:9" ht="15.75" thickBot="1" x14ac:dyDescent="0.3">
      <c r="A149" s="5" t="s">
        <v>20</v>
      </c>
      <c r="B149" s="10">
        <v>0</v>
      </c>
      <c r="C149" s="10">
        <v>25500</v>
      </c>
      <c r="D149" s="10">
        <v>25500</v>
      </c>
      <c r="E149" s="10">
        <v>25500</v>
      </c>
    </row>
    <row r="150" spans="1:9" ht="15.75" thickBot="1" x14ac:dyDescent="0.3">
      <c r="A150" s="5" t="s">
        <v>21</v>
      </c>
      <c r="B150" s="10"/>
      <c r="C150" s="10">
        <f>C149/C148</f>
        <v>8500</v>
      </c>
      <c r="D150" s="10">
        <f>D149/D148</f>
        <v>8500</v>
      </c>
      <c r="E150" s="10">
        <f>E149/E148</f>
        <v>8500</v>
      </c>
    </row>
    <row r="151" spans="1:9" ht="15.75" thickBot="1" x14ac:dyDescent="0.3">
      <c r="A151" s="5" t="s">
        <v>22</v>
      </c>
      <c r="B151" s="225" t="s">
        <v>23</v>
      </c>
      <c r="C151" s="11">
        <v>0</v>
      </c>
      <c r="D151" s="11">
        <f t="shared" ref="D151:E153" si="5">D148/C148-1</f>
        <v>0</v>
      </c>
      <c r="E151" s="11">
        <f t="shared" si="5"/>
        <v>0</v>
      </c>
      <c r="F151" s="12"/>
      <c r="G151" s="12"/>
      <c r="H151" s="12"/>
      <c r="I151" s="12"/>
    </row>
    <row r="152" spans="1:9" ht="15.75" thickBot="1" x14ac:dyDescent="0.3">
      <c r="A152" s="5" t="s">
        <v>24</v>
      </c>
      <c r="B152" s="225" t="s">
        <v>23</v>
      </c>
      <c r="C152" s="11">
        <v>0</v>
      </c>
      <c r="D152" s="11">
        <f t="shared" si="5"/>
        <v>0</v>
      </c>
      <c r="E152" s="11">
        <f t="shared" si="5"/>
        <v>0</v>
      </c>
    </row>
    <row r="153" spans="1:9" ht="15.75" thickBot="1" x14ac:dyDescent="0.3">
      <c r="A153" s="5" t="s">
        <v>25</v>
      </c>
      <c r="B153" s="225" t="s">
        <v>23</v>
      </c>
      <c r="C153" s="11">
        <v>0</v>
      </c>
      <c r="D153" s="11">
        <f t="shared" si="5"/>
        <v>0</v>
      </c>
      <c r="E153" s="11">
        <f t="shared" si="5"/>
        <v>0</v>
      </c>
    </row>
    <row r="154" spans="1:9" ht="15.75" thickBot="1" x14ac:dyDescent="0.3">
      <c r="A154" s="1252" t="s">
        <v>633</v>
      </c>
      <c r="B154" s="1253"/>
      <c r="C154" s="1253"/>
      <c r="D154" s="1253"/>
      <c r="E154" s="1300"/>
    </row>
    <row r="155" spans="1:9" ht="12.75" customHeight="1" x14ac:dyDescent="0.25">
      <c r="A155" s="1250"/>
      <c r="B155" s="8">
        <v>2018</v>
      </c>
      <c r="C155" s="8">
        <v>2019</v>
      </c>
      <c r="D155" s="8">
        <v>2020</v>
      </c>
      <c r="E155" s="8">
        <v>2021</v>
      </c>
    </row>
    <row r="156" spans="1:9" ht="9" customHeight="1" thickBot="1" x14ac:dyDescent="0.3">
      <c r="A156" s="1251"/>
      <c r="B156" s="9" t="s">
        <v>10</v>
      </c>
      <c r="C156" s="9" t="s">
        <v>11</v>
      </c>
      <c r="D156" s="9" t="s">
        <v>11</v>
      </c>
      <c r="E156" s="9" t="s">
        <v>11</v>
      </c>
    </row>
    <row r="157" spans="1:9" ht="15.75" thickBot="1" x14ac:dyDescent="0.3">
      <c r="A157" s="13" t="s">
        <v>58</v>
      </c>
      <c r="B157" s="14">
        <v>0</v>
      </c>
      <c r="C157" s="14">
        <v>0</v>
      </c>
      <c r="D157" s="14">
        <v>0</v>
      </c>
      <c r="E157" s="14">
        <v>0</v>
      </c>
    </row>
    <row r="158" spans="1:9" ht="15.75" thickBot="1" x14ac:dyDescent="0.3">
      <c r="A158" s="13" t="s">
        <v>59</v>
      </c>
      <c r="B158" s="15">
        <v>0</v>
      </c>
      <c r="C158" s="14">
        <v>25500</v>
      </c>
      <c r="D158" s="14">
        <v>25500</v>
      </c>
      <c r="E158" s="14">
        <v>25500</v>
      </c>
    </row>
    <row r="159" spans="1:9" ht="15.75" thickBot="1" x14ac:dyDescent="0.3">
      <c r="A159" s="16" t="s">
        <v>40</v>
      </c>
      <c r="B159" s="15">
        <f>B158+B157</f>
        <v>0</v>
      </c>
      <c r="C159" s="15">
        <f>C158+C157</f>
        <v>25500</v>
      </c>
      <c r="D159" s="15">
        <f>D158+D157</f>
        <v>25500</v>
      </c>
      <c r="E159" s="15">
        <f>E158+E157</f>
        <v>25500</v>
      </c>
    </row>
    <row r="160" spans="1:9" ht="21.75" hidden="1" customHeight="1" thickBot="1" x14ac:dyDescent="0.3">
      <c r="A160" s="21" t="s">
        <v>67</v>
      </c>
      <c r="B160" s="1277" t="s">
        <v>106</v>
      </c>
      <c r="C160" s="1271"/>
      <c r="D160" s="1271"/>
      <c r="E160" s="1759"/>
    </row>
    <row r="161" spans="1:5" ht="15.75" hidden="1" customHeight="1" thickBot="1" x14ac:dyDescent="0.3">
      <c r="A161" s="1245" t="s">
        <v>68</v>
      </c>
      <c r="B161" s="1246"/>
      <c r="C161" s="1246"/>
      <c r="D161" s="1246"/>
      <c r="E161" s="1298"/>
    </row>
    <row r="162" spans="1:5" ht="15.75" hidden="1" thickBot="1" x14ac:dyDescent="0.3">
      <c r="A162" s="221" t="s">
        <v>164</v>
      </c>
      <c r="B162" s="4" t="s">
        <v>112</v>
      </c>
      <c r="C162" s="4" t="s">
        <v>113</v>
      </c>
      <c r="D162" s="4" t="s">
        <v>113</v>
      </c>
      <c r="E162" s="4" t="s">
        <v>113</v>
      </c>
    </row>
    <row r="163" spans="1:5" ht="15.75" hidden="1" customHeight="1" thickBot="1" x14ac:dyDescent="0.3">
      <c r="A163" s="5" t="s">
        <v>165</v>
      </c>
      <c r="B163" s="4" t="s">
        <v>112</v>
      </c>
      <c r="C163" s="4" t="s">
        <v>113</v>
      </c>
      <c r="D163" s="4" t="s">
        <v>113</v>
      </c>
      <c r="E163" s="4" t="s">
        <v>113</v>
      </c>
    </row>
    <row r="164" spans="1:5" ht="23.25" hidden="1" customHeight="1" thickBot="1" x14ac:dyDescent="0.3">
      <c r="A164" s="5" t="s">
        <v>111</v>
      </c>
      <c r="B164" s="4" t="s">
        <v>112</v>
      </c>
      <c r="C164" s="4" t="s">
        <v>113</v>
      </c>
      <c r="D164" s="4" t="s">
        <v>113</v>
      </c>
      <c r="E164" s="4" t="s">
        <v>113</v>
      </c>
    </row>
    <row r="165" spans="1:5" ht="23.25" hidden="1" customHeight="1" thickBot="1" x14ac:dyDescent="0.3">
      <c r="A165" s="1278" t="s">
        <v>69</v>
      </c>
      <c r="B165" s="1279"/>
      <c r="C165" s="1279"/>
      <c r="D165" s="1279"/>
      <c r="E165" s="1355"/>
    </row>
    <row r="166" spans="1:5" ht="23.25" hidden="1" customHeight="1" thickBot="1" x14ac:dyDescent="0.3">
      <c r="A166" s="1280" t="s">
        <v>70</v>
      </c>
      <c r="B166" s="1281"/>
      <c r="C166" s="1281"/>
      <c r="D166" s="1281"/>
      <c r="E166" s="1354"/>
    </row>
    <row r="167" spans="1:5" ht="12.75" hidden="1" customHeight="1" x14ac:dyDescent="0.25">
      <c r="A167" s="1250"/>
      <c r="B167" s="8">
        <v>2018</v>
      </c>
      <c r="C167" s="8">
        <v>2019</v>
      </c>
      <c r="D167" s="8">
        <v>2020</v>
      </c>
      <c r="E167" s="8">
        <v>2021</v>
      </c>
    </row>
    <row r="168" spans="1:5" ht="9" hidden="1" customHeight="1" thickBot="1" x14ac:dyDescent="0.3">
      <c r="A168" s="1251"/>
      <c r="B168" s="9" t="s">
        <v>10</v>
      </c>
      <c r="C168" s="9" t="s">
        <v>11</v>
      </c>
      <c r="D168" s="9" t="s">
        <v>11</v>
      </c>
      <c r="E168" s="9" t="s">
        <v>11</v>
      </c>
    </row>
    <row r="169" spans="1:5" ht="26.25" hidden="1" customHeight="1" thickBot="1" x14ac:dyDescent="0.3">
      <c r="A169" s="7" t="s">
        <v>16</v>
      </c>
      <c r="B169" s="1243" t="s">
        <v>106</v>
      </c>
      <c r="C169" s="1244"/>
      <c r="D169" s="1244"/>
      <c r="E169" s="1315"/>
    </row>
    <row r="170" spans="1:5" ht="16.5" hidden="1" customHeight="1" thickBot="1" x14ac:dyDescent="0.3">
      <c r="A170" s="5" t="s">
        <v>17</v>
      </c>
      <c r="B170" s="1245" t="s">
        <v>106</v>
      </c>
      <c r="C170" s="1246"/>
      <c r="D170" s="1246"/>
      <c r="E170" s="1298"/>
    </row>
    <row r="171" spans="1:5" ht="15.75" hidden="1" customHeight="1" thickBot="1" x14ac:dyDescent="0.3">
      <c r="A171" s="5" t="s">
        <v>18</v>
      </c>
      <c r="B171" s="1248" t="s">
        <v>106</v>
      </c>
      <c r="C171" s="1249"/>
      <c r="D171" s="1249"/>
      <c r="E171" s="1316"/>
    </row>
    <row r="172" spans="1:5" ht="12.75" hidden="1" customHeight="1" x14ac:dyDescent="0.25">
      <c r="A172" s="1250"/>
      <c r="B172" s="8">
        <v>2018</v>
      </c>
      <c r="C172" s="8">
        <v>2019</v>
      </c>
      <c r="D172" s="8">
        <v>2020</v>
      </c>
      <c r="E172" s="8">
        <v>2021</v>
      </c>
    </row>
    <row r="173" spans="1:5" ht="9" hidden="1" customHeight="1" thickBot="1" x14ac:dyDescent="0.3">
      <c r="A173" s="1251"/>
      <c r="B173" s="9" t="s">
        <v>10</v>
      </c>
      <c r="C173" s="9" t="s">
        <v>11</v>
      </c>
      <c r="D173" s="9" t="s">
        <v>11</v>
      </c>
      <c r="E173" s="9" t="s">
        <v>11</v>
      </c>
    </row>
    <row r="174" spans="1:5" ht="15.75" hidden="1" customHeight="1" thickBot="1" x14ac:dyDescent="0.3">
      <c r="A174" s="5" t="s">
        <v>19</v>
      </c>
      <c r="B174" s="10"/>
      <c r="C174" s="60"/>
      <c r="D174" s="60"/>
      <c r="E174" s="60"/>
    </row>
    <row r="175" spans="1:5" ht="15.75" hidden="1" thickBot="1" x14ac:dyDescent="0.3">
      <c r="A175" s="5" t="s">
        <v>20</v>
      </c>
      <c r="B175" s="10"/>
      <c r="C175" s="10"/>
      <c r="D175" s="10"/>
      <c r="E175" s="10"/>
    </row>
    <row r="176" spans="1:5" ht="15.75" hidden="1" thickBot="1" x14ac:dyDescent="0.3">
      <c r="A176" s="5" t="s">
        <v>21</v>
      </c>
      <c r="B176" s="10" t="e">
        <f>B175/B174</f>
        <v>#DIV/0!</v>
      </c>
      <c r="C176" s="10" t="e">
        <f>C175/C174</f>
        <v>#DIV/0!</v>
      </c>
      <c r="D176" s="10" t="e">
        <f>D175/D174</f>
        <v>#DIV/0!</v>
      </c>
      <c r="E176" s="10" t="e">
        <f>E175/E174</f>
        <v>#DIV/0!</v>
      </c>
    </row>
    <row r="177" spans="1:5" ht="15.75" hidden="1" thickBot="1" x14ac:dyDescent="0.3">
      <c r="A177" s="5" t="s">
        <v>22</v>
      </c>
      <c r="B177" s="225"/>
      <c r="C177" s="11" t="e">
        <f t="shared" ref="C177:E179" si="6">C174/B174-1</f>
        <v>#DIV/0!</v>
      </c>
      <c r="D177" s="11" t="e">
        <f t="shared" si="6"/>
        <v>#DIV/0!</v>
      </c>
      <c r="E177" s="11" t="e">
        <f t="shared" si="6"/>
        <v>#DIV/0!</v>
      </c>
    </row>
    <row r="178" spans="1:5" ht="15.75" hidden="1" thickBot="1" x14ac:dyDescent="0.3">
      <c r="A178" s="5" t="s">
        <v>24</v>
      </c>
      <c r="B178" s="225"/>
      <c r="C178" s="11" t="e">
        <f t="shared" si="6"/>
        <v>#DIV/0!</v>
      </c>
      <c r="D178" s="11" t="e">
        <f t="shared" si="6"/>
        <v>#DIV/0!</v>
      </c>
      <c r="E178" s="11" t="e">
        <f t="shared" si="6"/>
        <v>#DIV/0!</v>
      </c>
    </row>
    <row r="179" spans="1:5" ht="15.75" hidden="1" thickBot="1" x14ac:dyDescent="0.3">
      <c r="A179" s="5" t="s">
        <v>25</v>
      </c>
      <c r="B179" s="225"/>
      <c r="C179" s="11" t="e">
        <f t="shared" si="6"/>
        <v>#DIV/0!</v>
      </c>
      <c r="D179" s="11" t="e">
        <f t="shared" si="6"/>
        <v>#DIV/0!</v>
      </c>
      <c r="E179" s="11" t="e">
        <f t="shared" si="6"/>
        <v>#DIV/0!</v>
      </c>
    </row>
    <row r="180" spans="1:5" ht="12.75" hidden="1" customHeight="1" x14ac:dyDescent="0.25">
      <c r="A180" s="1250"/>
      <c r="B180" s="8">
        <v>2018</v>
      </c>
      <c r="C180" s="8">
        <v>2019</v>
      </c>
      <c r="D180" s="8">
        <v>2020</v>
      </c>
      <c r="E180" s="8">
        <v>2021</v>
      </c>
    </row>
    <row r="181" spans="1:5" ht="9" hidden="1" customHeight="1" thickBot="1" x14ac:dyDescent="0.3">
      <c r="A181" s="1251"/>
      <c r="B181" s="9" t="s">
        <v>10</v>
      </c>
      <c r="C181" s="9" t="s">
        <v>11</v>
      </c>
      <c r="D181" s="9" t="s">
        <v>11</v>
      </c>
      <c r="E181" s="9" t="s">
        <v>11</v>
      </c>
    </row>
    <row r="182" spans="1:5" ht="15.75" hidden="1" thickBot="1" x14ac:dyDescent="0.3">
      <c r="A182" s="1252" t="s">
        <v>636</v>
      </c>
      <c r="B182" s="1253"/>
      <c r="C182" s="1253"/>
      <c r="D182" s="1253"/>
      <c r="E182" s="1300"/>
    </row>
    <row r="183" spans="1:5" ht="12.75" hidden="1" customHeight="1" x14ac:dyDescent="0.25">
      <c r="A183" s="1250"/>
      <c r="B183" s="8">
        <v>2018</v>
      </c>
      <c r="C183" s="8">
        <v>2019</v>
      </c>
      <c r="D183" s="8">
        <v>2020</v>
      </c>
      <c r="E183" s="8">
        <v>2021</v>
      </c>
    </row>
    <row r="184" spans="1:5" ht="9" hidden="1" customHeight="1" thickBot="1" x14ac:dyDescent="0.3">
      <c r="A184" s="1251"/>
      <c r="B184" s="9" t="s">
        <v>10</v>
      </c>
      <c r="C184" s="9" t="s">
        <v>11</v>
      </c>
      <c r="D184" s="9" t="s">
        <v>11</v>
      </c>
      <c r="E184" s="9" t="s">
        <v>11</v>
      </c>
    </row>
    <row r="185" spans="1:5" ht="15.75" hidden="1" thickBot="1" x14ac:dyDescent="0.3">
      <c r="A185" s="13" t="s">
        <v>26</v>
      </c>
      <c r="B185" s="14"/>
      <c r="C185" s="14"/>
      <c r="D185" s="14"/>
      <c r="E185" s="14"/>
    </row>
    <row r="186" spans="1:5" ht="15.75" hidden="1" thickBot="1" x14ac:dyDescent="0.3">
      <c r="A186" s="13" t="s">
        <v>28</v>
      </c>
      <c r="B186" s="14"/>
      <c r="C186" s="14"/>
      <c r="D186" s="14"/>
      <c r="E186" s="14"/>
    </row>
    <row r="187" spans="1:5" ht="15.75" hidden="1" thickBot="1" x14ac:dyDescent="0.3">
      <c r="A187" s="13" t="s">
        <v>30</v>
      </c>
      <c r="B187" s="15"/>
      <c r="C187" s="14"/>
      <c r="D187" s="14"/>
      <c r="E187" s="14"/>
    </row>
    <row r="188" spans="1:5" ht="15.75" hidden="1" thickBot="1" x14ac:dyDescent="0.3">
      <c r="A188" s="13" t="s">
        <v>32</v>
      </c>
      <c r="B188" s="15"/>
      <c r="C188" s="14"/>
      <c r="D188" s="14"/>
      <c r="E188" s="14"/>
    </row>
    <row r="189" spans="1:5" ht="15.75" hidden="1" thickBot="1" x14ac:dyDescent="0.3">
      <c r="A189" s="13" t="s">
        <v>34</v>
      </c>
      <c r="B189" s="15"/>
      <c r="C189" s="14"/>
      <c r="D189" s="14"/>
      <c r="E189" s="14"/>
    </row>
    <row r="190" spans="1:5" ht="15.75" hidden="1" thickBot="1" x14ac:dyDescent="0.3">
      <c r="A190" s="13" t="s">
        <v>36</v>
      </c>
      <c r="B190" s="15"/>
      <c r="C190" s="14"/>
      <c r="D190" s="14"/>
      <c r="E190" s="14"/>
    </row>
    <row r="191" spans="1:5" ht="15.75" hidden="1" thickBot="1" x14ac:dyDescent="0.3">
      <c r="A191" s="13" t="s">
        <v>38</v>
      </c>
      <c r="B191" s="15"/>
      <c r="C191" s="14"/>
      <c r="D191" s="14"/>
      <c r="E191" s="14"/>
    </row>
    <row r="192" spans="1:5" ht="24.75" hidden="1" thickBot="1" x14ac:dyDescent="0.3">
      <c r="A192" s="137" t="s">
        <v>71</v>
      </c>
      <c r="B192" s="138">
        <f>B191+B190+B189+B188+B187+B186+B185</f>
        <v>0</v>
      </c>
      <c r="C192" s="138">
        <f>C191+C190+C189+C188+C187+C186+C185</f>
        <v>0</v>
      </c>
      <c r="D192" s="138">
        <f>D191+D190+D189+D188+D187+D186+D185</f>
        <v>0</v>
      </c>
      <c r="E192" s="138">
        <f>E191+E190+E189+E188+E187+E186+E185</f>
        <v>0</v>
      </c>
    </row>
    <row r="193" spans="1:5" ht="15.75" hidden="1" thickBot="1" x14ac:dyDescent="0.3">
      <c r="A193" s="17" t="s">
        <v>41</v>
      </c>
      <c r="B193" s="18">
        <f>IF(B192-B175=0,0,"Error")</f>
        <v>0</v>
      </c>
      <c r="C193" s="18">
        <f>IF(C192-C175=0,0,"Error")</f>
        <v>0</v>
      </c>
      <c r="D193" s="18">
        <f>IF(D192-D175=0,0,"Error")</f>
        <v>0</v>
      </c>
      <c r="E193" s="18">
        <f>IF(E192-E175=0,0,"Error")</f>
        <v>0</v>
      </c>
    </row>
    <row r="194" spans="1:5" ht="15.75" hidden="1" thickBot="1" x14ac:dyDescent="0.3">
      <c r="A194" s="139" t="s">
        <v>637</v>
      </c>
      <c r="B194" s="1243" t="s">
        <v>106</v>
      </c>
      <c r="C194" s="1244"/>
      <c r="D194" s="1244"/>
      <c r="E194" s="1315"/>
    </row>
    <row r="195" spans="1:5" ht="15.75" hidden="1" thickBot="1" x14ac:dyDescent="0.3">
      <c r="A195" s="5" t="s">
        <v>17</v>
      </c>
      <c r="B195" s="1245" t="s">
        <v>106</v>
      </c>
      <c r="C195" s="1246"/>
      <c r="D195" s="1246"/>
      <c r="E195" s="1298"/>
    </row>
    <row r="196" spans="1:5" ht="15.75" hidden="1" thickBot="1" x14ac:dyDescent="0.3">
      <c r="A196" s="5" t="s">
        <v>18</v>
      </c>
      <c r="B196" s="1248" t="s">
        <v>106</v>
      </c>
      <c r="C196" s="1249"/>
      <c r="D196" s="1249"/>
      <c r="E196" s="1316"/>
    </row>
    <row r="197" spans="1:5" ht="12.75" hidden="1" customHeight="1" x14ac:dyDescent="0.25">
      <c r="A197" s="1250"/>
      <c r="B197" s="8">
        <v>2018</v>
      </c>
      <c r="C197" s="8">
        <v>2019</v>
      </c>
      <c r="D197" s="8">
        <v>2020</v>
      </c>
      <c r="E197" s="8">
        <v>2021</v>
      </c>
    </row>
    <row r="198" spans="1:5" ht="9" hidden="1" customHeight="1" thickBot="1" x14ac:dyDescent="0.3">
      <c r="A198" s="1251"/>
      <c r="B198" s="9" t="s">
        <v>10</v>
      </c>
      <c r="C198" s="9" t="s">
        <v>11</v>
      </c>
      <c r="D198" s="9" t="s">
        <v>11</v>
      </c>
      <c r="E198" s="9" t="s">
        <v>11</v>
      </c>
    </row>
    <row r="199" spans="1:5" ht="15.75" hidden="1" thickBot="1" x14ac:dyDescent="0.3">
      <c r="A199" s="5" t="s">
        <v>19</v>
      </c>
      <c r="B199" s="10"/>
      <c r="C199" s="10"/>
      <c r="D199" s="10"/>
      <c r="E199" s="10"/>
    </row>
    <row r="200" spans="1:5" ht="15.75" hidden="1" thickBot="1" x14ac:dyDescent="0.3">
      <c r="A200" s="5" t="s">
        <v>20</v>
      </c>
      <c r="B200" s="10"/>
      <c r="C200" s="10"/>
      <c r="D200" s="10"/>
      <c r="E200" s="10"/>
    </row>
    <row r="201" spans="1:5" ht="15.75" hidden="1" thickBot="1" x14ac:dyDescent="0.3">
      <c r="A201" s="5" t="s">
        <v>21</v>
      </c>
      <c r="B201" s="10" t="e">
        <f>B200/B199</f>
        <v>#DIV/0!</v>
      </c>
      <c r="C201" s="10" t="e">
        <f>C200/C199</f>
        <v>#DIV/0!</v>
      </c>
      <c r="D201" s="10" t="e">
        <f>D200/D199</f>
        <v>#DIV/0!</v>
      </c>
      <c r="E201" s="10" t="e">
        <f>E200/E199</f>
        <v>#DIV/0!</v>
      </c>
    </row>
    <row r="202" spans="1:5" ht="15.75" hidden="1" thickBot="1" x14ac:dyDescent="0.3">
      <c r="A202" s="5" t="s">
        <v>22</v>
      </c>
      <c r="B202" s="225"/>
      <c r="C202" s="11" t="e">
        <f t="shared" ref="C202:E204" si="7">C199/B199-1</f>
        <v>#DIV/0!</v>
      </c>
      <c r="D202" s="11" t="e">
        <f t="shared" si="7"/>
        <v>#DIV/0!</v>
      </c>
      <c r="E202" s="11" t="e">
        <f t="shared" si="7"/>
        <v>#DIV/0!</v>
      </c>
    </row>
    <row r="203" spans="1:5" ht="15.75" hidden="1" thickBot="1" x14ac:dyDescent="0.3">
      <c r="A203" s="5" t="s">
        <v>24</v>
      </c>
      <c r="B203" s="225"/>
      <c r="C203" s="11" t="e">
        <f t="shared" si="7"/>
        <v>#DIV/0!</v>
      </c>
      <c r="D203" s="11" t="e">
        <f t="shared" si="7"/>
        <v>#DIV/0!</v>
      </c>
      <c r="E203" s="11" t="e">
        <f t="shared" si="7"/>
        <v>#DIV/0!</v>
      </c>
    </row>
    <row r="204" spans="1:5" ht="15.75" hidden="1" thickBot="1" x14ac:dyDescent="0.3">
      <c r="A204" s="5" t="s">
        <v>25</v>
      </c>
      <c r="B204" s="225"/>
      <c r="C204" s="11" t="e">
        <f t="shared" si="7"/>
        <v>#DIV/0!</v>
      </c>
      <c r="D204" s="11" t="e">
        <f t="shared" si="7"/>
        <v>#DIV/0!</v>
      </c>
      <c r="E204" s="11" t="e">
        <f t="shared" si="7"/>
        <v>#DIV/0!</v>
      </c>
    </row>
    <row r="205" spans="1:5" ht="15.75" hidden="1" thickBot="1" x14ac:dyDescent="0.3">
      <c r="A205" s="1252" t="s">
        <v>635</v>
      </c>
      <c r="B205" s="1253"/>
      <c r="C205" s="1253"/>
      <c r="D205" s="1253"/>
      <c r="E205" s="1300"/>
    </row>
    <row r="206" spans="1:5" ht="12.75" hidden="1" customHeight="1" x14ac:dyDescent="0.25">
      <c r="A206" s="1250"/>
      <c r="B206" s="8">
        <v>2018</v>
      </c>
      <c r="C206" s="8">
        <v>2019</v>
      </c>
      <c r="D206" s="8">
        <v>2020</v>
      </c>
      <c r="E206" s="8">
        <v>2021</v>
      </c>
    </row>
    <row r="207" spans="1:5" ht="9" hidden="1" customHeight="1" thickBot="1" x14ac:dyDescent="0.3">
      <c r="A207" s="1251"/>
      <c r="B207" s="9" t="s">
        <v>10</v>
      </c>
      <c r="C207" s="9" t="s">
        <v>11</v>
      </c>
      <c r="D207" s="9" t="s">
        <v>11</v>
      </c>
      <c r="E207" s="9" t="s">
        <v>11</v>
      </c>
    </row>
    <row r="208" spans="1:5" ht="15.75" hidden="1" thickBot="1" x14ac:dyDescent="0.3">
      <c r="A208" s="13" t="s">
        <v>26</v>
      </c>
      <c r="B208" s="14"/>
      <c r="C208" s="14"/>
      <c r="D208" s="14"/>
      <c r="E208" s="14"/>
    </row>
    <row r="209" spans="1:5" ht="15.75" hidden="1" thickBot="1" x14ac:dyDescent="0.3">
      <c r="A209" s="13" t="s">
        <v>28</v>
      </c>
      <c r="B209" s="14"/>
      <c r="C209" s="14"/>
      <c r="D209" s="14"/>
      <c r="E209" s="14"/>
    </row>
    <row r="210" spans="1:5" ht="15.75" hidden="1" thickBot="1" x14ac:dyDescent="0.3">
      <c r="A210" s="13" t="s">
        <v>30</v>
      </c>
      <c r="B210" s="15"/>
      <c r="C210" s="14"/>
      <c r="D210" s="14"/>
      <c r="E210" s="14"/>
    </row>
    <row r="211" spans="1:5" ht="15.75" hidden="1" thickBot="1" x14ac:dyDescent="0.3">
      <c r="A211" s="13" t="s">
        <v>32</v>
      </c>
      <c r="B211" s="15"/>
      <c r="C211" s="14"/>
      <c r="D211" s="14"/>
      <c r="E211" s="14"/>
    </row>
    <row r="212" spans="1:5" ht="15.75" hidden="1" thickBot="1" x14ac:dyDescent="0.3">
      <c r="A212" s="13" t="s">
        <v>34</v>
      </c>
      <c r="B212" s="15"/>
      <c r="C212" s="14"/>
      <c r="D212" s="14"/>
      <c r="E212" s="14"/>
    </row>
    <row r="213" spans="1:5" ht="15.75" hidden="1" thickBot="1" x14ac:dyDescent="0.3">
      <c r="A213" s="13" t="s">
        <v>36</v>
      </c>
      <c r="B213" s="15"/>
      <c r="C213" s="14"/>
      <c r="D213" s="14"/>
      <c r="E213" s="14"/>
    </row>
    <row r="214" spans="1:5" ht="15.75" hidden="1" thickBot="1" x14ac:dyDescent="0.3">
      <c r="A214" s="13" t="s">
        <v>38</v>
      </c>
      <c r="B214" s="15"/>
      <c r="C214" s="14"/>
      <c r="D214" s="14"/>
      <c r="E214" s="14"/>
    </row>
    <row r="215" spans="1:5" ht="24.75" hidden="1" thickBot="1" x14ac:dyDescent="0.3">
      <c r="A215" s="137" t="s">
        <v>71</v>
      </c>
      <c r="B215" s="140">
        <f>B214+B212+B213+B211+B210+B209+B208</f>
        <v>0</v>
      </c>
      <c r="C215" s="140">
        <f>C214+C212+C213+C211+C210+C209+C208</f>
        <v>0</v>
      </c>
      <c r="D215" s="140">
        <f>D214+D212+D213+D211+D210+D209+D208</f>
        <v>0</v>
      </c>
      <c r="E215" s="140">
        <f>E214+E212+E213+E211+E210+E209+E208</f>
        <v>0</v>
      </c>
    </row>
    <row r="216" spans="1:5" ht="15.75" hidden="1" thickBot="1" x14ac:dyDescent="0.3">
      <c r="A216" s="17" t="s">
        <v>41</v>
      </c>
      <c r="B216" s="18">
        <f>IF(B215-B200=0,0,"Error")</f>
        <v>0</v>
      </c>
      <c r="C216" s="18">
        <f>IF(C215-C200=0,0,"Error")</f>
        <v>0</v>
      </c>
      <c r="D216" s="18">
        <f>IF(D215-D200=0,0,"Error")</f>
        <v>0</v>
      </c>
      <c r="E216" s="18">
        <f>IF(E215-E200=0,0,"Error")</f>
        <v>0</v>
      </c>
    </row>
    <row r="217" spans="1:5" ht="15.75" hidden="1" thickBot="1" x14ac:dyDescent="0.3">
      <c r="A217" s="1275" t="s">
        <v>63</v>
      </c>
      <c r="B217" s="1276"/>
      <c r="C217" s="1276"/>
      <c r="D217" s="1276"/>
      <c r="E217" s="1317"/>
    </row>
    <row r="218" spans="1:5" ht="15.75" hidden="1" thickBot="1" x14ac:dyDescent="0.3">
      <c r="A218" s="1275" t="s">
        <v>56</v>
      </c>
      <c r="B218" s="1276"/>
      <c r="C218" s="1276"/>
      <c r="D218" s="1276"/>
      <c r="E218" s="1317"/>
    </row>
    <row r="219" spans="1:5" ht="15.75" hidden="1" thickBot="1" x14ac:dyDescent="0.3">
      <c r="A219" s="20" t="s">
        <v>61</v>
      </c>
      <c r="B219" s="1241"/>
      <c r="C219" s="1242"/>
      <c r="D219" s="1242"/>
      <c r="E219" s="1318"/>
    </row>
    <row r="220" spans="1:5" ht="15.75" hidden="1" thickBot="1" x14ac:dyDescent="0.3">
      <c r="A220" s="7" t="s">
        <v>16</v>
      </c>
      <c r="B220" s="1243"/>
      <c r="C220" s="1244"/>
      <c r="D220" s="1244"/>
      <c r="E220" s="1315"/>
    </row>
    <row r="221" spans="1:5" ht="17.25" hidden="1" customHeight="1" thickBot="1" x14ac:dyDescent="0.3">
      <c r="A221" s="5" t="s">
        <v>17</v>
      </c>
      <c r="B221" s="1245"/>
      <c r="C221" s="1246"/>
      <c r="D221" s="1246"/>
      <c r="E221" s="1298"/>
    </row>
    <row r="222" spans="1:5" ht="15.75" hidden="1" thickBot="1" x14ac:dyDescent="0.3">
      <c r="A222" s="5" t="s">
        <v>18</v>
      </c>
      <c r="B222" s="1248"/>
      <c r="C222" s="1249"/>
      <c r="D222" s="1249"/>
      <c r="E222" s="1316"/>
    </row>
    <row r="223" spans="1:5" ht="12.75" hidden="1" customHeight="1" x14ac:dyDescent="0.25">
      <c r="A223" s="1250"/>
      <c r="B223" s="8">
        <v>2018</v>
      </c>
      <c r="C223" s="8">
        <v>2019</v>
      </c>
      <c r="D223" s="8">
        <v>2020</v>
      </c>
      <c r="E223" s="8">
        <v>2021</v>
      </c>
    </row>
    <row r="224" spans="1:5" ht="9" hidden="1" customHeight="1" thickBot="1" x14ac:dyDescent="0.3">
      <c r="A224" s="1251"/>
      <c r="B224" s="9" t="s">
        <v>10</v>
      </c>
      <c r="C224" s="9" t="s">
        <v>11</v>
      </c>
      <c r="D224" s="9" t="s">
        <v>11</v>
      </c>
      <c r="E224" s="9" t="s">
        <v>11</v>
      </c>
    </row>
    <row r="225" spans="1:9" ht="15.75" hidden="1" thickBot="1" x14ac:dyDescent="0.3">
      <c r="A225" s="5" t="s">
        <v>19</v>
      </c>
      <c r="B225" s="10"/>
      <c r="C225" s="10"/>
      <c r="D225" s="10"/>
      <c r="E225" s="10"/>
    </row>
    <row r="226" spans="1:9" ht="15.75" hidden="1" thickBot="1" x14ac:dyDescent="0.3">
      <c r="A226" s="5" t="s">
        <v>20</v>
      </c>
      <c r="B226" s="10"/>
      <c r="C226" s="10"/>
      <c r="D226" s="10"/>
      <c r="E226" s="10"/>
    </row>
    <row r="227" spans="1:9" ht="15.75" hidden="1" thickBot="1" x14ac:dyDescent="0.3">
      <c r="A227" s="5" t="s">
        <v>21</v>
      </c>
      <c r="B227" s="10" t="e">
        <f>B226/B225</f>
        <v>#DIV/0!</v>
      </c>
      <c r="C227" s="10" t="e">
        <f>C226/C225</f>
        <v>#DIV/0!</v>
      </c>
      <c r="D227" s="10" t="e">
        <f>D226/D225</f>
        <v>#DIV/0!</v>
      </c>
      <c r="E227" s="10" t="e">
        <f>E226/E225</f>
        <v>#DIV/0!</v>
      </c>
    </row>
    <row r="228" spans="1:9" ht="15.75" hidden="1" thickBot="1" x14ac:dyDescent="0.3">
      <c r="A228" s="5" t="s">
        <v>22</v>
      </c>
      <c r="B228" s="225" t="s">
        <v>23</v>
      </c>
      <c r="C228" s="11" t="e">
        <f t="shared" ref="C228:E230" si="8">C225/B225-1</f>
        <v>#DIV/0!</v>
      </c>
      <c r="D228" s="11" t="e">
        <f t="shared" si="8"/>
        <v>#DIV/0!</v>
      </c>
      <c r="E228" s="11" t="e">
        <f t="shared" si="8"/>
        <v>#DIV/0!</v>
      </c>
      <c r="F228" s="12"/>
      <c r="G228" s="12"/>
      <c r="H228" s="12"/>
      <c r="I228" s="12"/>
    </row>
    <row r="229" spans="1:9" ht="15.75" hidden="1" thickBot="1" x14ac:dyDescent="0.3">
      <c r="A229" s="5" t="s">
        <v>24</v>
      </c>
      <c r="B229" s="225" t="s">
        <v>23</v>
      </c>
      <c r="C229" s="11" t="e">
        <f t="shared" si="8"/>
        <v>#DIV/0!</v>
      </c>
      <c r="D229" s="11" t="e">
        <f t="shared" si="8"/>
        <v>#DIV/0!</v>
      </c>
      <c r="E229" s="11" t="e">
        <f t="shared" si="8"/>
        <v>#DIV/0!</v>
      </c>
    </row>
    <row r="230" spans="1:9" ht="15.75" hidden="1" thickBot="1" x14ac:dyDescent="0.3">
      <c r="A230" s="5" t="s">
        <v>25</v>
      </c>
      <c r="B230" s="225" t="s">
        <v>23</v>
      </c>
      <c r="C230" s="11" t="e">
        <f t="shared" si="8"/>
        <v>#DIV/0!</v>
      </c>
      <c r="D230" s="11" t="e">
        <f t="shared" si="8"/>
        <v>#DIV/0!</v>
      </c>
      <c r="E230" s="11" t="e">
        <f t="shared" si="8"/>
        <v>#DIV/0!</v>
      </c>
    </row>
    <row r="231" spans="1:9" ht="15.75" hidden="1" thickBot="1" x14ac:dyDescent="0.3">
      <c r="A231" s="1252" t="s">
        <v>633</v>
      </c>
      <c r="B231" s="1253"/>
      <c r="C231" s="1253"/>
      <c r="D231" s="1253"/>
      <c r="E231" s="1300"/>
    </row>
    <row r="232" spans="1:9" ht="12.75" hidden="1" customHeight="1" x14ac:dyDescent="0.25">
      <c r="A232" s="1250"/>
      <c r="B232" s="8">
        <v>2018</v>
      </c>
      <c r="C232" s="8">
        <v>2019</v>
      </c>
      <c r="D232" s="8">
        <v>2020</v>
      </c>
      <c r="E232" s="8">
        <v>2021</v>
      </c>
    </row>
    <row r="233" spans="1:9" ht="9" hidden="1" customHeight="1" thickBot="1" x14ac:dyDescent="0.3">
      <c r="A233" s="1251"/>
      <c r="B233" s="9" t="s">
        <v>10</v>
      </c>
      <c r="C233" s="9" t="s">
        <v>11</v>
      </c>
      <c r="D233" s="9" t="s">
        <v>11</v>
      </c>
      <c r="E233" s="9" t="s">
        <v>11</v>
      </c>
    </row>
    <row r="234" spans="1:9" ht="15.75" hidden="1" thickBot="1" x14ac:dyDescent="0.3">
      <c r="A234" s="13" t="s">
        <v>58</v>
      </c>
      <c r="B234" s="14"/>
      <c r="C234" s="14"/>
      <c r="D234" s="14"/>
      <c r="E234" s="14"/>
    </row>
    <row r="235" spans="1:9" ht="15.75" hidden="1" thickBot="1" x14ac:dyDescent="0.3">
      <c r="A235" s="13" t="s">
        <v>59</v>
      </c>
      <c r="B235" s="15"/>
      <c r="C235" s="14"/>
      <c r="D235" s="14"/>
      <c r="E235" s="14"/>
    </row>
    <row r="236" spans="1:9" ht="15.75" hidden="1" thickBot="1" x14ac:dyDescent="0.3">
      <c r="A236" s="16" t="s">
        <v>40</v>
      </c>
      <c r="B236" s="15">
        <f>B235+B234</f>
        <v>0</v>
      </c>
      <c r="C236" s="15">
        <f>C235+C234</f>
        <v>0</v>
      </c>
      <c r="D236" s="15">
        <f>D235+D234</f>
        <v>0</v>
      </c>
      <c r="E236" s="15">
        <f>E235+E234</f>
        <v>0</v>
      </c>
    </row>
    <row r="237" spans="1:9" ht="15.75" hidden="1" thickBot="1" x14ac:dyDescent="0.3">
      <c r="A237" s="20" t="s">
        <v>61</v>
      </c>
      <c r="B237" s="1241" t="s">
        <v>124</v>
      </c>
      <c r="C237" s="1242"/>
      <c r="D237" s="1242"/>
      <c r="E237" s="1318"/>
    </row>
    <row r="238" spans="1:9" ht="15.75" hidden="1" thickBot="1" x14ac:dyDescent="0.3">
      <c r="A238" s="7" t="s">
        <v>123</v>
      </c>
      <c r="B238" s="1243" t="s">
        <v>106</v>
      </c>
      <c r="C238" s="1244"/>
      <c r="D238" s="1244"/>
      <c r="E238" s="1315"/>
    </row>
    <row r="239" spans="1:9" ht="17.25" hidden="1" customHeight="1" thickBot="1" x14ac:dyDescent="0.3">
      <c r="A239" s="5" t="s">
        <v>17</v>
      </c>
      <c r="B239" s="1245" t="s">
        <v>106</v>
      </c>
      <c r="C239" s="1246"/>
      <c r="D239" s="1246"/>
      <c r="E239" s="1298"/>
    </row>
    <row r="240" spans="1:9" ht="15.75" hidden="1" thickBot="1" x14ac:dyDescent="0.3">
      <c r="A240" s="5" t="s">
        <v>18</v>
      </c>
      <c r="B240" s="1248" t="s">
        <v>106</v>
      </c>
      <c r="C240" s="1249"/>
      <c r="D240" s="1249"/>
      <c r="E240" s="1316"/>
    </row>
    <row r="241" spans="1:9" ht="12.75" hidden="1" customHeight="1" x14ac:dyDescent="0.25">
      <c r="A241" s="1250"/>
      <c r="B241" s="8">
        <v>2018</v>
      </c>
      <c r="C241" s="8">
        <v>2019</v>
      </c>
      <c r="D241" s="8">
        <v>2020</v>
      </c>
      <c r="E241" s="8">
        <v>2021</v>
      </c>
    </row>
    <row r="242" spans="1:9" ht="9" hidden="1" customHeight="1" thickBot="1" x14ac:dyDescent="0.3">
      <c r="A242" s="1251"/>
      <c r="B242" s="9" t="s">
        <v>10</v>
      </c>
      <c r="C242" s="9" t="s">
        <v>11</v>
      </c>
      <c r="D242" s="9" t="s">
        <v>11</v>
      </c>
      <c r="E242" s="9" t="s">
        <v>11</v>
      </c>
    </row>
    <row r="243" spans="1:9" ht="15.75" hidden="1" thickBot="1" x14ac:dyDescent="0.3">
      <c r="A243" s="5" t="s">
        <v>19</v>
      </c>
      <c r="B243" s="10"/>
      <c r="C243" s="10"/>
      <c r="D243" s="10"/>
      <c r="E243" s="10"/>
    </row>
    <row r="244" spans="1:9" ht="15.75" hidden="1" thickBot="1" x14ac:dyDescent="0.3">
      <c r="A244" s="5" t="s">
        <v>20</v>
      </c>
      <c r="B244" s="10"/>
      <c r="C244" s="10"/>
      <c r="D244" s="10"/>
      <c r="E244" s="10"/>
    </row>
    <row r="245" spans="1:9" ht="15.75" hidden="1" thickBot="1" x14ac:dyDescent="0.3">
      <c r="A245" s="5" t="s">
        <v>21</v>
      </c>
      <c r="B245" s="10" t="e">
        <f>B244/B243</f>
        <v>#DIV/0!</v>
      </c>
      <c r="C245" s="10" t="e">
        <f>C244/C243</f>
        <v>#DIV/0!</v>
      </c>
      <c r="D245" s="10" t="e">
        <f>D244/D243</f>
        <v>#DIV/0!</v>
      </c>
      <c r="E245" s="10" t="e">
        <f>E244/E243</f>
        <v>#DIV/0!</v>
      </c>
    </row>
    <row r="246" spans="1:9" ht="15.75" hidden="1" thickBot="1" x14ac:dyDescent="0.3">
      <c r="A246" s="5" t="s">
        <v>22</v>
      </c>
      <c r="B246" s="225" t="s">
        <v>23</v>
      </c>
      <c r="C246" s="11" t="e">
        <f t="shared" ref="C246:E248" si="9">C243/B243-1</f>
        <v>#DIV/0!</v>
      </c>
      <c r="D246" s="11" t="e">
        <f t="shared" si="9"/>
        <v>#DIV/0!</v>
      </c>
      <c r="E246" s="11" t="e">
        <f t="shared" si="9"/>
        <v>#DIV/0!</v>
      </c>
      <c r="F246" s="12"/>
      <c r="G246" s="12"/>
      <c r="H246" s="12"/>
      <c r="I246" s="12"/>
    </row>
    <row r="247" spans="1:9" ht="15.75" hidden="1" thickBot="1" x14ac:dyDescent="0.3">
      <c r="A247" s="5" t="s">
        <v>24</v>
      </c>
      <c r="B247" s="225" t="s">
        <v>23</v>
      </c>
      <c r="C247" s="11" t="e">
        <f t="shared" si="9"/>
        <v>#DIV/0!</v>
      </c>
      <c r="D247" s="11" t="e">
        <f t="shared" si="9"/>
        <v>#DIV/0!</v>
      </c>
      <c r="E247" s="11" t="e">
        <f t="shared" si="9"/>
        <v>#DIV/0!</v>
      </c>
    </row>
    <row r="248" spans="1:9" ht="15.75" hidden="1" thickBot="1" x14ac:dyDescent="0.3">
      <c r="A248" s="5" t="s">
        <v>25</v>
      </c>
      <c r="B248" s="225" t="s">
        <v>23</v>
      </c>
      <c r="C248" s="11" t="e">
        <f t="shared" si="9"/>
        <v>#DIV/0!</v>
      </c>
      <c r="D248" s="11" t="e">
        <f t="shared" si="9"/>
        <v>#DIV/0!</v>
      </c>
      <c r="E248" s="11" t="e">
        <f t="shared" si="9"/>
        <v>#DIV/0!</v>
      </c>
    </row>
    <row r="249" spans="1:9" ht="15.75" hidden="1" thickBot="1" x14ac:dyDescent="0.3">
      <c r="A249" s="1252" t="s">
        <v>635</v>
      </c>
      <c r="B249" s="1253"/>
      <c r="C249" s="1253"/>
      <c r="D249" s="1253"/>
      <c r="E249" s="1300"/>
    </row>
    <row r="250" spans="1:9" ht="12.75" hidden="1" customHeight="1" x14ac:dyDescent="0.25">
      <c r="A250" s="1250"/>
      <c r="B250" s="8">
        <v>2018</v>
      </c>
      <c r="C250" s="8">
        <v>2019</v>
      </c>
      <c r="D250" s="8">
        <v>2020</v>
      </c>
      <c r="E250" s="8">
        <v>2021</v>
      </c>
    </row>
    <row r="251" spans="1:9" ht="9" hidden="1" customHeight="1" thickBot="1" x14ac:dyDescent="0.3">
      <c r="A251" s="1251"/>
      <c r="B251" s="9" t="s">
        <v>10</v>
      </c>
      <c r="C251" s="9" t="s">
        <v>11</v>
      </c>
      <c r="D251" s="9" t="s">
        <v>11</v>
      </c>
      <c r="E251" s="9" t="s">
        <v>11</v>
      </c>
    </row>
    <row r="252" spans="1:9" ht="15.75" hidden="1" thickBot="1" x14ac:dyDescent="0.3">
      <c r="A252" s="13" t="s">
        <v>58</v>
      </c>
      <c r="B252" s="14"/>
      <c r="C252" s="14"/>
      <c r="D252" s="14"/>
      <c r="E252" s="14"/>
    </row>
    <row r="253" spans="1:9" ht="15.75" hidden="1" thickBot="1" x14ac:dyDescent="0.3">
      <c r="A253" s="13" t="s">
        <v>59</v>
      </c>
      <c r="B253" s="15"/>
      <c r="C253" s="14"/>
      <c r="D253" s="14"/>
      <c r="E253" s="14"/>
    </row>
    <row r="254" spans="1:9" ht="15.75" hidden="1" thickBot="1" x14ac:dyDescent="0.3">
      <c r="A254" s="16" t="s">
        <v>74</v>
      </c>
      <c r="B254" s="15">
        <f>B253+B252</f>
        <v>0</v>
      </c>
      <c r="C254" s="15">
        <f>C253+C252</f>
        <v>0</v>
      </c>
      <c r="D254" s="15">
        <f>D253+D252</f>
        <v>0</v>
      </c>
      <c r="E254" s="15">
        <f>E253+E252</f>
        <v>0</v>
      </c>
    </row>
    <row r="255" spans="1:9" ht="15.75" hidden="1" thickBot="1" x14ac:dyDescent="0.3">
      <c r="A255" s="1275" t="s">
        <v>63</v>
      </c>
      <c r="B255" s="1276"/>
      <c r="C255" s="1276"/>
      <c r="D255" s="1276"/>
      <c r="E255" s="1317"/>
    </row>
    <row r="256" spans="1:9" ht="15.75" hidden="1" thickBot="1" x14ac:dyDescent="0.3">
      <c r="A256" s="1275" t="s">
        <v>64</v>
      </c>
      <c r="B256" s="1276"/>
      <c r="C256" s="1276"/>
      <c r="D256" s="1276"/>
      <c r="E256" s="1317"/>
    </row>
    <row r="257" spans="1:9" ht="15.75" hidden="1" thickBot="1" x14ac:dyDescent="0.3">
      <c r="A257" s="20" t="s">
        <v>61</v>
      </c>
      <c r="B257" s="1241" t="s">
        <v>124</v>
      </c>
      <c r="C257" s="1242"/>
      <c r="D257" s="1242"/>
      <c r="E257" s="1318"/>
    </row>
    <row r="258" spans="1:9" ht="15.75" hidden="1" thickBot="1" x14ac:dyDescent="0.3">
      <c r="A258" s="7" t="s">
        <v>16</v>
      </c>
      <c r="B258" s="1243" t="s">
        <v>106</v>
      </c>
      <c r="C258" s="1244"/>
      <c r="D258" s="1244"/>
      <c r="E258" s="1315"/>
    </row>
    <row r="259" spans="1:9" ht="17.25" hidden="1" customHeight="1" thickBot="1" x14ac:dyDescent="0.3">
      <c r="A259" s="5" t="s">
        <v>17</v>
      </c>
      <c r="B259" s="1245" t="s">
        <v>106</v>
      </c>
      <c r="C259" s="1246"/>
      <c r="D259" s="1246"/>
      <c r="E259" s="1298"/>
    </row>
    <row r="260" spans="1:9" ht="15.75" hidden="1" thickBot="1" x14ac:dyDescent="0.3">
      <c r="A260" s="5" t="s">
        <v>18</v>
      </c>
      <c r="B260" s="1248" t="s">
        <v>106</v>
      </c>
      <c r="C260" s="1249"/>
      <c r="D260" s="1249"/>
      <c r="E260" s="1316"/>
    </row>
    <row r="261" spans="1:9" ht="12.75" hidden="1" customHeight="1" x14ac:dyDescent="0.25">
      <c r="A261" s="1250"/>
      <c r="B261" s="8">
        <v>2018</v>
      </c>
      <c r="C261" s="8">
        <v>2019</v>
      </c>
      <c r="D261" s="8">
        <v>2020</v>
      </c>
      <c r="E261" s="8">
        <v>2021</v>
      </c>
    </row>
    <row r="262" spans="1:9" ht="9" hidden="1" customHeight="1" thickBot="1" x14ac:dyDescent="0.3">
      <c r="A262" s="1251"/>
      <c r="B262" s="9" t="s">
        <v>10</v>
      </c>
      <c r="C262" s="9" t="s">
        <v>11</v>
      </c>
      <c r="D262" s="9" t="s">
        <v>11</v>
      </c>
      <c r="E262" s="9" t="s">
        <v>11</v>
      </c>
    </row>
    <row r="263" spans="1:9" ht="15.75" hidden="1" thickBot="1" x14ac:dyDescent="0.3">
      <c r="A263" s="5" t="s">
        <v>19</v>
      </c>
      <c r="B263" s="10"/>
      <c r="C263" s="10"/>
      <c r="D263" s="10"/>
      <c r="E263" s="10"/>
    </row>
    <row r="264" spans="1:9" ht="15.75" hidden="1" thickBot="1" x14ac:dyDescent="0.3">
      <c r="A264" s="5" t="s">
        <v>20</v>
      </c>
      <c r="B264" s="10"/>
      <c r="C264" s="10"/>
      <c r="D264" s="10"/>
      <c r="E264" s="10"/>
    </row>
    <row r="265" spans="1:9" ht="15.75" hidden="1" thickBot="1" x14ac:dyDescent="0.3">
      <c r="A265" s="5" t="s">
        <v>21</v>
      </c>
      <c r="B265" s="10" t="e">
        <f>B264/B263</f>
        <v>#DIV/0!</v>
      </c>
      <c r="C265" s="10" t="e">
        <f>C264/C263</f>
        <v>#DIV/0!</v>
      </c>
      <c r="D265" s="10" t="e">
        <f>D264/D263</f>
        <v>#DIV/0!</v>
      </c>
      <c r="E265" s="10" t="e">
        <f>E264/E263</f>
        <v>#DIV/0!</v>
      </c>
    </row>
    <row r="266" spans="1:9" ht="15.75" hidden="1" thickBot="1" x14ac:dyDescent="0.3">
      <c r="A266" s="5" t="s">
        <v>22</v>
      </c>
      <c r="B266" s="225" t="s">
        <v>23</v>
      </c>
      <c r="C266" s="11" t="e">
        <f t="shared" ref="C266:E268" si="10">C263/B263-1</f>
        <v>#DIV/0!</v>
      </c>
      <c r="D266" s="11" t="e">
        <f t="shared" si="10"/>
        <v>#DIV/0!</v>
      </c>
      <c r="E266" s="11" t="e">
        <f t="shared" si="10"/>
        <v>#DIV/0!</v>
      </c>
      <c r="F266" s="12"/>
      <c r="G266" s="12"/>
      <c r="H266" s="12"/>
      <c r="I266" s="12"/>
    </row>
    <row r="267" spans="1:9" ht="15.75" hidden="1" thickBot="1" x14ac:dyDescent="0.3">
      <c r="A267" s="5" t="s">
        <v>24</v>
      </c>
      <c r="B267" s="225" t="s">
        <v>23</v>
      </c>
      <c r="C267" s="11" t="e">
        <f t="shared" si="10"/>
        <v>#DIV/0!</v>
      </c>
      <c r="D267" s="11" t="e">
        <f t="shared" si="10"/>
        <v>#DIV/0!</v>
      </c>
      <c r="E267" s="11" t="e">
        <f t="shared" si="10"/>
        <v>#DIV/0!</v>
      </c>
    </row>
    <row r="268" spans="1:9" ht="15.75" hidden="1" thickBot="1" x14ac:dyDescent="0.3">
      <c r="A268" s="5" t="s">
        <v>25</v>
      </c>
      <c r="B268" s="225" t="s">
        <v>23</v>
      </c>
      <c r="C268" s="11" t="e">
        <f t="shared" si="10"/>
        <v>#DIV/0!</v>
      </c>
      <c r="D268" s="11" t="e">
        <f t="shared" si="10"/>
        <v>#DIV/0!</v>
      </c>
      <c r="E268" s="11" t="e">
        <f t="shared" si="10"/>
        <v>#DIV/0!</v>
      </c>
    </row>
    <row r="269" spans="1:9" ht="15.75" hidden="1" thickBot="1" x14ac:dyDescent="0.3">
      <c r="A269" s="1252" t="s">
        <v>633</v>
      </c>
      <c r="B269" s="1253"/>
      <c r="C269" s="1253"/>
      <c r="D269" s="1253"/>
      <c r="E269" s="1300"/>
    </row>
    <row r="270" spans="1:9" ht="12.75" hidden="1" customHeight="1" x14ac:dyDescent="0.25">
      <c r="A270" s="1250"/>
      <c r="B270" s="8">
        <v>2018</v>
      </c>
      <c r="C270" s="8">
        <v>2019</v>
      </c>
      <c r="D270" s="8">
        <v>2020</v>
      </c>
      <c r="E270" s="8">
        <v>2021</v>
      </c>
    </row>
    <row r="271" spans="1:9" ht="9" hidden="1" customHeight="1" thickBot="1" x14ac:dyDescent="0.3">
      <c r="A271" s="1251"/>
      <c r="B271" s="9" t="s">
        <v>10</v>
      </c>
      <c r="C271" s="9" t="s">
        <v>11</v>
      </c>
      <c r="D271" s="9" t="s">
        <v>11</v>
      </c>
      <c r="E271" s="9" t="s">
        <v>11</v>
      </c>
    </row>
    <row r="272" spans="1:9" ht="15.75" hidden="1" thickBot="1" x14ac:dyDescent="0.3">
      <c r="A272" s="13" t="s">
        <v>58</v>
      </c>
      <c r="B272" s="14"/>
      <c r="C272" s="14"/>
      <c r="D272" s="14"/>
      <c r="E272" s="14"/>
    </row>
    <row r="273" spans="1:9" ht="15.75" hidden="1" thickBot="1" x14ac:dyDescent="0.3">
      <c r="A273" s="13" t="s">
        <v>59</v>
      </c>
      <c r="B273" s="15"/>
      <c r="C273" s="14"/>
      <c r="D273" s="14"/>
      <c r="E273" s="14"/>
    </row>
    <row r="274" spans="1:9" ht="15.75" hidden="1" thickBot="1" x14ac:dyDescent="0.3">
      <c r="A274" s="16" t="s">
        <v>40</v>
      </c>
      <c r="B274" s="15">
        <f>B273+B272</f>
        <v>0</v>
      </c>
      <c r="C274" s="15">
        <f>C273+C272</f>
        <v>0</v>
      </c>
      <c r="D274" s="15">
        <f>D273+D272</f>
        <v>0</v>
      </c>
      <c r="E274" s="15">
        <f>E273+E272</f>
        <v>0</v>
      </c>
    </row>
    <row r="275" spans="1:9" ht="15.75" hidden="1" thickBot="1" x14ac:dyDescent="0.3">
      <c r="A275" s="20" t="s">
        <v>61</v>
      </c>
      <c r="B275" s="1241" t="s">
        <v>124</v>
      </c>
      <c r="C275" s="1242"/>
      <c r="D275" s="1242"/>
      <c r="E275" s="1318"/>
    </row>
    <row r="276" spans="1:9" ht="15.75" hidden="1" thickBot="1" x14ac:dyDescent="0.3">
      <c r="A276" s="7" t="s">
        <v>123</v>
      </c>
      <c r="B276" s="1243" t="s">
        <v>106</v>
      </c>
      <c r="C276" s="1244"/>
      <c r="D276" s="1244"/>
      <c r="E276" s="1315"/>
    </row>
    <row r="277" spans="1:9" ht="17.25" hidden="1" customHeight="1" thickBot="1" x14ac:dyDescent="0.3">
      <c r="A277" s="5" t="s">
        <v>17</v>
      </c>
      <c r="B277" s="1245" t="s">
        <v>106</v>
      </c>
      <c r="C277" s="1246"/>
      <c r="D277" s="1246"/>
      <c r="E277" s="1298"/>
    </row>
    <row r="278" spans="1:9" ht="15.75" hidden="1" thickBot="1" x14ac:dyDescent="0.3">
      <c r="A278" s="5" t="s">
        <v>18</v>
      </c>
      <c r="B278" s="1248" t="s">
        <v>106</v>
      </c>
      <c r="C278" s="1249"/>
      <c r="D278" s="1249"/>
      <c r="E278" s="1316"/>
    </row>
    <row r="279" spans="1:9" ht="12.75" hidden="1" customHeight="1" x14ac:dyDescent="0.25">
      <c r="A279" s="1250"/>
      <c r="B279" s="8">
        <v>2018</v>
      </c>
      <c r="C279" s="8">
        <v>2019</v>
      </c>
      <c r="D279" s="8">
        <v>2020</v>
      </c>
      <c r="E279" s="8">
        <v>2021</v>
      </c>
    </row>
    <row r="280" spans="1:9" ht="9" hidden="1" customHeight="1" thickBot="1" x14ac:dyDescent="0.3">
      <c r="A280" s="1251"/>
      <c r="B280" s="9" t="s">
        <v>10</v>
      </c>
      <c r="C280" s="9" t="s">
        <v>11</v>
      </c>
      <c r="D280" s="9" t="s">
        <v>11</v>
      </c>
      <c r="E280" s="9" t="s">
        <v>11</v>
      </c>
    </row>
    <row r="281" spans="1:9" ht="15.75" hidden="1" thickBot="1" x14ac:dyDescent="0.3">
      <c r="A281" s="5" t="s">
        <v>19</v>
      </c>
      <c r="B281" s="10"/>
      <c r="C281" s="10"/>
      <c r="D281" s="10"/>
      <c r="E281" s="10"/>
    </row>
    <row r="282" spans="1:9" ht="15.75" hidden="1" thickBot="1" x14ac:dyDescent="0.3">
      <c r="A282" s="5" t="s">
        <v>20</v>
      </c>
      <c r="B282" s="10"/>
      <c r="C282" s="10"/>
      <c r="D282" s="10"/>
      <c r="E282" s="10"/>
    </row>
    <row r="283" spans="1:9" ht="15.75" hidden="1" thickBot="1" x14ac:dyDescent="0.3">
      <c r="A283" s="5" t="s">
        <v>21</v>
      </c>
      <c r="B283" s="10" t="e">
        <f>B282/B281</f>
        <v>#DIV/0!</v>
      </c>
      <c r="C283" s="10" t="e">
        <f>C282/C281</f>
        <v>#DIV/0!</v>
      </c>
      <c r="D283" s="10" t="e">
        <f>D282/D281</f>
        <v>#DIV/0!</v>
      </c>
      <c r="E283" s="10" t="e">
        <f>E282/E281</f>
        <v>#DIV/0!</v>
      </c>
    </row>
    <row r="284" spans="1:9" ht="15.75" hidden="1" thickBot="1" x14ac:dyDescent="0.3">
      <c r="A284" s="5" t="s">
        <v>22</v>
      </c>
      <c r="B284" s="225" t="s">
        <v>23</v>
      </c>
      <c r="C284" s="11" t="e">
        <f t="shared" ref="C284:E286" si="11">C281/B281-1</f>
        <v>#DIV/0!</v>
      </c>
      <c r="D284" s="11" t="e">
        <f t="shared" si="11"/>
        <v>#DIV/0!</v>
      </c>
      <c r="E284" s="11" t="e">
        <f t="shared" si="11"/>
        <v>#DIV/0!</v>
      </c>
      <c r="F284" s="12"/>
      <c r="G284" s="12"/>
      <c r="H284" s="12"/>
      <c r="I284" s="12"/>
    </row>
    <row r="285" spans="1:9" ht="15.75" hidden="1" thickBot="1" x14ac:dyDescent="0.3">
      <c r="A285" s="5" t="s">
        <v>24</v>
      </c>
      <c r="B285" s="225" t="s">
        <v>23</v>
      </c>
      <c r="C285" s="11" t="e">
        <f t="shared" si="11"/>
        <v>#DIV/0!</v>
      </c>
      <c r="D285" s="11" t="e">
        <f t="shared" si="11"/>
        <v>#DIV/0!</v>
      </c>
      <c r="E285" s="11" t="e">
        <f t="shared" si="11"/>
        <v>#DIV/0!</v>
      </c>
    </row>
    <row r="286" spans="1:9" ht="15.75" hidden="1" thickBot="1" x14ac:dyDescent="0.3">
      <c r="A286" s="5" t="s">
        <v>25</v>
      </c>
      <c r="B286" s="225" t="s">
        <v>23</v>
      </c>
      <c r="C286" s="11" t="e">
        <f t="shared" si="11"/>
        <v>#DIV/0!</v>
      </c>
      <c r="D286" s="11" t="e">
        <f t="shared" si="11"/>
        <v>#DIV/0!</v>
      </c>
      <c r="E286" s="11" t="e">
        <f t="shared" si="11"/>
        <v>#DIV/0!</v>
      </c>
    </row>
    <row r="287" spans="1:9" ht="15.75" hidden="1" thickBot="1" x14ac:dyDescent="0.3">
      <c r="A287" s="1252" t="s">
        <v>635</v>
      </c>
      <c r="B287" s="1253"/>
      <c r="C287" s="1253"/>
      <c r="D287" s="1253"/>
      <c r="E287" s="1300"/>
    </row>
    <row r="288" spans="1:9" ht="12.75" hidden="1" customHeight="1" x14ac:dyDescent="0.25">
      <c r="A288" s="1250"/>
      <c r="B288" s="8">
        <v>2018</v>
      </c>
      <c r="C288" s="8">
        <v>2019</v>
      </c>
      <c r="D288" s="8">
        <v>2020</v>
      </c>
      <c r="E288" s="8">
        <v>2021</v>
      </c>
    </row>
    <row r="289" spans="1:5" ht="9" hidden="1" customHeight="1" thickBot="1" x14ac:dyDescent="0.3">
      <c r="A289" s="1251"/>
      <c r="B289" s="9" t="s">
        <v>10</v>
      </c>
      <c r="C289" s="9" t="s">
        <v>11</v>
      </c>
      <c r="D289" s="9" t="s">
        <v>11</v>
      </c>
      <c r="E289" s="9" t="s">
        <v>11</v>
      </c>
    </row>
    <row r="290" spans="1:5" ht="15.75" hidden="1" thickBot="1" x14ac:dyDescent="0.3">
      <c r="A290" s="13" t="s">
        <v>58</v>
      </c>
      <c r="B290" s="14"/>
      <c r="C290" s="14"/>
      <c r="D290" s="14"/>
      <c r="E290" s="14"/>
    </row>
    <row r="291" spans="1:5" ht="15.75" hidden="1" thickBot="1" x14ac:dyDescent="0.3">
      <c r="A291" s="13" t="s">
        <v>59</v>
      </c>
      <c r="B291" s="15"/>
      <c r="C291" s="14"/>
      <c r="D291" s="14"/>
      <c r="E291" s="14"/>
    </row>
    <row r="292" spans="1:5" ht="15.75" hidden="1" thickBot="1" x14ac:dyDescent="0.3">
      <c r="A292" s="16" t="s">
        <v>74</v>
      </c>
      <c r="B292" s="15">
        <f>B291+B290</f>
        <v>0</v>
      </c>
      <c r="C292" s="15">
        <f>C291+C290</f>
        <v>0</v>
      </c>
      <c r="D292" s="15">
        <f>D291+D290</f>
        <v>0</v>
      </c>
      <c r="E292" s="15">
        <f>E291+E290</f>
        <v>0</v>
      </c>
    </row>
    <row r="293" spans="1:5" ht="15.75" thickBot="1" x14ac:dyDescent="0.3">
      <c r="A293" s="22"/>
      <c r="B293" s="23"/>
      <c r="C293" s="23"/>
      <c r="D293" s="23"/>
      <c r="E293" s="23"/>
    </row>
    <row r="294" spans="1:5" ht="24.75" thickBot="1" x14ac:dyDescent="0.3">
      <c r="A294" s="6" t="s">
        <v>82</v>
      </c>
      <c r="B294" s="24">
        <f>B282+B264+B244+B226+B200+B175+B149+B131+B111+B91+B65+B42</f>
        <v>251270</v>
      </c>
      <c r="C294" s="24">
        <f>C282+C264+C244+C226+C200+C175+C149+C131+C111+C91+C65+C42</f>
        <v>480960</v>
      </c>
      <c r="D294" s="24">
        <f>D282+D264+D244+D226+D200+D175+D149+D131+D111+D91+D65+D42</f>
        <v>536960</v>
      </c>
      <c r="E294" s="24">
        <f>E282+E264+E244+E226+E200+E175+E149+E131+E111+E91+E65+E42</f>
        <v>591910</v>
      </c>
    </row>
    <row r="295" spans="1:5" ht="24.75" thickBot="1" x14ac:dyDescent="0.3">
      <c r="A295" s="6" t="s">
        <v>83</v>
      </c>
      <c r="B295" s="24">
        <f>B297+B299+B301+B303+B305+B307+B309+B311+B313</f>
        <v>251270</v>
      </c>
      <c r="C295" s="24">
        <f>C297+C299+C301+C303+C305+C307+C309+C311+C313</f>
        <v>480960</v>
      </c>
      <c r="D295" s="24">
        <f>D297+D299+D301+D303+D305+D307+D309+D311+D313</f>
        <v>536960</v>
      </c>
      <c r="E295" s="24">
        <f>E297+E299+E301+E303+E305+E307+E309+E311+E313</f>
        <v>591910</v>
      </c>
    </row>
    <row r="296" spans="1:5" ht="24.75" thickBot="1" x14ac:dyDescent="0.3">
      <c r="A296" s="25" t="s">
        <v>84</v>
      </c>
      <c r="B296" s="26"/>
      <c r="C296" s="27">
        <f>C295/B295-1</f>
        <v>0.91411628925060695</v>
      </c>
      <c r="D296" s="27">
        <f>D295/C295-1</f>
        <v>0.11643379906852958</v>
      </c>
      <c r="E296" s="27">
        <f>E295/D295-1</f>
        <v>0.10233536948748512</v>
      </c>
    </row>
    <row r="297" spans="1:5" ht="15.75" thickBot="1" x14ac:dyDescent="0.3">
      <c r="A297" s="13" t="s">
        <v>26</v>
      </c>
      <c r="B297" s="14">
        <f>B208+B185+B73+B50</f>
        <v>107780</v>
      </c>
      <c r="C297" s="14">
        <f>C208+C185+C73+C50</f>
        <v>161600</v>
      </c>
      <c r="D297" s="14">
        <f>D208+D185+D73+D50</f>
        <v>201600</v>
      </c>
      <c r="E297" s="14">
        <f>E208+E185+E73+E50</f>
        <v>241050</v>
      </c>
    </row>
    <row r="298" spans="1:5" ht="15.75" thickBot="1" x14ac:dyDescent="0.3">
      <c r="A298" s="28" t="s">
        <v>85</v>
      </c>
      <c r="B298" s="29"/>
      <c r="C298" s="29">
        <f>C297/B297-1</f>
        <v>0.49935052885507525</v>
      </c>
      <c r="D298" s="29">
        <f>D297/C297-1</f>
        <v>0.24752475247524752</v>
      </c>
      <c r="E298" s="29">
        <f>E297/D297-1</f>
        <v>0.19568452380952372</v>
      </c>
    </row>
    <row r="299" spans="1:5" ht="15.75" thickBot="1" x14ac:dyDescent="0.3">
      <c r="A299" s="13" t="s">
        <v>28</v>
      </c>
      <c r="B299" s="14">
        <f>B209+B186+B74+B51</f>
        <v>21490</v>
      </c>
      <c r="C299" s="14">
        <f>C209+C186+C74+C51</f>
        <v>27160</v>
      </c>
      <c r="D299" s="14">
        <f>D209+D186+D74+D51</f>
        <v>33760</v>
      </c>
      <c r="E299" s="14">
        <f>E209+E186+E74+E51</f>
        <v>40260</v>
      </c>
    </row>
    <row r="300" spans="1:5" ht="15.75" thickBot="1" x14ac:dyDescent="0.3">
      <c r="A300" s="28" t="s">
        <v>86</v>
      </c>
      <c r="B300" s="29"/>
      <c r="C300" s="29">
        <f>C299/B299-1</f>
        <v>0.26384364820846895</v>
      </c>
      <c r="D300" s="29">
        <f>D299/C299-1</f>
        <v>0.24300441826215025</v>
      </c>
      <c r="E300" s="29">
        <f>E299/D299-1</f>
        <v>0.19253554502369674</v>
      </c>
    </row>
    <row r="301" spans="1:5" ht="15.75" thickBot="1" x14ac:dyDescent="0.3">
      <c r="A301" s="13" t="s">
        <v>30</v>
      </c>
      <c r="B301" s="14">
        <f>B210+B187+B75+B52</f>
        <v>25000</v>
      </c>
      <c r="C301" s="14">
        <f>C210+C187+C75+C52</f>
        <v>37700</v>
      </c>
      <c r="D301" s="14">
        <f>D210+D187+D75+D52</f>
        <v>47100</v>
      </c>
      <c r="E301" s="14">
        <f>E210+E187+E75+E52</f>
        <v>56100</v>
      </c>
    </row>
    <row r="302" spans="1:5" ht="15.75" thickBot="1" x14ac:dyDescent="0.3">
      <c r="A302" s="28" t="s">
        <v>87</v>
      </c>
      <c r="B302" s="821"/>
      <c r="C302" s="29">
        <f>C301/B301-1</f>
        <v>0.50800000000000001</v>
      </c>
      <c r="D302" s="29">
        <f>D301/C301-1</f>
        <v>0.24933687002652527</v>
      </c>
      <c r="E302" s="29">
        <f>E301/D301-1</f>
        <v>0.19108280254777066</v>
      </c>
    </row>
    <row r="303" spans="1:5" ht="15.75" thickBot="1" x14ac:dyDescent="0.3">
      <c r="A303" s="13" t="s">
        <v>32</v>
      </c>
      <c r="B303" s="822">
        <f>B211+B188+B76+B53</f>
        <v>0</v>
      </c>
      <c r="C303" s="14">
        <f>C211+C188+C76+C53</f>
        <v>0</v>
      </c>
      <c r="D303" s="14">
        <f>D211+D188+D76+D53</f>
        <v>0</v>
      </c>
      <c r="E303" s="14">
        <f>E211+E188+E76+E53</f>
        <v>0</v>
      </c>
    </row>
    <row r="304" spans="1:5" ht="15.75" thickBot="1" x14ac:dyDescent="0.3">
      <c r="A304" s="28" t="s">
        <v>88</v>
      </c>
      <c r="B304" s="821"/>
      <c r="C304" s="29">
        <v>0</v>
      </c>
      <c r="D304" s="29">
        <v>0</v>
      </c>
      <c r="E304" s="29">
        <v>0</v>
      </c>
    </row>
    <row r="305" spans="1:5" ht="15.75" thickBot="1" x14ac:dyDescent="0.3">
      <c r="A305" s="13" t="s">
        <v>34</v>
      </c>
      <c r="B305" s="822">
        <f>B212+B189+B77+B54</f>
        <v>0</v>
      </c>
      <c r="C305" s="14">
        <f>C212+C189+C77+C54</f>
        <v>0</v>
      </c>
      <c r="D305" s="14">
        <f>D212+D189+D77+D54</f>
        <v>0</v>
      </c>
      <c r="E305" s="14">
        <f>E212+E189+E77+E54</f>
        <v>0</v>
      </c>
    </row>
    <row r="306" spans="1:5" ht="15.75" thickBot="1" x14ac:dyDescent="0.3">
      <c r="A306" s="28" t="s">
        <v>89</v>
      </c>
      <c r="B306" s="821"/>
      <c r="C306" s="29">
        <v>0</v>
      </c>
      <c r="D306" s="29">
        <v>0</v>
      </c>
      <c r="E306" s="29">
        <v>0</v>
      </c>
    </row>
    <row r="307" spans="1:5" ht="15.75" thickBot="1" x14ac:dyDescent="0.3">
      <c r="A307" s="13" t="s">
        <v>36</v>
      </c>
      <c r="B307" s="822">
        <f>B213+B190+B78+B55</f>
        <v>0</v>
      </c>
      <c r="C307" s="14">
        <f>C213+C190+C78+C55</f>
        <v>0</v>
      </c>
      <c r="D307" s="14">
        <f>D213+D190+D78+D55</f>
        <v>0</v>
      </c>
      <c r="E307" s="14">
        <f>E213+E190+E78+E55</f>
        <v>0</v>
      </c>
    </row>
    <row r="308" spans="1:5" ht="15.75" thickBot="1" x14ac:dyDescent="0.3">
      <c r="A308" s="28" t="s">
        <v>90</v>
      </c>
      <c r="B308" s="821"/>
      <c r="C308" s="29">
        <v>0</v>
      </c>
      <c r="D308" s="29">
        <v>0</v>
      </c>
      <c r="E308" s="29">
        <v>0</v>
      </c>
    </row>
    <row r="309" spans="1:5" ht="15.75" thickBot="1" x14ac:dyDescent="0.3">
      <c r="A309" s="13" t="s">
        <v>38</v>
      </c>
      <c r="B309" s="822">
        <f>B214+B191+B79+B56</f>
        <v>0</v>
      </c>
      <c r="C309" s="14">
        <f>C214+C191+C79+C56</f>
        <v>0</v>
      </c>
      <c r="D309" s="14">
        <f>D214+D191+D79+D56</f>
        <v>0</v>
      </c>
      <c r="E309" s="14">
        <f>E214+E191+E79+E56</f>
        <v>0</v>
      </c>
    </row>
    <row r="310" spans="1:5" ht="15.75" thickBot="1" x14ac:dyDescent="0.3">
      <c r="A310" s="28" t="s">
        <v>91</v>
      </c>
      <c r="B310" s="821"/>
      <c r="C310" s="29">
        <v>0</v>
      </c>
      <c r="D310" s="29">
        <v>0</v>
      </c>
      <c r="E310" s="29">
        <v>0</v>
      </c>
    </row>
    <row r="311" spans="1:5" ht="15.75" thickBot="1" x14ac:dyDescent="0.3">
      <c r="A311" s="13" t="s">
        <v>92</v>
      </c>
      <c r="B311" s="822">
        <f>B99+B119+B139+B157+B234+B252+B272+B290</f>
        <v>0</v>
      </c>
      <c r="C311" s="14">
        <f>C99+C119+C139+C157+C234+C252+C272+C290</f>
        <v>0</v>
      </c>
      <c r="D311" s="14">
        <f>D99+D119+D139+D157+D234+D252+D272+D290</f>
        <v>0</v>
      </c>
      <c r="E311" s="14">
        <f>E99+E119+E139+E157+E234+E252+E272+E290</f>
        <v>0</v>
      </c>
    </row>
    <row r="312" spans="1:5" ht="15.75" thickBot="1" x14ac:dyDescent="0.3">
      <c r="A312" s="28" t="s">
        <v>93</v>
      </c>
      <c r="B312" s="821"/>
      <c r="C312" s="29">
        <v>0</v>
      </c>
      <c r="D312" s="29">
        <v>0</v>
      </c>
      <c r="E312" s="29">
        <v>0</v>
      </c>
    </row>
    <row r="313" spans="1:5" ht="15.75" thickBot="1" x14ac:dyDescent="0.3">
      <c r="A313" s="13" t="s">
        <v>94</v>
      </c>
      <c r="B313" s="14">
        <f>B100+B120+B140+B158+B235+B253+B273+B291</f>
        <v>97000</v>
      </c>
      <c r="C313" s="14">
        <f>C100+C120+C140+C158+C235+C253+C273+C291</f>
        <v>254500</v>
      </c>
      <c r="D313" s="14">
        <f>D100+D120+D140+D158+D235+D253+D273+D291</f>
        <v>254500</v>
      </c>
      <c r="E313" s="14">
        <f>E100+E120+E140+E158+E235+E253+E273+E291</f>
        <v>254500</v>
      </c>
    </row>
    <row r="314" spans="1:5" ht="15.75" thickBot="1" x14ac:dyDescent="0.3">
      <c r="A314" s="28" t="s">
        <v>95</v>
      </c>
      <c r="B314" s="821"/>
      <c r="C314" s="29">
        <f>C313/B313-1</f>
        <v>1.6237113402061856</v>
      </c>
      <c r="D314" s="29">
        <f>D313/C313-1</f>
        <v>0</v>
      </c>
      <c r="E314" s="29">
        <f>E313/D313-1</f>
        <v>0</v>
      </c>
    </row>
    <row r="315" spans="1:5" ht="15.75" thickBot="1" x14ac:dyDescent="0.3">
      <c r="A315" s="17" t="s">
        <v>41</v>
      </c>
      <c r="B315" s="18">
        <f>IF(B295-B294=0,0,"Error")</f>
        <v>0</v>
      </c>
      <c r="C315" s="18">
        <f>IF(C295-C294=0,0,"Error")</f>
        <v>0</v>
      </c>
      <c r="D315" s="18">
        <f>IF(D295-D294=0,0,"Error")</f>
        <v>0</v>
      </c>
      <c r="E315" s="18">
        <f>IF(E295-E294=0,0,"Error")</f>
        <v>0</v>
      </c>
    </row>
    <row r="316" spans="1:5" ht="24.75" thickBot="1" x14ac:dyDescent="0.3">
      <c r="A316" s="30" t="s">
        <v>96</v>
      </c>
      <c r="B316" s="14">
        <v>155</v>
      </c>
      <c r="C316" s="14">
        <v>220</v>
      </c>
      <c r="D316" s="14">
        <v>285</v>
      </c>
      <c r="E316" s="14">
        <v>350</v>
      </c>
    </row>
    <row r="317" spans="1:5" ht="24.75" thickBot="1" x14ac:dyDescent="0.3">
      <c r="A317" s="30" t="s">
        <v>97</v>
      </c>
      <c r="B317" s="14">
        <v>0</v>
      </c>
      <c r="C317" s="14">
        <v>0</v>
      </c>
      <c r="D317" s="14">
        <v>0</v>
      </c>
      <c r="E317" s="14">
        <v>0</v>
      </c>
    </row>
  </sheetData>
  <mergeCells count="112">
    <mergeCell ref="B276:E276"/>
    <mergeCell ref="B277:E277"/>
    <mergeCell ref="B278:E278"/>
    <mergeCell ref="A279:A280"/>
    <mergeCell ref="A287:E287"/>
    <mergeCell ref="B196:E196"/>
    <mergeCell ref="A197:A198"/>
    <mergeCell ref="A205:E205"/>
    <mergeCell ref="A288:A289"/>
    <mergeCell ref="B259:E259"/>
    <mergeCell ref="B260:E260"/>
    <mergeCell ref="A261:A262"/>
    <mergeCell ref="A269:E269"/>
    <mergeCell ref="A270:A271"/>
    <mergeCell ref="B275:E275"/>
    <mergeCell ref="A217:E217"/>
    <mergeCell ref="A218:E218"/>
    <mergeCell ref="B219:E219"/>
    <mergeCell ref="B220:E220"/>
    <mergeCell ref="B221:E221"/>
    <mergeCell ref="B222:E222"/>
    <mergeCell ref="A249:E249"/>
    <mergeCell ref="A250:A251"/>
    <mergeCell ref="A223:A224"/>
    <mergeCell ref="A231:E231"/>
    <mergeCell ref="A232:A233"/>
    <mergeCell ref="B237:E237"/>
    <mergeCell ref="A180:A181"/>
    <mergeCell ref="A11:E11"/>
    <mergeCell ref="A255:E255"/>
    <mergeCell ref="A256:E256"/>
    <mergeCell ref="B257:E257"/>
    <mergeCell ref="B258:E258"/>
    <mergeCell ref="B238:E238"/>
    <mergeCell ref="B239:E239"/>
    <mergeCell ref="B240:E240"/>
    <mergeCell ref="A241:A242"/>
    <mergeCell ref="A206:A207"/>
    <mergeCell ref="A182:E182"/>
    <mergeCell ref="A183:A184"/>
    <mergeCell ref="B194:E194"/>
    <mergeCell ref="B195:E195"/>
    <mergeCell ref="A167:A168"/>
    <mergeCell ref="B169:E169"/>
    <mergeCell ref="B170:E170"/>
    <mergeCell ref="B171:E171"/>
    <mergeCell ref="A172:A173"/>
    <mergeCell ref="B160:E160"/>
    <mergeCell ref="A161:E161"/>
    <mergeCell ref="A165:E165"/>
    <mergeCell ref="A166:E166"/>
    <mergeCell ref="B143:E143"/>
    <mergeCell ref="B144:E144"/>
    <mergeCell ref="B145:E145"/>
    <mergeCell ref="A146:A147"/>
    <mergeCell ref="A154:E154"/>
    <mergeCell ref="A155:A156"/>
    <mergeCell ref="A128:A129"/>
    <mergeCell ref="A136:E136"/>
    <mergeCell ref="A137:A138"/>
    <mergeCell ref="B142:E142"/>
    <mergeCell ref="A122:E122"/>
    <mergeCell ref="A123:E123"/>
    <mergeCell ref="B124:E124"/>
    <mergeCell ref="B125:E125"/>
    <mergeCell ref="B126:E126"/>
    <mergeCell ref="B127:E127"/>
    <mergeCell ref="A117:A118"/>
    <mergeCell ref="A96:E96"/>
    <mergeCell ref="A97:A98"/>
    <mergeCell ref="A102:A104"/>
    <mergeCell ref="B102:E104"/>
    <mergeCell ref="B105:E105"/>
    <mergeCell ref="A63:A64"/>
    <mergeCell ref="A70:E70"/>
    <mergeCell ref="A71:A72"/>
    <mergeCell ref="A82:E82"/>
    <mergeCell ref="B106:E106"/>
    <mergeCell ref="B107:E107"/>
    <mergeCell ref="A83:E83"/>
    <mergeCell ref="B84:E84"/>
    <mergeCell ref="B85:E85"/>
    <mergeCell ref="B86:E86"/>
    <mergeCell ref="B87:E87"/>
    <mergeCell ref="A88:A89"/>
    <mergeCell ref="B61:E61"/>
    <mergeCell ref="A35:E35"/>
    <mergeCell ref="B36:E36"/>
    <mergeCell ref="B37:E37"/>
    <mergeCell ref="B38:E38"/>
    <mergeCell ref="A39:A40"/>
    <mergeCell ref="A47:E47"/>
    <mergeCell ref="A108:A109"/>
    <mergeCell ref="A116:E116"/>
    <mergeCell ref="A27:E27"/>
    <mergeCell ref="A34:E34"/>
    <mergeCell ref="B13:E13"/>
    <mergeCell ref="B14:E14"/>
    <mergeCell ref="B15:E15"/>
    <mergeCell ref="A16:E16"/>
    <mergeCell ref="A48:A49"/>
    <mergeCell ref="B59:E59"/>
    <mergeCell ref="B60:E60"/>
    <mergeCell ref="B5:E5"/>
    <mergeCell ref="B6:E6"/>
    <mergeCell ref="B7:E7"/>
    <mergeCell ref="C8:E8"/>
    <mergeCell ref="C9:E9"/>
    <mergeCell ref="A17:E19"/>
    <mergeCell ref="B20:E20"/>
    <mergeCell ref="A21:A22"/>
    <mergeCell ref="B26:E26"/>
  </mergeCells>
  <printOptions horizontalCentered="1" verticalCentered="1"/>
  <pageMargins left="0.7" right="0.7" top="0.75" bottom="0.75" header="0.3" footer="0.3"/>
  <pageSetup scale="57" orientation="portrait" r:id="rId1"/>
  <rowBreaks count="4" manualBreakCount="4">
    <brk id="81" max="16383" man="1"/>
    <brk id="135" max="16383" man="1"/>
    <brk id="204" max="16383" man="1"/>
    <brk id="274"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J503"/>
  <sheetViews>
    <sheetView view="pageBreakPreview" zoomScale="60" zoomScaleNormal="115" workbookViewId="0">
      <selection activeCell="I24" sqref="I24"/>
    </sheetView>
  </sheetViews>
  <sheetFormatPr defaultRowHeight="15" x14ac:dyDescent="0.25"/>
  <cols>
    <col min="1" max="1" width="37.140625" style="816" customWidth="1"/>
    <col min="2" max="4" width="13.28515625" style="816" customWidth="1"/>
    <col min="5" max="5" width="11.85546875" style="816" customWidth="1"/>
    <col min="6" max="6" width="11" style="825" customWidth="1"/>
    <col min="7" max="10" width="11.85546875" style="816" bestFit="1" customWidth="1"/>
    <col min="11" max="16384" width="9.140625" style="816"/>
  </cols>
  <sheetData>
    <row r="1" spans="1:10" customFormat="1" ht="12.75" customHeight="1" x14ac:dyDescent="0.25">
      <c r="A1" s="848" t="s">
        <v>898</v>
      </c>
      <c r="B1" s="847"/>
      <c r="C1" s="847"/>
      <c r="D1" s="847"/>
      <c r="E1" s="846"/>
      <c r="F1" s="841"/>
      <c r="G1" s="840"/>
      <c r="H1" s="840"/>
      <c r="I1" s="840"/>
      <c r="J1" s="840"/>
    </row>
    <row r="2" spans="1:10" customFormat="1" ht="12.75" customHeight="1" x14ac:dyDescent="0.25">
      <c r="A2" s="846"/>
      <c r="B2" s="846"/>
      <c r="C2" s="846"/>
      <c r="D2" s="846"/>
      <c r="E2" s="846"/>
      <c r="F2" s="841"/>
      <c r="G2" s="840"/>
      <c r="H2" s="840"/>
      <c r="I2" s="840"/>
      <c r="J2" s="840"/>
    </row>
    <row r="3" spans="1:10" customFormat="1" ht="12.75" customHeight="1" thickBot="1" x14ac:dyDescent="0.3">
      <c r="A3" s="846"/>
      <c r="B3" s="846"/>
      <c r="C3" s="846"/>
      <c r="D3" s="846"/>
      <c r="E3" s="846"/>
      <c r="F3" s="841"/>
      <c r="G3" s="840"/>
      <c r="H3" s="840"/>
      <c r="I3" s="840"/>
      <c r="J3" s="840"/>
    </row>
    <row r="4" spans="1:10" customFormat="1" ht="48.75" customHeight="1" thickBot="1" x14ac:dyDescent="0.3">
      <c r="A4" s="845" t="s">
        <v>897</v>
      </c>
      <c r="B4" s="2285" t="s">
        <v>1473</v>
      </c>
      <c r="C4" s="2286"/>
      <c r="D4" s="2286"/>
      <c r="E4" s="2287"/>
      <c r="F4" s="841"/>
      <c r="G4" s="840"/>
      <c r="H4" s="840"/>
      <c r="I4" s="840"/>
      <c r="J4" s="840"/>
    </row>
    <row r="5" spans="1:10" customFormat="1" ht="58.5" customHeight="1" thickBot="1" x14ac:dyDescent="0.3">
      <c r="A5" s="843" t="s">
        <v>895</v>
      </c>
      <c r="B5" s="2288" t="s">
        <v>1472</v>
      </c>
      <c r="C5" s="2289"/>
      <c r="D5" s="2289"/>
      <c r="E5" s="2290"/>
      <c r="F5" s="841"/>
      <c r="G5" s="840"/>
      <c r="H5" s="840"/>
      <c r="I5" s="840"/>
      <c r="J5" s="840"/>
    </row>
    <row r="6" spans="1:10" customFormat="1" ht="173.25" customHeight="1" thickBot="1" x14ac:dyDescent="0.3">
      <c r="A6" s="843" t="s">
        <v>914</v>
      </c>
      <c r="B6" s="2291" t="s">
        <v>1471</v>
      </c>
      <c r="C6" s="2292"/>
      <c r="D6" s="2292"/>
      <c r="E6" s="2293"/>
      <c r="F6" s="841"/>
      <c r="G6" s="840"/>
      <c r="H6" s="840"/>
      <c r="I6" s="840"/>
      <c r="J6" s="840"/>
    </row>
    <row r="7" spans="1:10" customFormat="1" ht="12.75" customHeight="1" thickBot="1" x14ac:dyDescent="0.3">
      <c r="A7" s="843" t="s">
        <v>891</v>
      </c>
      <c r="B7" s="844" t="s">
        <v>912</v>
      </c>
      <c r="C7" s="2294" t="s">
        <v>7</v>
      </c>
      <c r="D7" s="2294"/>
      <c r="E7" s="2295"/>
      <c r="F7" s="841"/>
      <c r="G7" s="840"/>
      <c r="H7" s="840"/>
      <c r="I7" s="840"/>
      <c r="J7" s="840"/>
    </row>
    <row r="8" spans="1:10" customFormat="1" ht="12.75" customHeight="1" thickBot="1" x14ac:dyDescent="0.3">
      <c r="A8" s="843" t="s">
        <v>929</v>
      </c>
      <c r="B8" s="842" t="s">
        <v>763</v>
      </c>
      <c r="C8" s="2292" t="s">
        <v>1470</v>
      </c>
      <c r="D8" s="2292"/>
      <c r="E8" s="2293"/>
      <c r="F8" s="841"/>
      <c r="G8" s="840"/>
      <c r="H8" s="840"/>
      <c r="I8" s="840"/>
      <c r="J8" s="840"/>
    </row>
    <row r="9" spans="1:10" customFormat="1" ht="12.75" customHeight="1" x14ac:dyDescent="0.25">
      <c r="F9" s="841"/>
      <c r="G9" s="840"/>
      <c r="H9" s="840"/>
      <c r="I9" s="840"/>
      <c r="J9" s="840"/>
    </row>
    <row r="10" spans="1:10" customFormat="1" ht="15" customHeight="1" x14ac:dyDescent="0.25">
      <c r="A10" s="2326" t="s">
        <v>0</v>
      </c>
      <c r="B10" s="2326"/>
      <c r="C10" s="2326"/>
      <c r="D10" s="2326"/>
      <c r="E10" s="2326"/>
      <c r="F10" s="841"/>
      <c r="G10" s="840"/>
      <c r="H10" s="840"/>
      <c r="I10" s="840"/>
      <c r="J10" s="840"/>
    </row>
    <row r="11" spans="1:10" customFormat="1" ht="12.75" customHeight="1" x14ac:dyDescent="0.25">
      <c r="A11" s="2327" t="s">
        <v>1</v>
      </c>
      <c r="B11" s="2327"/>
      <c r="C11" s="2327"/>
      <c r="D11" s="2327"/>
      <c r="E11" s="2327"/>
      <c r="F11" s="841"/>
      <c r="G11" s="840"/>
      <c r="H11" s="840"/>
      <c r="I11" s="840"/>
      <c r="J11" s="840"/>
    </row>
    <row r="12" spans="1:10" customFormat="1" ht="15" customHeight="1" thickBot="1" x14ac:dyDescent="0.3">
      <c r="F12" s="841"/>
      <c r="G12" s="840"/>
      <c r="H12" s="840"/>
      <c r="I12" s="840"/>
      <c r="J12" s="840"/>
    </row>
    <row r="13" spans="1:10" customFormat="1" ht="14.25" customHeight="1" thickBot="1" x14ac:dyDescent="0.3">
      <c r="A13" s="2" t="s">
        <v>2</v>
      </c>
      <c r="B13" s="1263" t="s">
        <v>806</v>
      </c>
      <c r="C13" s="1263"/>
      <c r="D13" s="1263"/>
      <c r="E13" s="1263"/>
      <c r="F13" s="841"/>
      <c r="G13" s="840"/>
      <c r="H13" s="840"/>
      <c r="I13" s="840"/>
      <c r="J13" s="840"/>
    </row>
    <row r="14" spans="1:10" customFormat="1" ht="15" customHeight="1" thickBot="1" x14ac:dyDescent="0.3">
      <c r="A14" s="2" t="s">
        <v>3</v>
      </c>
      <c r="B14" s="1087" t="s">
        <v>763</v>
      </c>
      <c r="C14" s="1088"/>
      <c r="D14" s="1088"/>
      <c r="E14" s="1089"/>
      <c r="F14" s="841"/>
      <c r="G14" s="840"/>
      <c r="H14" s="840"/>
      <c r="I14" s="840"/>
      <c r="J14" s="840"/>
    </row>
    <row r="15" spans="1:10" customFormat="1" ht="17.25" customHeight="1" thickBot="1" x14ac:dyDescent="0.3">
      <c r="A15" s="2" t="s">
        <v>5</v>
      </c>
      <c r="B15" s="1265" t="s">
        <v>6</v>
      </c>
      <c r="C15" s="1095"/>
      <c r="D15" s="1095"/>
      <c r="E15" s="1096"/>
      <c r="F15" s="841"/>
      <c r="G15" s="840"/>
      <c r="H15" s="840"/>
      <c r="I15" s="840"/>
      <c r="J15" s="840"/>
    </row>
    <row r="16" spans="1:10" customFormat="1" ht="12.75" customHeight="1" thickBot="1" x14ac:dyDescent="0.3">
      <c r="A16" s="1266" t="s">
        <v>7</v>
      </c>
      <c r="B16" s="1267"/>
      <c r="C16" s="1267"/>
      <c r="D16" s="1267"/>
      <c r="E16" s="1297"/>
      <c r="F16" s="841"/>
      <c r="G16" s="840"/>
      <c r="H16" s="840"/>
      <c r="I16" s="840"/>
      <c r="J16" s="840"/>
    </row>
    <row r="17" spans="1:10" customFormat="1" ht="12.75" customHeight="1" thickBot="1" x14ac:dyDescent="0.3">
      <c r="A17" s="2328" t="s">
        <v>1469</v>
      </c>
      <c r="B17" s="2329"/>
      <c r="C17" s="2329"/>
      <c r="D17" s="2329"/>
      <c r="E17" s="2330"/>
      <c r="F17" s="839"/>
      <c r="G17" s="838"/>
      <c r="H17" s="838"/>
      <c r="I17" s="838"/>
      <c r="J17" s="838"/>
    </row>
    <row r="18" spans="1:10" customFormat="1" ht="12.75" customHeight="1" thickBot="1" x14ac:dyDescent="0.3">
      <c r="A18" s="2328"/>
      <c r="B18" s="2329"/>
      <c r="C18" s="2329"/>
      <c r="D18" s="2329"/>
      <c r="E18" s="2330"/>
      <c r="F18" s="826"/>
    </row>
    <row r="19" spans="1:10" customFormat="1" ht="103.5" customHeight="1" thickBot="1" x14ac:dyDescent="0.3">
      <c r="A19" s="2328"/>
      <c r="B19" s="2329"/>
      <c r="C19" s="2329"/>
      <c r="D19" s="2329"/>
      <c r="E19" s="2330"/>
      <c r="F19" s="826"/>
    </row>
    <row r="20" spans="1:10" customFormat="1" ht="57.75" customHeight="1" thickBot="1" x14ac:dyDescent="0.3">
      <c r="A20" s="3" t="s">
        <v>8</v>
      </c>
      <c r="B20" s="1346" t="s">
        <v>807</v>
      </c>
      <c r="C20" s="2331"/>
      <c r="D20" s="2331"/>
      <c r="E20" s="2332"/>
      <c r="F20" s="826"/>
    </row>
    <row r="21" spans="1:10" customFormat="1" ht="15.75" customHeight="1" x14ac:dyDescent="0.25">
      <c r="A21" s="1250" t="s">
        <v>9</v>
      </c>
      <c r="B21" s="245">
        <v>2018</v>
      </c>
      <c r="C21" s="245">
        <v>2019</v>
      </c>
      <c r="D21" s="245">
        <v>2020</v>
      </c>
      <c r="E21" s="245">
        <v>2021</v>
      </c>
      <c r="F21" s="826"/>
    </row>
    <row r="22" spans="1:10" customFormat="1" ht="9.75" customHeight="1" thickBot="1" x14ac:dyDescent="0.3">
      <c r="A22" s="1251"/>
      <c r="B22" s="244" t="s">
        <v>10</v>
      </c>
      <c r="C22" s="244" t="s">
        <v>11</v>
      </c>
      <c r="D22" s="244" t="s">
        <v>11</v>
      </c>
      <c r="E22" s="244" t="s">
        <v>11</v>
      </c>
      <c r="F22" s="826"/>
    </row>
    <row r="23" spans="1:10" customFormat="1" ht="21" customHeight="1" thickBot="1" x14ac:dyDescent="0.3">
      <c r="A23" s="819" t="s">
        <v>808</v>
      </c>
      <c r="B23" s="818">
        <v>0.4</v>
      </c>
      <c r="C23" s="818">
        <v>0.5</v>
      </c>
      <c r="D23" s="818">
        <v>0.6</v>
      </c>
      <c r="E23" s="818">
        <v>0.7</v>
      </c>
      <c r="F23" s="826"/>
    </row>
    <row r="24" spans="1:10" customFormat="1" ht="19.5" customHeight="1" thickBot="1" x14ac:dyDescent="0.3">
      <c r="A24" s="421" t="s">
        <v>809</v>
      </c>
      <c r="B24" s="818">
        <v>0.4</v>
      </c>
      <c r="C24" s="818">
        <v>0.5</v>
      </c>
      <c r="D24" s="818">
        <v>0.65</v>
      </c>
      <c r="E24" s="818">
        <v>0.7</v>
      </c>
      <c r="F24" s="826"/>
    </row>
    <row r="25" spans="1:10" customFormat="1" ht="17.25" customHeight="1" thickBot="1" x14ac:dyDescent="0.3">
      <c r="A25" s="421" t="s">
        <v>810</v>
      </c>
      <c r="B25" s="818">
        <v>0.2</v>
      </c>
      <c r="C25" s="818">
        <v>0.4</v>
      </c>
      <c r="D25" s="818">
        <v>0.5</v>
      </c>
      <c r="E25" s="818">
        <v>0.6</v>
      </c>
      <c r="F25" s="826"/>
    </row>
    <row r="26" spans="1:10" ht="19.5" customHeight="1" thickBot="1" x14ac:dyDescent="0.3">
      <c r="A26" s="828" t="s">
        <v>12</v>
      </c>
      <c r="B26" s="1760" t="s">
        <v>811</v>
      </c>
      <c r="C26" s="1761"/>
      <c r="D26" s="1761"/>
      <c r="E26" s="1762"/>
      <c r="F26" s="837"/>
    </row>
    <row r="27" spans="1:10" customFormat="1" ht="20.25" customHeight="1" thickBot="1" x14ac:dyDescent="0.3">
      <c r="A27" s="1245" t="s">
        <v>13</v>
      </c>
      <c r="B27" s="1246"/>
      <c r="C27" s="1246"/>
      <c r="D27" s="1246"/>
      <c r="E27" s="1298"/>
      <c r="F27" s="835"/>
      <c r="H27" s="35"/>
    </row>
    <row r="28" spans="1:10" customFormat="1" ht="23.25" customHeight="1" thickBot="1" x14ac:dyDescent="0.3">
      <c r="A28" s="139" t="s">
        <v>812</v>
      </c>
      <c r="B28" s="836">
        <v>0.1</v>
      </c>
      <c r="C28" s="836">
        <v>0.3</v>
      </c>
      <c r="D28" s="836">
        <v>0.6</v>
      </c>
      <c r="E28" s="836">
        <v>0.8</v>
      </c>
      <c r="F28" s="826"/>
    </row>
    <row r="29" spans="1:10" customFormat="1" ht="12.75" customHeight="1" thickBot="1" x14ac:dyDescent="0.3">
      <c r="A29" s="1273" t="s">
        <v>14</v>
      </c>
      <c r="B29" s="1274"/>
      <c r="C29" s="1274"/>
      <c r="D29" s="1274"/>
      <c r="E29" s="1299"/>
      <c r="F29" s="826"/>
    </row>
    <row r="30" spans="1:10" ht="15.75" thickBot="1" x14ac:dyDescent="0.3">
      <c r="A30" s="2302" t="s">
        <v>15</v>
      </c>
      <c r="B30" s="2303"/>
      <c r="C30" s="2303"/>
      <c r="D30" s="2303"/>
      <c r="E30" s="2304"/>
    </row>
    <row r="31" spans="1:10" customFormat="1" ht="15.75" thickBot="1" x14ac:dyDescent="0.3">
      <c r="A31" s="7" t="s">
        <v>16</v>
      </c>
      <c r="B31" s="2279" t="s">
        <v>813</v>
      </c>
      <c r="C31" s="2280"/>
      <c r="D31" s="2280"/>
      <c r="E31" s="2281"/>
      <c r="F31" s="826"/>
    </row>
    <row r="32" spans="1:10" customFormat="1" ht="50.25" customHeight="1" thickBot="1" x14ac:dyDescent="0.3">
      <c r="A32" s="5" t="s">
        <v>17</v>
      </c>
      <c r="B32" s="1766" t="s">
        <v>814</v>
      </c>
      <c r="C32" s="2315"/>
      <c r="D32" s="2315"/>
      <c r="E32" s="2316"/>
      <c r="F32" s="826"/>
    </row>
    <row r="33" spans="1:9" customFormat="1" ht="15.75" thickBot="1" x14ac:dyDescent="0.3">
      <c r="A33" s="5" t="s">
        <v>18</v>
      </c>
      <c r="B33" s="1717" t="s">
        <v>815</v>
      </c>
      <c r="C33" s="1718"/>
      <c r="D33" s="1718"/>
      <c r="E33" s="1719"/>
      <c r="F33" s="826"/>
    </row>
    <row r="34" spans="1:9" customFormat="1" ht="12.75" customHeight="1" x14ac:dyDescent="0.25">
      <c r="A34" s="1250"/>
      <c r="B34" s="8">
        <v>2018</v>
      </c>
      <c r="C34" s="8">
        <v>2019</v>
      </c>
      <c r="D34" s="8">
        <v>2020</v>
      </c>
      <c r="E34" s="8">
        <v>2021</v>
      </c>
      <c r="F34" s="826"/>
    </row>
    <row r="35" spans="1:9" customFormat="1" ht="12" customHeight="1" thickBot="1" x14ac:dyDescent="0.3">
      <c r="A35" s="1251"/>
      <c r="B35" s="9" t="s">
        <v>10</v>
      </c>
      <c r="C35" s="9" t="s">
        <v>11</v>
      </c>
      <c r="D35" s="9" t="s">
        <v>11</v>
      </c>
      <c r="E35" s="9" t="s">
        <v>11</v>
      </c>
      <c r="F35" s="826"/>
    </row>
    <row r="36" spans="1:9" customFormat="1" ht="15.75" thickBot="1" x14ac:dyDescent="0.3">
      <c r="A36" s="5" t="s">
        <v>19</v>
      </c>
      <c r="B36" s="833">
        <v>450</v>
      </c>
      <c r="C36" s="833">
        <v>900</v>
      </c>
      <c r="D36" s="833">
        <v>1350</v>
      </c>
      <c r="E36" s="833">
        <v>900</v>
      </c>
      <c r="F36" s="826"/>
    </row>
    <row r="37" spans="1:9" customFormat="1" ht="15.75" thickBot="1" x14ac:dyDescent="0.3">
      <c r="A37" s="5" t="s">
        <v>20</v>
      </c>
      <c r="B37" s="10">
        <v>13631.744000000001</v>
      </c>
      <c r="C37" s="10">
        <v>13631.744000000001</v>
      </c>
      <c r="D37" s="10">
        <v>13631.744000000001</v>
      </c>
      <c r="E37" s="10">
        <v>13631.744000000001</v>
      </c>
      <c r="F37" s="826"/>
    </row>
    <row r="38" spans="1:9" customFormat="1" ht="15.75" thickBot="1" x14ac:dyDescent="0.3">
      <c r="A38" s="5" t="s">
        <v>21</v>
      </c>
      <c r="B38" s="10">
        <f>B37/B36</f>
        <v>30.292764444444447</v>
      </c>
      <c r="C38" s="10">
        <f>C37/C36</f>
        <v>15.146382222222224</v>
      </c>
      <c r="D38" s="10">
        <f>D37/D36</f>
        <v>10.097588148148148</v>
      </c>
      <c r="E38" s="10">
        <f>E37/E36</f>
        <v>15.146382222222224</v>
      </c>
      <c r="F38" s="826"/>
    </row>
    <row r="39" spans="1:9" customFormat="1" ht="15.75" thickBot="1" x14ac:dyDescent="0.3">
      <c r="A39" s="5" t="s">
        <v>22</v>
      </c>
      <c r="B39" s="225" t="s">
        <v>23</v>
      </c>
      <c r="C39" s="11">
        <f t="shared" ref="C39:E41" si="0">C36/B36-1</f>
        <v>1</v>
      </c>
      <c r="D39" s="11">
        <f t="shared" si="0"/>
        <v>0.5</v>
      </c>
      <c r="E39" s="11">
        <f t="shared" si="0"/>
        <v>-0.33333333333333337</v>
      </c>
      <c r="F39" s="827"/>
      <c r="G39" s="12"/>
      <c r="H39" s="12"/>
      <c r="I39" s="12"/>
    </row>
    <row r="40" spans="1:9" customFormat="1" ht="15.75" thickBot="1" x14ac:dyDescent="0.3">
      <c r="A40" s="5" t="s">
        <v>24</v>
      </c>
      <c r="B40" s="225" t="s">
        <v>23</v>
      </c>
      <c r="C40" s="11">
        <f t="shared" si="0"/>
        <v>0</v>
      </c>
      <c r="D40" s="11">
        <f t="shared" si="0"/>
        <v>0</v>
      </c>
      <c r="E40" s="11">
        <f t="shared" si="0"/>
        <v>0</v>
      </c>
      <c r="F40" s="826"/>
    </row>
    <row r="41" spans="1:9" customFormat="1" ht="15.75" thickBot="1" x14ac:dyDescent="0.3">
      <c r="A41" s="5" t="s">
        <v>25</v>
      </c>
      <c r="B41" s="225" t="s">
        <v>23</v>
      </c>
      <c r="C41" s="11">
        <f t="shared" si="0"/>
        <v>-0.5</v>
      </c>
      <c r="D41" s="11">
        <f t="shared" si="0"/>
        <v>-0.33333333333333337</v>
      </c>
      <c r="E41" s="11">
        <f t="shared" si="0"/>
        <v>0.50000000000000022</v>
      </c>
      <c r="F41" s="826"/>
    </row>
    <row r="42" spans="1:9" customFormat="1" ht="15.75" customHeight="1" thickBot="1" x14ac:dyDescent="0.3">
      <c r="A42" s="1252" t="s">
        <v>633</v>
      </c>
      <c r="B42" s="1253"/>
      <c r="C42" s="1253"/>
      <c r="D42" s="1253"/>
      <c r="E42" s="1300"/>
      <c r="F42" s="826"/>
    </row>
    <row r="43" spans="1:9" customFormat="1" ht="12.75" customHeight="1" x14ac:dyDescent="0.25">
      <c r="A43" s="1250"/>
      <c r="B43" s="8">
        <v>2018</v>
      </c>
      <c r="C43" s="8">
        <v>2019</v>
      </c>
      <c r="D43" s="8">
        <v>2020</v>
      </c>
      <c r="E43" s="8">
        <v>2021</v>
      </c>
      <c r="F43" s="826"/>
    </row>
    <row r="44" spans="1:9" customFormat="1" ht="9" customHeight="1" thickBot="1" x14ac:dyDescent="0.3">
      <c r="A44" s="1251"/>
      <c r="B44" s="9" t="s">
        <v>10</v>
      </c>
      <c r="C44" s="9" t="s">
        <v>11</v>
      </c>
      <c r="D44" s="9" t="s">
        <v>11</v>
      </c>
      <c r="E44" s="9" t="s">
        <v>11</v>
      </c>
      <c r="F44" s="826"/>
    </row>
    <row r="45" spans="1:9" customFormat="1" ht="15.75" thickBot="1" x14ac:dyDescent="0.3">
      <c r="A45" s="13" t="s">
        <v>26</v>
      </c>
      <c r="B45" s="10">
        <v>7872</v>
      </c>
      <c r="C45" s="10">
        <v>7872</v>
      </c>
      <c r="D45" s="10">
        <v>7872</v>
      </c>
      <c r="E45" s="10">
        <v>7872</v>
      </c>
      <c r="F45" s="826"/>
    </row>
    <row r="46" spans="1:9" customFormat="1" ht="24.75" thickBot="1" x14ac:dyDescent="0.3">
      <c r="A46" s="28" t="s">
        <v>27</v>
      </c>
      <c r="B46" s="10">
        <v>0</v>
      </c>
      <c r="C46" s="10">
        <v>0</v>
      </c>
      <c r="D46" s="10">
        <v>0</v>
      </c>
      <c r="E46" s="10">
        <v>0</v>
      </c>
      <c r="F46" s="826"/>
    </row>
    <row r="47" spans="1:9" customFormat="1" ht="24.75" thickBot="1" x14ac:dyDescent="0.3">
      <c r="A47" s="28" t="s">
        <v>863</v>
      </c>
      <c r="B47" s="10">
        <v>0</v>
      </c>
      <c r="C47" s="10">
        <v>0</v>
      </c>
      <c r="D47" s="10">
        <v>0</v>
      </c>
      <c r="E47" s="10">
        <v>0</v>
      </c>
      <c r="F47" s="826"/>
    </row>
    <row r="48" spans="1:9" customFormat="1" ht="15.75" thickBot="1" x14ac:dyDescent="0.3">
      <c r="A48" s="13" t="s">
        <v>28</v>
      </c>
      <c r="B48" s="14">
        <f>1314.624+445.12</f>
        <v>1759.7440000000001</v>
      </c>
      <c r="C48" s="14">
        <f>1314.624+445.12</f>
        <v>1759.7440000000001</v>
      </c>
      <c r="D48" s="14">
        <f>1314.624+445.12</f>
        <v>1759.7440000000001</v>
      </c>
      <c r="E48" s="14">
        <f>1314.624+445.12</f>
        <v>1759.7440000000001</v>
      </c>
      <c r="F48" s="826"/>
    </row>
    <row r="49" spans="1:6" customFormat="1" ht="24.75" thickBot="1" x14ac:dyDescent="0.3">
      <c r="A49" s="28" t="s">
        <v>29</v>
      </c>
      <c r="B49" s="15">
        <v>0</v>
      </c>
      <c r="C49" s="15">
        <v>0</v>
      </c>
      <c r="D49" s="15">
        <v>0</v>
      </c>
      <c r="E49" s="15">
        <v>0</v>
      </c>
      <c r="F49" s="826"/>
    </row>
    <row r="50" spans="1:6" customFormat="1" ht="36.75" thickBot="1" x14ac:dyDescent="0.3">
      <c r="A50" s="28" t="s">
        <v>864</v>
      </c>
      <c r="B50" s="15">
        <v>0</v>
      </c>
      <c r="C50" s="15">
        <v>0</v>
      </c>
      <c r="D50" s="15">
        <v>0</v>
      </c>
      <c r="E50" s="15">
        <v>0</v>
      </c>
      <c r="F50" s="826"/>
    </row>
    <row r="51" spans="1:6" customFormat="1" ht="15.75" thickBot="1" x14ac:dyDescent="0.3">
      <c r="A51" s="13" t="s">
        <v>30</v>
      </c>
      <c r="B51" s="15">
        <v>4000</v>
      </c>
      <c r="C51" s="15">
        <v>4000</v>
      </c>
      <c r="D51" s="15">
        <v>4000</v>
      </c>
      <c r="E51" s="15">
        <v>4000</v>
      </c>
      <c r="F51" s="826"/>
    </row>
    <row r="52" spans="1:6" customFormat="1" ht="24.75" thickBot="1" x14ac:dyDescent="0.3">
      <c r="A52" s="28" t="s">
        <v>31</v>
      </c>
      <c r="B52" s="15">
        <v>0</v>
      </c>
      <c r="C52" s="15">
        <v>0</v>
      </c>
      <c r="D52" s="15">
        <v>0</v>
      </c>
      <c r="E52" s="15">
        <v>0</v>
      </c>
      <c r="F52" s="826"/>
    </row>
    <row r="53" spans="1:6" customFormat="1" ht="24.75" thickBot="1" x14ac:dyDescent="0.3">
      <c r="A53" s="28" t="s">
        <v>865</v>
      </c>
      <c r="B53" s="15">
        <v>0</v>
      </c>
      <c r="C53" s="15">
        <v>0</v>
      </c>
      <c r="D53" s="15">
        <v>0</v>
      </c>
      <c r="E53" s="15">
        <v>0</v>
      </c>
      <c r="F53" s="826"/>
    </row>
    <row r="54" spans="1:6" customFormat="1" ht="15.75" thickBot="1" x14ac:dyDescent="0.3">
      <c r="A54" s="13" t="s">
        <v>32</v>
      </c>
      <c r="B54" s="15">
        <v>0</v>
      </c>
      <c r="C54" s="15">
        <v>0</v>
      </c>
      <c r="D54" s="15">
        <v>0</v>
      </c>
      <c r="E54" s="15">
        <v>0</v>
      </c>
      <c r="F54" s="826"/>
    </row>
    <row r="55" spans="1:6" customFormat="1" ht="24.75" thickBot="1" x14ac:dyDescent="0.3">
      <c r="A55" s="28" t="s">
        <v>33</v>
      </c>
      <c r="B55" s="15">
        <v>0</v>
      </c>
      <c r="C55" s="15">
        <v>0</v>
      </c>
      <c r="D55" s="15">
        <v>0</v>
      </c>
      <c r="E55" s="15">
        <v>0</v>
      </c>
      <c r="F55" s="826"/>
    </row>
    <row r="56" spans="1:6" customFormat="1" ht="24.75" thickBot="1" x14ac:dyDescent="0.3">
      <c r="A56" s="28" t="s">
        <v>866</v>
      </c>
      <c r="B56" s="15">
        <v>0</v>
      </c>
      <c r="C56" s="15">
        <v>0</v>
      </c>
      <c r="D56" s="15">
        <v>0</v>
      </c>
      <c r="E56" s="15">
        <v>0</v>
      </c>
      <c r="F56" s="826"/>
    </row>
    <row r="57" spans="1:6" customFormat="1" ht="15.75" thickBot="1" x14ac:dyDescent="0.3">
      <c r="A57" s="13" t="s">
        <v>34</v>
      </c>
      <c r="B57" s="15">
        <v>0</v>
      </c>
      <c r="C57" s="15">
        <v>0</v>
      </c>
      <c r="D57" s="15">
        <v>0</v>
      </c>
      <c r="E57" s="15">
        <v>0</v>
      </c>
      <c r="F57" s="826"/>
    </row>
    <row r="58" spans="1:6" customFormat="1" ht="24.75" thickBot="1" x14ac:dyDescent="0.3">
      <c r="A58" s="28" t="s">
        <v>35</v>
      </c>
      <c r="B58" s="15">
        <v>0</v>
      </c>
      <c r="C58" s="15">
        <v>0</v>
      </c>
      <c r="D58" s="15">
        <v>0</v>
      </c>
      <c r="E58" s="15">
        <v>0</v>
      </c>
      <c r="F58" s="826"/>
    </row>
    <row r="59" spans="1:6" customFormat="1" ht="24.75" thickBot="1" x14ac:dyDescent="0.3">
      <c r="A59" s="28" t="s">
        <v>867</v>
      </c>
      <c r="B59" s="15">
        <v>0</v>
      </c>
      <c r="C59" s="15">
        <v>0</v>
      </c>
      <c r="D59" s="15">
        <v>0</v>
      </c>
      <c r="E59" s="15">
        <v>0</v>
      </c>
      <c r="F59" s="826"/>
    </row>
    <row r="60" spans="1:6" customFormat="1" ht="15.75" thickBot="1" x14ac:dyDescent="0.3">
      <c r="A60" s="13" t="s">
        <v>36</v>
      </c>
      <c r="B60" s="15">
        <v>0</v>
      </c>
      <c r="C60" s="15">
        <v>0</v>
      </c>
      <c r="D60" s="15">
        <v>0</v>
      </c>
      <c r="E60" s="15">
        <v>0</v>
      </c>
      <c r="F60" s="826"/>
    </row>
    <row r="61" spans="1:6" customFormat="1" ht="24.75" thickBot="1" x14ac:dyDescent="0.3">
      <c r="A61" s="28" t="s">
        <v>37</v>
      </c>
      <c r="B61" s="15">
        <v>0</v>
      </c>
      <c r="C61" s="15">
        <v>0</v>
      </c>
      <c r="D61" s="15">
        <v>0</v>
      </c>
      <c r="E61" s="15">
        <v>0</v>
      </c>
      <c r="F61" s="826"/>
    </row>
    <row r="62" spans="1:6" customFormat="1" ht="24.75" thickBot="1" x14ac:dyDescent="0.3">
      <c r="A62" s="28" t="s">
        <v>868</v>
      </c>
      <c r="B62" s="15">
        <v>0</v>
      </c>
      <c r="C62" s="15">
        <v>0</v>
      </c>
      <c r="D62" s="15">
        <v>0</v>
      </c>
      <c r="E62" s="15">
        <v>0</v>
      </c>
      <c r="F62" s="826"/>
    </row>
    <row r="63" spans="1:6" customFormat="1" ht="15.75" thickBot="1" x14ac:dyDescent="0.3">
      <c r="A63" s="13" t="s">
        <v>38</v>
      </c>
      <c r="B63" s="15">
        <v>0</v>
      </c>
      <c r="C63" s="15">
        <v>0</v>
      </c>
      <c r="D63" s="15">
        <v>0</v>
      </c>
      <c r="E63" s="15">
        <v>0</v>
      </c>
      <c r="F63" s="826"/>
    </row>
    <row r="64" spans="1:6" customFormat="1" ht="24.75" thickBot="1" x14ac:dyDescent="0.3">
      <c r="A64" s="28" t="s">
        <v>39</v>
      </c>
      <c r="B64" s="15">
        <v>0</v>
      </c>
      <c r="C64" s="15">
        <v>0</v>
      </c>
      <c r="D64" s="15">
        <v>0</v>
      </c>
      <c r="E64" s="15">
        <v>0</v>
      </c>
      <c r="F64" s="826"/>
    </row>
    <row r="65" spans="1:6" customFormat="1" ht="24.75" thickBot="1" x14ac:dyDescent="0.3">
      <c r="A65" s="28" t="s">
        <v>869</v>
      </c>
      <c r="B65" s="15">
        <v>0</v>
      </c>
      <c r="C65" s="15">
        <v>0</v>
      </c>
      <c r="D65" s="15">
        <v>0</v>
      </c>
      <c r="E65" s="15">
        <v>0</v>
      </c>
      <c r="F65" s="826"/>
    </row>
    <row r="66" spans="1:6" ht="15.75" thickBot="1" x14ac:dyDescent="0.3">
      <c r="A66" s="829" t="s">
        <v>40</v>
      </c>
      <c r="B66" s="144">
        <f>B63+B60+B57+B54+B51+B48+B45</f>
        <v>13631.744000000001</v>
      </c>
      <c r="C66" s="144">
        <f>C63+C60+C57+C54+C51+C48+C45</f>
        <v>13631.744000000001</v>
      </c>
      <c r="D66" s="144">
        <f>D63+D60+D57+D54+D51+D48+D45</f>
        <v>13631.744000000001</v>
      </c>
      <c r="E66" s="144">
        <f>E63+E60+E57+E54+E51+E48+E45</f>
        <v>13631.744000000001</v>
      </c>
    </row>
    <row r="67" spans="1:6" customFormat="1" ht="15" hidden="1" customHeight="1" x14ac:dyDescent="0.25">
      <c r="A67" s="1254" t="s">
        <v>870</v>
      </c>
      <c r="B67" s="1322"/>
      <c r="C67" s="1289"/>
      <c r="D67" s="1289"/>
      <c r="E67" s="1290"/>
      <c r="F67" s="826"/>
    </row>
    <row r="68" spans="1:6" customFormat="1" ht="15.75" hidden="1" thickBot="1" x14ac:dyDescent="0.3">
      <c r="A68" s="1255"/>
      <c r="B68" s="1291"/>
      <c r="C68" s="1292"/>
      <c r="D68" s="1292"/>
      <c r="E68" s="1293"/>
      <c r="F68" s="826"/>
    </row>
    <row r="69" spans="1:6" customFormat="1" ht="15.75" hidden="1" thickBot="1" x14ac:dyDescent="0.3">
      <c r="A69" s="1256"/>
      <c r="B69" s="1294"/>
      <c r="C69" s="1295"/>
      <c r="D69" s="1295"/>
      <c r="E69" s="1296"/>
      <c r="F69" s="826"/>
    </row>
    <row r="70" spans="1:6" customFormat="1" ht="15.75" hidden="1" thickBot="1" x14ac:dyDescent="0.3">
      <c r="A70" s="17" t="s">
        <v>41</v>
      </c>
      <c r="B70" s="18">
        <f>IF(B66-B37=0,0,"Error")</f>
        <v>0</v>
      </c>
      <c r="C70" s="18">
        <f>IF(C66-C37=0,0,"Error")</f>
        <v>0</v>
      </c>
      <c r="D70" s="18">
        <f>IF(D66-D37=0,0,"Error")</f>
        <v>0</v>
      </c>
      <c r="E70" s="18">
        <f>IF(E66-E37=0,0,"Error")</f>
        <v>0</v>
      </c>
      <c r="F70" s="826"/>
    </row>
    <row r="71" spans="1:6" ht="15.75" hidden="1" customHeight="1" thickBot="1" x14ac:dyDescent="0.3">
      <c r="A71" s="2302" t="s">
        <v>55</v>
      </c>
      <c r="B71" s="2303"/>
      <c r="C71" s="2303"/>
      <c r="D71" s="2303"/>
      <c r="E71" s="2304"/>
    </row>
    <row r="72" spans="1:6" ht="15.75" hidden="1" customHeight="1" thickBot="1" x14ac:dyDescent="0.3">
      <c r="A72" s="2302" t="s">
        <v>56</v>
      </c>
      <c r="B72" s="2303"/>
      <c r="C72" s="2303"/>
      <c r="D72" s="2303"/>
      <c r="E72" s="2304"/>
    </row>
    <row r="73" spans="1:6" customFormat="1" ht="15.75" hidden="1" thickBot="1" x14ac:dyDescent="0.3">
      <c r="A73" s="20" t="s">
        <v>79</v>
      </c>
      <c r="B73" s="1241" t="s">
        <v>124</v>
      </c>
      <c r="C73" s="1242"/>
      <c r="D73" s="1242"/>
      <c r="E73" s="1318"/>
      <c r="F73" s="826"/>
    </row>
    <row r="74" spans="1:6" customFormat="1" ht="15.75" hidden="1" thickBot="1" x14ac:dyDescent="0.3">
      <c r="A74" s="7" t="s">
        <v>16</v>
      </c>
      <c r="B74" s="1243" t="s">
        <v>106</v>
      </c>
      <c r="C74" s="1244"/>
      <c r="D74" s="1244"/>
      <c r="E74" s="1315"/>
      <c r="F74" s="826"/>
    </row>
    <row r="75" spans="1:6" customFormat="1" ht="17.25" hidden="1" customHeight="1" thickBot="1" x14ac:dyDescent="0.3">
      <c r="A75" s="5" t="s">
        <v>17</v>
      </c>
      <c r="B75" s="1245" t="s">
        <v>106</v>
      </c>
      <c r="C75" s="1246"/>
      <c r="D75" s="1246"/>
      <c r="E75" s="1298"/>
      <c r="F75" s="826"/>
    </row>
    <row r="76" spans="1:6" customFormat="1" ht="15.75" hidden="1" thickBot="1" x14ac:dyDescent="0.3">
      <c r="A76" s="5" t="s">
        <v>18</v>
      </c>
      <c r="B76" s="1248" t="s">
        <v>106</v>
      </c>
      <c r="C76" s="1249"/>
      <c r="D76" s="1249"/>
      <c r="E76" s="1316"/>
      <c r="F76" s="826"/>
    </row>
    <row r="77" spans="1:6" customFormat="1" ht="12.75" hidden="1" customHeight="1" x14ac:dyDescent="0.25">
      <c r="A77" s="1250"/>
      <c r="B77" s="8">
        <v>2018</v>
      </c>
      <c r="C77" s="8">
        <v>2019</v>
      </c>
      <c r="D77" s="8">
        <v>2020</v>
      </c>
      <c r="E77" s="8">
        <v>2021</v>
      </c>
      <c r="F77" s="826"/>
    </row>
    <row r="78" spans="1:6" customFormat="1" ht="14.25" hidden="1" customHeight="1" thickBot="1" x14ac:dyDescent="0.3">
      <c r="A78" s="1251"/>
      <c r="B78" s="9" t="s">
        <v>10</v>
      </c>
      <c r="C78" s="9" t="s">
        <v>11</v>
      </c>
      <c r="D78" s="9" t="s">
        <v>11</v>
      </c>
      <c r="E78" s="9" t="s">
        <v>11</v>
      </c>
      <c r="F78" s="826"/>
    </row>
    <row r="79" spans="1:6" customFormat="1" ht="15.75" hidden="1" thickBot="1" x14ac:dyDescent="0.3">
      <c r="A79" s="5" t="s">
        <v>19</v>
      </c>
      <c r="B79" s="10"/>
      <c r="C79" s="10"/>
      <c r="D79" s="10"/>
      <c r="E79" s="10"/>
      <c r="F79" s="826"/>
    </row>
    <row r="80" spans="1:6" customFormat="1" ht="15.75" hidden="1" thickBot="1" x14ac:dyDescent="0.3">
      <c r="A80" s="5" t="s">
        <v>20</v>
      </c>
      <c r="B80" s="10"/>
      <c r="C80" s="10"/>
      <c r="D80" s="10"/>
      <c r="E80" s="10"/>
      <c r="F80" s="826"/>
    </row>
    <row r="81" spans="1:9" customFormat="1" ht="15.75" hidden="1" thickBot="1" x14ac:dyDescent="0.3">
      <c r="A81" s="5" t="s">
        <v>21</v>
      </c>
      <c r="B81" s="10" t="e">
        <f>B80/B79</f>
        <v>#DIV/0!</v>
      </c>
      <c r="C81" s="10" t="e">
        <f>C80/C79</f>
        <v>#DIV/0!</v>
      </c>
      <c r="D81" s="10" t="e">
        <f>D80/D79</f>
        <v>#DIV/0!</v>
      </c>
      <c r="E81" s="10" t="e">
        <f>E80/E79</f>
        <v>#DIV/0!</v>
      </c>
      <c r="F81" s="826"/>
    </row>
    <row r="82" spans="1:9" customFormat="1" ht="15.75" hidden="1" customHeight="1" thickBot="1" x14ac:dyDescent="0.3">
      <c r="A82" s="5" t="s">
        <v>22</v>
      </c>
      <c r="B82" s="225" t="s">
        <v>23</v>
      </c>
      <c r="C82" s="11" t="e">
        <f t="shared" ref="C82:E84" si="1">C79/B79-1</f>
        <v>#DIV/0!</v>
      </c>
      <c r="D82" s="11" t="e">
        <f t="shared" si="1"/>
        <v>#DIV/0!</v>
      </c>
      <c r="E82" s="11" t="e">
        <f t="shared" si="1"/>
        <v>#DIV/0!</v>
      </c>
      <c r="F82" s="827"/>
      <c r="G82" s="12"/>
      <c r="H82" s="12"/>
      <c r="I82" s="12"/>
    </row>
    <row r="83" spans="1:9" customFormat="1" ht="15.75" hidden="1" thickBot="1" x14ac:dyDescent="0.3">
      <c r="A83" s="5" t="s">
        <v>24</v>
      </c>
      <c r="B83" s="225" t="s">
        <v>23</v>
      </c>
      <c r="C83" s="11" t="e">
        <f t="shared" si="1"/>
        <v>#DIV/0!</v>
      </c>
      <c r="D83" s="11" t="e">
        <f t="shared" si="1"/>
        <v>#DIV/0!</v>
      </c>
      <c r="E83" s="11" t="e">
        <f t="shared" si="1"/>
        <v>#DIV/0!</v>
      </c>
      <c r="F83" s="826"/>
    </row>
    <row r="84" spans="1:9" customFormat="1" ht="15.75" hidden="1" thickBot="1" x14ac:dyDescent="0.3">
      <c r="A84" s="5" t="s">
        <v>25</v>
      </c>
      <c r="B84" s="225" t="s">
        <v>23</v>
      </c>
      <c r="C84" s="11" t="e">
        <f t="shared" si="1"/>
        <v>#DIV/0!</v>
      </c>
      <c r="D84" s="11" t="e">
        <f t="shared" si="1"/>
        <v>#DIV/0!</v>
      </c>
      <c r="E84" s="11" t="e">
        <f t="shared" si="1"/>
        <v>#DIV/0!</v>
      </c>
      <c r="F84" s="826"/>
    </row>
    <row r="85" spans="1:9" customFormat="1" ht="15.75" hidden="1" customHeight="1" thickBot="1" x14ac:dyDescent="0.3">
      <c r="A85" s="1252" t="s">
        <v>633</v>
      </c>
      <c r="B85" s="1253"/>
      <c r="C85" s="1253"/>
      <c r="D85" s="1253"/>
      <c r="E85" s="1300"/>
      <c r="F85" s="826"/>
    </row>
    <row r="86" spans="1:9" customFormat="1" ht="12.75" hidden="1" customHeight="1" x14ac:dyDescent="0.25">
      <c r="A86" s="1250"/>
      <c r="B86" s="8">
        <v>2018</v>
      </c>
      <c r="C86" s="8">
        <v>2019</v>
      </c>
      <c r="D86" s="8">
        <v>2020</v>
      </c>
      <c r="E86" s="8">
        <v>2021</v>
      </c>
      <c r="F86" s="826"/>
    </row>
    <row r="87" spans="1:9" customFormat="1" ht="9" hidden="1" customHeight="1" thickBot="1" x14ac:dyDescent="0.3">
      <c r="A87" s="1251"/>
      <c r="B87" s="9" t="s">
        <v>10</v>
      </c>
      <c r="C87" s="9" t="s">
        <v>11</v>
      </c>
      <c r="D87" s="9" t="s">
        <v>11</v>
      </c>
      <c r="E87" s="9" t="s">
        <v>11</v>
      </c>
      <c r="F87" s="826"/>
    </row>
    <row r="88" spans="1:9" customFormat="1" ht="15.75" hidden="1" thickBot="1" x14ac:dyDescent="0.3">
      <c r="A88" s="13" t="s">
        <v>58</v>
      </c>
      <c r="B88" s="14"/>
      <c r="C88" s="14"/>
      <c r="D88" s="14"/>
      <c r="E88" s="14"/>
      <c r="F88" s="826"/>
    </row>
    <row r="89" spans="1:9" customFormat="1" ht="15.75" hidden="1" thickBot="1" x14ac:dyDescent="0.3">
      <c r="A89" s="13" t="s">
        <v>59</v>
      </c>
      <c r="B89" s="15"/>
      <c r="C89" s="14"/>
      <c r="D89" s="14"/>
      <c r="E89" s="14"/>
      <c r="F89" s="826"/>
    </row>
    <row r="90" spans="1:9" ht="15.75" hidden="1" thickBot="1" x14ac:dyDescent="0.3">
      <c r="A90" s="829" t="s">
        <v>40</v>
      </c>
      <c r="B90" s="144">
        <f>B89+B88</f>
        <v>0</v>
      </c>
      <c r="C90" s="144">
        <f>C89+C88</f>
        <v>0</v>
      </c>
      <c r="D90" s="144">
        <f>D89+D88</f>
        <v>0</v>
      </c>
      <c r="E90" s="144">
        <f>E89+E88</f>
        <v>0</v>
      </c>
    </row>
    <row r="91" spans="1:9" customFormat="1" ht="15" hidden="1" customHeight="1" x14ac:dyDescent="0.25">
      <c r="A91" s="1254" t="s">
        <v>60</v>
      </c>
      <c r="B91" s="1322"/>
      <c r="C91" s="1289"/>
      <c r="D91" s="1289"/>
      <c r="E91" s="1290"/>
      <c r="F91" s="826"/>
    </row>
    <row r="92" spans="1:9" customFormat="1" ht="15.75" hidden="1" thickBot="1" x14ac:dyDescent="0.3">
      <c r="A92" s="1255"/>
      <c r="B92" s="1291"/>
      <c r="C92" s="1292"/>
      <c r="D92" s="1292"/>
      <c r="E92" s="1293"/>
      <c r="F92" s="826"/>
    </row>
    <row r="93" spans="1:9" customFormat="1" ht="15.75" hidden="1" thickBot="1" x14ac:dyDescent="0.3">
      <c r="A93" s="1256"/>
      <c r="B93" s="1294"/>
      <c r="C93" s="1295"/>
      <c r="D93" s="1295"/>
      <c r="E93" s="1296"/>
      <c r="F93" s="826"/>
    </row>
    <row r="94" spans="1:9" customFormat="1" ht="15.75" hidden="1" thickBot="1" x14ac:dyDescent="0.3">
      <c r="A94" s="20" t="s">
        <v>61</v>
      </c>
      <c r="B94" s="1241" t="s">
        <v>124</v>
      </c>
      <c r="C94" s="1242"/>
      <c r="D94" s="1242"/>
      <c r="E94" s="1318"/>
      <c r="F94" s="826"/>
    </row>
    <row r="95" spans="1:9" customFormat="1" ht="15.75" hidden="1" thickBot="1" x14ac:dyDescent="0.3">
      <c r="A95" s="7" t="s">
        <v>123</v>
      </c>
      <c r="B95" s="1243" t="s">
        <v>106</v>
      </c>
      <c r="C95" s="1244"/>
      <c r="D95" s="1244"/>
      <c r="E95" s="1315"/>
      <c r="F95" s="826"/>
    </row>
    <row r="96" spans="1:9" customFormat="1" ht="17.25" hidden="1" customHeight="1" thickBot="1" x14ac:dyDescent="0.3">
      <c r="A96" s="5" t="s">
        <v>17</v>
      </c>
      <c r="B96" s="1245" t="s">
        <v>106</v>
      </c>
      <c r="C96" s="1246"/>
      <c r="D96" s="1246"/>
      <c r="E96" s="1298"/>
      <c r="F96" s="826"/>
    </row>
    <row r="97" spans="1:9" customFormat="1" ht="15.75" hidden="1" thickBot="1" x14ac:dyDescent="0.3">
      <c r="A97" s="5" t="s">
        <v>18</v>
      </c>
      <c r="B97" s="1248" t="s">
        <v>106</v>
      </c>
      <c r="C97" s="1249"/>
      <c r="D97" s="1249"/>
      <c r="E97" s="1316"/>
      <c r="F97" s="826"/>
    </row>
    <row r="98" spans="1:9" customFormat="1" ht="12.75" hidden="1" customHeight="1" x14ac:dyDescent="0.25">
      <c r="A98" s="1250"/>
      <c r="B98" s="8">
        <v>2018</v>
      </c>
      <c r="C98" s="8">
        <v>2019</v>
      </c>
      <c r="D98" s="8">
        <v>2020</v>
      </c>
      <c r="E98" s="8">
        <v>2021</v>
      </c>
      <c r="F98" s="826"/>
    </row>
    <row r="99" spans="1:9" customFormat="1" ht="9" hidden="1" customHeight="1" thickBot="1" x14ac:dyDescent="0.3">
      <c r="A99" s="1251"/>
      <c r="B99" s="9" t="s">
        <v>10</v>
      </c>
      <c r="C99" s="9" t="s">
        <v>11</v>
      </c>
      <c r="D99" s="9" t="s">
        <v>11</v>
      </c>
      <c r="E99" s="9" t="s">
        <v>11</v>
      </c>
      <c r="F99" s="826"/>
    </row>
    <row r="100" spans="1:9" customFormat="1" ht="15.75" hidden="1" thickBot="1" x14ac:dyDescent="0.3">
      <c r="A100" s="5" t="s">
        <v>19</v>
      </c>
      <c r="B100" s="10"/>
      <c r="C100" s="10"/>
      <c r="D100" s="10"/>
      <c r="E100" s="10"/>
      <c r="F100" s="826"/>
    </row>
    <row r="101" spans="1:9" customFormat="1" ht="36.75" hidden="1" customHeight="1" thickBot="1" x14ac:dyDescent="0.3">
      <c r="A101" s="5" t="s">
        <v>20</v>
      </c>
      <c r="B101" s="10"/>
      <c r="C101" s="10"/>
      <c r="D101" s="10"/>
      <c r="E101" s="10"/>
      <c r="F101" s="826"/>
    </row>
    <row r="102" spans="1:9" customFormat="1" ht="15.75" hidden="1" thickBot="1" x14ac:dyDescent="0.3">
      <c r="A102" s="5" t="s">
        <v>21</v>
      </c>
      <c r="B102" s="10" t="e">
        <f>B101/B100</f>
        <v>#DIV/0!</v>
      </c>
      <c r="C102" s="10" t="e">
        <f>C101/C100</f>
        <v>#DIV/0!</v>
      </c>
      <c r="D102" s="10" t="e">
        <f>D101/D100</f>
        <v>#DIV/0!</v>
      </c>
      <c r="E102" s="10" t="e">
        <f>E101/E100</f>
        <v>#DIV/0!</v>
      </c>
      <c r="F102" s="826"/>
    </row>
    <row r="103" spans="1:9" customFormat="1" ht="15.75" hidden="1" thickBot="1" x14ac:dyDescent="0.3">
      <c r="A103" s="5" t="s">
        <v>22</v>
      </c>
      <c r="B103" s="225" t="s">
        <v>23</v>
      </c>
      <c r="C103" s="11" t="e">
        <f t="shared" ref="C103:E105" si="2">C100/B100-1</f>
        <v>#DIV/0!</v>
      </c>
      <c r="D103" s="11" t="e">
        <f t="shared" si="2"/>
        <v>#DIV/0!</v>
      </c>
      <c r="E103" s="11" t="e">
        <f t="shared" si="2"/>
        <v>#DIV/0!</v>
      </c>
      <c r="F103" s="827"/>
      <c r="G103" s="12"/>
      <c r="H103" s="12"/>
      <c r="I103" s="12"/>
    </row>
    <row r="104" spans="1:9" customFormat="1" ht="15.75" hidden="1" thickBot="1" x14ac:dyDescent="0.3">
      <c r="A104" s="5" t="s">
        <v>24</v>
      </c>
      <c r="B104" s="225" t="s">
        <v>23</v>
      </c>
      <c r="C104" s="11" t="e">
        <f t="shared" si="2"/>
        <v>#DIV/0!</v>
      </c>
      <c r="D104" s="11" t="e">
        <f t="shared" si="2"/>
        <v>#DIV/0!</v>
      </c>
      <c r="E104" s="11" t="e">
        <f t="shared" si="2"/>
        <v>#DIV/0!</v>
      </c>
      <c r="F104" s="826"/>
    </row>
    <row r="105" spans="1:9" customFormat="1" ht="15.75" hidden="1" thickBot="1" x14ac:dyDescent="0.3">
      <c r="A105" s="5" t="s">
        <v>25</v>
      </c>
      <c r="B105" s="225" t="s">
        <v>23</v>
      </c>
      <c r="C105" s="11" t="e">
        <f t="shared" si="2"/>
        <v>#DIV/0!</v>
      </c>
      <c r="D105" s="11" t="e">
        <f t="shared" si="2"/>
        <v>#DIV/0!</v>
      </c>
      <c r="E105" s="11" t="e">
        <f t="shared" si="2"/>
        <v>#DIV/0!</v>
      </c>
      <c r="F105" s="826"/>
    </row>
    <row r="106" spans="1:9" customFormat="1" ht="15.75" hidden="1" customHeight="1" thickBot="1" x14ac:dyDescent="0.3">
      <c r="A106" s="1252" t="s">
        <v>635</v>
      </c>
      <c r="B106" s="1253"/>
      <c r="C106" s="1253"/>
      <c r="D106" s="1253"/>
      <c r="E106" s="1300"/>
      <c r="F106" s="826"/>
    </row>
    <row r="107" spans="1:9" customFormat="1" ht="12.75" hidden="1" customHeight="1" x14ac:dyDescent="0.25">
      <c r="A107" s="1250"/>
      <c r="B107" s="8">
        <v>2018</v>
      </c>
      <c r="C107" s="8">
        <v>2019</v>
      </c>
      <c r="D107" s="8">
        <v>2020</v>
      </c>
      <c r="E107" s="8">
        <v>2021</v>
      </c>
      <c r="F107" s="826"/>
    </row>
    <row r="108" spans="1:9" customFormat="1" ht="9" hidden="1" customHeight="1" thickBot="1" x14ac:dyDescent="0.3">
      <c r="A108" s="1251"/>
      <c r="B108" s="9" t="s">
        <v>10</v>
      </c>
      <c r="C108" s="9" t="s">
        <v>11</v>
      </c>
      <c r="D108" s="9" t="s">
        <v>11</v>
      </c>
      <c r="E108" s="9" t="s">
        <v>11</v>
      </c>
      <c r="F108" s="826"/>
    </row>
    <row r="109" spans="1:9" customFormat="1" ht="15.75" hidden="1" thickBot="1" x14ac:dyDescent="0.3">
      <c r="A109" s="13" t="s">
        <v>58</v>
      </c>
      <c r="B109" s="14"/>
      <c r="C109" s="14"/>
      <c r="D109" s="14"/>
      <c r="E109" s="14"/>
      <c r="F109" s="826"/>
    </row>
    <row r="110" spans="1:9" customFormat="1" ht="15.75" hidden="1" thickBot="1" x14ac:dyDescent="0.3">
      <c r="A110" s="13" t="s">
        <v>59</v>
      </c>
      <c r="B110" s="15"/>
      <c r="C110" s="14"/>
      <c r="D110" s="14"/>
      <c r="E110" s="14"/>
      <c r="F110" s="826"/>
    </row>
    <row r="111" spans="1:9" customFormat="1" ht="15.75" hidden="1" thickBot="1" x14ac:dyDescent="0.3">
      <c r="A111" s="16" t="s">
        <v>74</v>
      </c>
      <c r="B111" s="15">
        <f>B110+B109</f>
        <v>0</v>
      </c>
      <c r="C111" s="15">
        <f>C110+C109</f>
        <v>0</v>
      </c>
      <c r="D111" s="15">
        <f>D110+D109</f>
        <v>0</v>
      </c>
      <c r="E111" s="15">
        <f>E110+E109</f>
        <v>0</v>
      </c>
      <c r="F111" s="826"/>
    </row>
    <row r="112" spans="1:9" customFormat="1" ht="15" hidden="1" customHeight="1" x14ac:dyDescent="0.25">
      <c r="A112" s="1254" t="s">
        <v>62</v>
      </c>
      <c r="B112" s="1322"/>
      <c r="C112" s="1289"/>
      <c r="D112" s="1289"/>
      <c r="E112" s="1290"/>
      <c r="F112" s="826"/>
    </row>
    <row r="113" spans="1:9" customFormat="1" ht="12" hidden="1" customHeight="1" x14ac:dyDescent="0.25">
      <c r="A113" s="1255"/>
      <c r="B113" s="1291"/>
      <c r="C113" s="1292"/>
      <c r="D113" s="1292"/>
      <c r="E113" s="1293"/>
      <c r="F113" s="826"/>
    </row>
    <row r="114" spans="1:9" customFormat="1" ht="19.5" hidden="1" customHeight="1" thickBot="1" x14ac:dyDescent="0.3">
      <c r="A114" s="1256"/>
      <c r="B114" s="1294"/>
      <c r="C114" s="1295"/>
      <c r="D114" s="1295"/>
      <c r="E114" s="1296"/>
      <c r="F114" s="826"/>
    </row>
    <row r="115" spans="1:9" ht="15.75" thickBot="1" x14ac:dyDescent="0.3">
      <c r="A115" s="2302" t="s">
        <v>63</v>
      </c>
      <c r="B115" s="2303"/>
      <c r="C115" s="2303"/>
      <c r="D115" s="2303"/>
      <c r="E115" s="2304"/>
    </row>
    <row r="116" spans="1:9" ht="15.75" thickBot="1" x14ac:dyDescent="0.3">
      <c r="A116" s="2302" t="s">
        <v>64</v>
      </c>
      <c r="B116" s="2303"/>
      <c r="C116" s="2303"/>
      <c r="D116" s="2303"/>
      <c r="E116" s="2304"/>
    </row>
    <row r="117" spans="1:9" customFormat="1" ht="15.75" thickBot="1" x14ac:dyDescent="0.3">
      <c r="A117" s="20" t="s">
        <v>816</v>
      </c>
      <c r="B117" s="1241" t="s">
        <v>813</v>
      </c>
      <c r="C117" s="1242"/>
      <c r="D117" s="1242"/>
      <c r="E117" s="1318"/>
      <c r="F117" s="826"/>
    </row>
    <row r="118" spans="1:9" customFormat="1" ht="51" customHeight="1" thickBot="1" x14ac:dyDescent="0.3">
      <c r="A118" s="7" t="s">
        <v>16</v>
      </c>
      <c r="B118" s="1330" t="s">
        <v>817</v>
      </c>
      <c r="C118" s="1331"/>
      <c r="D118" s="1331"/>
      <c r="E118" s="1332"/>
      <c r="F118" s="826"/>
    </row>
    <row r="119" spans="1:9" customFormat="1" ht="25.5" customHeight="1" thickBot="1" x14ac:dyDescent="0.3">
      <c r="A119" s="5" t="s">
        <v>17</v>
      </c>
      <c r="B119" s="1769" t="s">
        <v>818</v>
      </c>
      <c r="C119" s="1770"/>
      <c r="D119" s="1770"/>
      <c r="E119" s="1771"/>
      <c r="F119" s="826"/>
    </row>
    <row r="120" spans="1:9" customFormat="1" ht="15.75" thickBot="1" x14ac:dyDescent="0.3">
      <c r="A120" s="5" t="s">
        <v>18</v>
      </c>
      <c r="B120" s="2299" t="s">
        <v>144</v>
      </c>
      <c r="C120" s="2300"/>
      <c r="D120" s="2300"/>
      <c r="E120" s="2301"/>
      <c r="F120" s="826"/>
    </row>
    <row r="121" spans="1:9" customFormat="1" ht="12.75" customHeight="1" x14ac:dyDescent="0.25">
      <c r="A121" s="1250"/>
      <c r="B121" s="8">
        <v>2018</v>
      </c>
      <c r="C121" s="8">
        <v>2019</v>
      </c>
      <c r="D121" s="8">
        <v>2020</v>
      </c>
      <c r="E121" s="8">
        <v>2021</v>
      </c>
      <c r="F121" s="826"/>
    </row>
    <row r="122" spans="1:9" customFormat="1" ht="9" customHeight="1" thickBot="1" x14ac:dyDescent="0.3">
      <c r="A122" s="1251"/>
      <c r="B122" s="9" t="s">
        <v>10</v>
      </c>
      <c r="C122" s="9" t="s">
        <v>11</v>
      </c>
      <c r="D122" s="9" t="s">
        <v>11</v>
      </c>
      <c r="E122" s="9" t="s">
        <v>11</v>
      </c>
      <c r="F122" s="826"/>
    </row>
    <row r="123" spans="1:9" customFormat="1" ht="15.75" thickBot="1" x14ac:dyDescent="0.3">
      <c r="A123" s="5" t="s">
        <v>19</v>
      </c>
      <c r="B123" s="10">
        <v>1</v>
      </c>
      <c r="C123" s="10">
        <v>1</v>
      </c>
      <c r="D123" s="10">
        <v>1</v>
      </c>
      <c r="E123" s="10">
        <v>1</v>
      </c>
      <c r="F123" s="826"/>
    </row>
    <row r="124" spans="1:9" customFormat="1" ht="15.75" thickBot="1" x14ac:dyDescent="0.3">
      <c r="A124" s="5" t="s">
        <v>20</v>
      </c>
      <c r="B124" s="10">
        <v>31000</v>
      </c>
      <c r="C124" s="10">
        <v>55000</v>
      </c>
      <c r="D124" s="10">
        <v>50000</v>
      </c>
      <c r="E124" s="10">
        <v>50000</v>
      </c>
      <c r="F124" s="826"/>
    </row>
    <row r="125" spans="1:9" customFormat="1" ht="15.75" thickBot="1" x14ac:dyDescent="0.3">
      <c r="A125" s="5" t="s">
        <v>21</v>
      </c>
      <c r="B125" s="10">
        <v>31000</v>
      </c>
      <c r="C125" s="10">
        <f>C124/C123</f>
        <v>55000</v>
      </c>
      <c r="D125" s="10">
        <f>D124/D123</f>
        <v>50000</v>
      </c>
      <c r="E125" s="10">
        <f>E124/E123</f>
        <v>50000</v>
      </c>
      <c r="F125" s="826"/>
    </row>
    <row r="126" spans="1:9" customFormat="1" ht="15.75" thickBot="1" x14ac:dyDescent="0.3">
      <c r="A126" s="5" t="s">
        <v>22</v>
      </c>
      <c r="B126" s="225" t="s">
        <v>23</v>
      </c>
      <c r="C126" s="11">
        <f t="shared" ref="C126:E128" si="3">C123/B123-1</f>
        <v>0</v>
      </c>
      <c r="D126" s="11">
        <f t="shared" si="3"/>
        <v>0</v>
      </c>
      <c r="E126" s="11">
        <f t="shared" si="3"/>
        <v>0</v>
      </c>
      <c r="F126" s="827"/>
      <c r="G126" s="12"/>
      <c r="H126" s="12"/>
      <c r="I126" s="12"/>
    </row>
    <row r="127" spans="1:9" customFormat="1" ht="15.75" thickBot="1" x14ac:dyDescent="0.3">
      <c r="A127" s="5" t="s">
        <v>24</v>
      </c>
      <c r="B127" s="225" t="s">
        <v>23</v>
      </c>
      <c r="C127" s="11">
        <f t="shared" si="3"/>
        <v>0.77419354838709675</v>
      </c>
      <c r="D127" s="11">
        <f t="shared" si="3"/>
        <v>-9.0909090909090939E-2</v>
      </c>
      <c r="E127" s="11">
        <f t="shared" si="3"/>
        <v>0</v>
      </c>
      <c r="F127" s="826"/>
    </row>
    <row r="128" spans="1:9" customFormat="1" ht="15.75" thickBot="1" x14ac:dyDescent="0.3">
      <c r="A128" s="5" t="s">
        <v>25</v>
      </c>
      <c r="B128" s="225" t="s">
        <v>23</v>
      </c>
      <c r="C128" s="11">
        <f t="shared" si="3"/>
        <v>0.77419354838709675</v>
      </c>
      <c r="D128" s="11">
        <f t="shared" si="3"/>
        <v>-9.0909090909090939E-2</v>
      </c>
      <c r="E128" s="11">
        <f t="shared" si="3"/>
        <v>0</v>
      </c>
      <c r="F128" s="826"/>
    </row>
    <row r="129" spans="1:6" customFormat="1" ht="15.75" customHeight="1" thickBot="1" x14ac:dyDescent="0.3">
      <c r="A129" s="1252" t="s">
        <v>633</v>
      </c>
      <c r="B129" s="1253"/>
      <c r="C129" s="1253"/>
      <c r="D129" s="1253"/>
      <c r="E129" s="1300"/>
      <c r="F129" s="826"/>
    </row>
    <row r="130" spans="1:6" customFormat="1" ht="12.75" customHeight="1" x14ac:dyDescent="0.25">
      <c r="A130" s="1250"/>
      <c r="B130" s="8">
        <v>2018</v>
      </c>
      <c r="C130" s="8">
        <v>2019</v>
      </c>
      <c r="D130" s="8">
        <v>2020</v>
      </c>
      <c r="E130" s="8">
        <v>2021</v>
      </c>
      <c r="F130" s="826"/>
    </row>
    <row r="131" spans="1:6" customFormat="1" ht="9" customHeight="1" thickBot="1" x14ac:dyDescent="0.3">
      <c r="A131" s="1251"/>
      <c r="B131" s="9" t="s">
        <v>10</v>
      </c>
      <c r="C131" s="9" t="s">
        <v>11</v>
      </c>
      <c r="D131" s="9" t="s">
        <v>11</v>
      </c>
      <c r="E131" s="9" t="s">
        <v>11</v>
      </c>
      <c r="F131" s="826"/>
    </row>
    <row r="132" spans="1:6" customFormat="1" ht="15" customHeight="1" thickBot="1" x14ac:dyDescent="0.3">
      <c r="A132" s="13" t="s">
        <v>58</v>
      </c>
      <c r="B132" s="14"/>
      <c r="C132" s="14"/>
      <c r="D132" s="14"/>
      <c r="E132" s="14"/>
      <c r="F132" s="826"/>
    </row>
    <row r="133" spans="1:6" customFormat="1" ht="15" customHeight="1" thickBot="1" x14ac:dyDescent="0.3">
      <c r="A133" s="13" t="s">
        <v>59</v>
      </c>
      <c r="B133" s="15">
        <v>31000</v>
      </c>
      <c r="C133" s="14">
        <v>55000</v>
      </c>
      <c r="D133" s="14">
        <v>50000</v>
      </c>
      <c r="E133" s="14">
        <v>50000</v>
      </c>
      <c r="F133" s="826"/>
    </row>
    <row r="134" spans="1:6" ht="15" customHeight="1" thickBot="1" x14ac:dyDescent="0.3">
      <c r="A134" s="829" t="s">
        <v>40</v>
      </c>
      <c r="B134" s="144">
        <f>B133+B132</f>
        <v>31000</v>
      </c>
      <c r="C134" s="144">
        <f>C133+C132</f>
        <v>55000</v>
      </c>
      <c r="D134" s="144">
        <f>D133+D132</f>
        <v>50000</v>
      </c>
      <c r="E134" s="144">
        <v>50000</v>
      </c>
    </row>
    <row r="135" spans="1:6" customFormat="1" ht="15" customHeight="1" x14ac:dyDescent="0.25">
      <c r="A135" s="1254" t="s">
        <v>60</v>
      </c>
      <c r="B135" s="1322"/>
      <c r="C135" s="1289"/>
      <c r="D135" s="1289"/>
      <c r="E135" s="1290"/>
      <c r="F135" s="826"/>
    </row>
    <row r="136" spans="1:6" customFormat="1" x14ac:dyDescent="0.25">
      <c r="A136" s="1255"/>
      <c r="B136" s="1291"/>
      <c r="C136" s="1292"/>
      <c r="D136" s="1292"/>
      <c r="E136" s="1293"/>
      <c r="F136" s="826"/>
    </row>
    <row r="137" spans="1:6" customFormat="1" ht="15.75" thickBot="1" x14ac:dyDescent="0.3">
      <c r="A137" s="1256"/>
      <c r="B137" s="1294"/>
      <c r="C137" s="1295"/>
      <c r="D137" s="1295"/>
      <c r="E137" s="1296"/>
      <c r="F137" s="826"/>
    </row>
    <row r="138" spans="1:6" ht="51" customHeight="1" thickBot="1" x14ac:dyDescent="0.3">
      <c r="A138" s="828" t="s">
        <v>67</v>
      </c>
      <c r="B138" s="2317" t="s">
        <v>819</v>
      </c>
      <c r="C138" s="2318"/>
      <c r="D138" s="2318"/>
      <c r="E138" s="2319"/>
    </row>
    <row r="139" spans="1:6" customFormat="1" ht="17.25" customHeight="1" thickBot="1" x14ac:dyDescent="0.3">
      <c r="A139" s="1330" t="s">
        <v>68</v>
      </c>
      <c r="B139" s="1331"/>
      <c r="C139" s="1331"/>
      <c r="D139" s="1331"/>
      <c r="E139" s="1332"/>
      <c r="F139" s="826"/>
    </row>
    <row r="140" spans="1:6" customFormat="1" ht="15.75" customHeight="1" thickBot="1" x14ac:dyDescent="0.3">
      <c r="A140" s="421" t="s">
        <v>820</v>
      </c>
      <c r="B140" s="818">
        <v>0</v>
      </c>
      <c r="C140" s="818">
        <v>0.6</v>
      </c>
      <c r="D140" s="818">
        <v>0.8</v>
      </c>
      <c r="E140" s="818">
        <v>1</v>
      </c>
      <c r="F140" s="826"/>
    </row>
    <row r="141" spans="1:6" customFormat="1" ht="15.75" customHeight="1" thickBot="1" x14ac:dyDescent="0.3">
      <c r="A141" s="421" t="s">
        <v>821</v>
      </c>
      <c r="B141" s="818">
        <v>0.3</v>
      </c>
      <c r="C141" s="818" t="s">
        <v>1468</v>
      </c>
      <c r="D141" s="818">
        <v>0.7</v>
      </c>
      <c r="E141" s="818">
        <v>1</v>
      </c>
      <c r="F141" s="826"/>
    </row>
    <row r="142" spans="1:6" customFormat="1" ht="15.75" customHeight="1" thickBot="1" x14ac:dyDescent="0.3">
      <c r="A142" s="5"/>
      <c r="B142" s="4"/>
      <c r="C142" s="4"/>
      <c r="D142" s="4"/>
      <c r="E142" s="4"/>
      <c r="F142" s="826"/>
    </row>
    <row r="143" spans="1:6" customFormat="1" ht="16.5" customHeight="1" thickBot="1" x14ac:dyDescent="0.3">
      <c r="A143" s="1278" t="s">
        <v>69</v>
      </c>
      <c r="B143" s="1279"/>
      <c r="C143" s="1279"/>
      <c r="D143" s="1279"/>
      <c r="E143" s="1355"/>
      <c r="F143" s="826"/>
    </row>
    <row r="144" spans="1:6" ht="23.25" customHeight="1" thickBot="1" x14ac:dyDescent="0.3">
      <c r="A144" s="2305" t="s">
        <v>70</v>
      </c>
      <c r="B144" s="2306"/>
      <c r="C144" s="2306"/>
      <c r="D144" s="2306"/>
      <c r="E144" s="2307"/>
    </row>
    <row r="145" spans="1:6" customFormat="1" ht="12.75" customHeight="1" x14ac:dyDescent="0.25">
      <c r="A145" s="1250"/>
      <c r="B145" s="8">
        <v>2018</v>
      </c>
      <c r="C145" s="8">
        <v>2019</v>
      </c>
      <c r="D145" s="8">
        <v>2020</v>
      </c>
      <c r="E145" s="8">
        <v>2021</v>
      </c>
      <c r="F145" s="826"/>
    </row>
    <row r="146" spans="1:6" customFormat="1" ht="9" customHeight="1" thickBot="1" x14ac:dyDescent="0.3">
      <c r="A146" s="1251"/>
      <c r="B146" s="9" t="s">
        <v>10</v>
      </c>
      <c r="C146" s="9" t="s">
        <v>11</v>
      </c>
      <c r="D146" s="9" t="s">
        <v>11</v>
      </c>
      <c r="E146" s="9" t="s">
        <v>11</v>
      </c>
      <c r="F146" s="826"/>
    </row>
    <row r="147" spans="1:6" customFormat="1" ht="30.6" customHeight="1" thickBot="1" x14ac:dyDescent="0.3">
      <c r="A147" s="7" t="s">
        <v>16</v>
      </c>
      <c r="B147" s="2312" t="s">
        <v>822</v>
      </c>
      <c r="C147" s="2313"/>
      <c r="D147" s="2313"/>
      <c r="E147" s="2314"/>
      <c r="F147" s="826"/>
    </row>
    <row r="148" spans="1:6" customFormat="1" ht="243" customHeight="1" thickBot="1" x14ac:dyDescent="0.3">
      <c r="A148" s="5" t="s">
        <v>17</v>
      </c>
      <c r="B148" s="2323" t="s">
        <v>823</v>
      </c>
      <c r="C148" s="2324"/>
      <c r="D148" s="2324"/>
      <c r="E148" s="2325"/>
      <c r="F148" s="826"/>
    </row>
    <row r="149" spans="1:6" customFormat="1" ht="15.75" customHeight="1" thickBot="1" x14ac:dyDescent="0.3">
      <c r="A149" s="5" t="s">
        <v>18</v>
      </c>
      <c r="B149" s="1717" t="s">
        <v>144</v>
      </c>
      <c r="C149" s="1718"/>
      <c r="D149" s="1718"/>
      <c r="E149" s="1719"/>
      <c r="F149" s="826"/>
    </row>
    <row r="150" spans="1:6" customFormat="1" ht="12.75" customHeight="1" x14ac:dyDescent="0.25">
      <c r="A150" s="1250"/>
      <c r="B150" s="8">
        <v>2018</v>
      </c>
      <c r="C150" s="8">
        <v>2019</v>
      </c>
      <c r="D150" s="8">
        <v>2020</v>
      </c>
      <c r="E150" s="8">
        <v>2021</v>
      </c>
      <c r="F150" s="826"/>
    </row>
    <row r="151" spans="1:6" customFormat="1" ht="9" customHeight="1" thickBot="1" x14ac:dyDescent="0.3">
      <c r="A151" s="1251"/>
      <c r="B151" s="9" t="s">
        <v>10</v>
      </c>
      <c r="C151" s="9" t="s">
        <v>11</v>
      </c>
      <c r="D151" s="9" t="s">
        <v>11</v>
      </c>
      <c r="E151" s="9" t="s">
        <v>11</v>
      </c>
      <c r="F151" s="826"/>
    </row>
    <row r="152" spans="1:6" customFormat="1" ht="15.75" customHeight="1" thickBot="1" x14ac:dyDescent="0.3">
      <c r="A152" s="421" t="s">
        <v>19</v>
      </c>
      <c r="B152" s="143">
        <v>1</v>
      </c>
      <c r="C152" s="143">
        <v>2</v>
      </c>
      <c r="D152" s="143">
        <v>2</v>
      </c>
      <c r="E152" s="143">
        <v>2</v>
      </c>
      <c r="F152" s="826"/>
    </row>
    <row r="153" spans="1:6" customFormat="1" ht="15.75" thickBot="1" x14ac:dyDescent="0.3">
      <c r="A153" s="5" t="s">
        <v>20</v>
      </c>
      <c r="B153" s="10">
        <v>18395.112000000001</v>
      </c>
      <c r="C153" s="10">
        <f>C184</f>
        <v>11995.112000000001</v>
      </c>
      <c r="D153" s="10">
        <f>D184</f>
        <v>11995.112000000001</v>
      </c>
      <c r="E153" s="10">
        <f>E184</f>
        <v>11995.112000000001</v>
      </c>
      <c r="F153" s="826"/>
    </row>
    <row r="154" spans="1:6" customFormat="1" ht="15.75" thickBot="1" x14ac:dyDescent="0.3">
      <c r="A154" s="5" t="s">
        <v>21</v>
      </c>
      <c r="B154" s="10">
        <f>B153/B152</f>
        <v>18395.112000000001</v>
      </c>
      <c r="C154" s="10">
        <f>C153/C152</f>
        <v>5997.5560000000005</v>
      </c>
      <c r="D154" s="10">
        <f>D153/D152</f>
        <v>5997.5560000000005</v>
      </c>
      <c r="E154" s="10">
        <f>E153/E152</f>
        <v>5997.5560000000005</v>
      </c>
      <c r="F154" s="826"/>
    </row>
    <row r="155" spans="1:6" customFormat="1" ht="15.75" thickBot="1" x14ac:dyDescent="0.3">
      <c r="A155" s="5" t="s">
        <v>22</v>
      </c>
      <c r="B155" s="225"/>
      <c r="C155" s="11">
        <f t="shared" ref="C155:E157" si="4">C152/B152-1</f>
        <v>1</v>
      </c>
      <c r="D155" s="11">
        <f t="shared" si="4"/>
        <v>0</v>
      </c>
      <c r="E155" s="11">
        <f t="shared" si="4"/>
        <v>0</v>
      </c>
      <c r="F155" s="826"/>
    </row>
    <row r="156" spans="1:6" customFormat="1" ht="15.75" thickBot="1" x14ac:dyDescent="0.3">
      <c r="A156" s="5" t="s">
        <v>24</v>
      </c>
      <c r="B156" s="225"/>
      <c r="C156" s="11">
        <f t="shared" si="4"/>
        <v>-0.34791851226564974</v>
      </c>
      <c r="D156" s="11">
        <f t="shared" si="4"/>
        <v>0</v>
      </c>
      <c r="E156" s="11">
        <f t="shared" si="4"/>
        <v>0</v>
      </c>
      <c r="F156" s="826"/>
    </row>
    <row r="157" spans="1:6" customFormat="1" ht="15.75" thickBot="1" x14ac:dyDescent="0.3">
      <c r="A157" s="5" t="s">
        <v>25</v>
      </c>
      <c r="B157" s="225"/>
      <c r="C157" s="11">
        <f t="shared" si="4"/>
        <v>-0.67395925613282492</v>
      </c>
      <c r="D157" s="11">
        <f t="shared" si="4"/>
        <v>0</v>
      </c>
      <c r="E157" s="11">
        <f t="shared" si="4"/>
        <v>0</v>
      </c>
      <c r="F157" s="826"/>
    </row>
    <row r="158" spans="1:6" customFormat="1" ht="12.75" customHeight="1" x14ac:dyDescent="0.25">
      <c r="A158" s="1250"/>
      <c r="B158" s="8">
        <v>2018</v>
      </c>
      <c r="C158" s="8">
        <v>2019</v>
      </c>
      <c r="D158" s="8">
        <v>2020</v>
      </c>
      <c r="E158" s="8">
        <v>2021</v>
      </c>
      <c r="F158" s="826"/>
    </row>
    <row r="159" spans="1:6" customFormat="1" ht="9" customHeight="1" thickBot="1" x14ac:dyDescent="0.3">
      <c r="A159" s="1251"/>
      <c r="B159" s="9" t="s">
        <v>10</v>
      </c>
      <c r="C159" s="9" t="s">
        <v>11</v>
      </c>
      <c r="D159" s="9" t="s">
        <v>11</v>
      </c>
      <c r="E159" s="9" t="s">
        <v>11</v>
      </c>
      <c r="F159" s="826"/>
    </row>
    <row r="160" spans="1:6" customFormat="1" ht="15.75" customHeight="1" thickBot="1" x14ac:dyDescent="0.3">
      <c r="A160" s="1252" t="s">
        <v>636</v>
      </c>
      <c r="B160" s="1253"/>
      <c r="C160" s="1253"/>
      <c r="D160" s="1253"/>
      <c r="E160" s="1300"/>
      <c r="F160" s="826"/>
    </row>
    <row r="161" spans="1:6" customFormat="1" ht="12.75" customHeight="1" x14ac:dyDescent="0.25">
      <c r="A161" s="1250"/>
      <c r="B161" s="8">
        <v>2018</v>
      </c>
      <c r="C161" s="8">
        <v>2019</v>
      </c>
      <c r="D161" s="8">
        <v>2020</v>
      </c>
      <c r="E161" s="8">
        <v>2021</v>
      </c>
      <c r="F161" s="826"/>
    </row>
    <row r="162" spans="1:6" customFormat="1" ht="9" customHeight="1" thickBot="1" x14ac:dyDescent="0.3">
      <c r="A162" s="1251"/>
      <c r="B162" s="9" t="s">
        <v>10</v>
      </c>
      <c r="C162" s="9" t="s">
        <v>11</v>
      </c>
      <c r="D162" s="9" t="s">
        <v>11</v>
      </c>
      <c r="E162" s="9" t="s">
        <v>11</v>
      </c>
      <c r="F162" s="826"/>
    </row>
    <row r="163" spans="1:6" customFormat="1" ht="15.75" thickBot="1" x14ac:dyDescent="0.3">
      <c r="A163" s="13" t="s">
        <v>26</v>
      </c>
      <c r="B163" s="14">
        <f>4200+5136</f>
        <v>9336</v>
      </c>
      <c r="C163" s="14">
        <f>4200+5136-2800-200</f>
        <v>6336</v>
      </c>
      <c r="D163" s="14">
        <f>4200+5136-2800-200</f>
        <v>6336</v>
      </c>
      <c r="E163" s="14">
        <f>4200+5136-2800-200</f>
        <v>6336</v>
      </c>
      <c r="F163" s="826"/>
    </row>
    <row r="164" spans="1:6" customFormat="1" ht="24.75" thickBot="1" x14ac:dyDescent="0.3">
      <c r="A164" s="28" t="s">
        <v>27</v>
      </c>
      <c r="B164" s="15">
        <v>0</v>
      </c>
      <c r="C164" s="15">
        <v>0</v>
      </c>
      <c r="D164" s="15">
        <v>0</v>
      </c>
      <c r="E164" s="15">
        <v>0</v>
      </c>
      <c r="F164" s="826"/>
    </row>
    <row r="165" spans="1:6" customFormat="1" ht="24.75" thickBot="1" x14ac:dyDescent="0.3">
      <c r="A165" s="28" t="s">
        <v>45</v>
      </c>
      <c r="B165" s="15">
        <v>0</v>
      </c>
      <c r="C165" s="15">
        <v>0</v>
      </c>
      <c r="D165" s="15">
        <v>0</v>
      </c>
      <c r="E165" s="15">
        <v>0</v>
      </c>
      <c r="F165" s="826"/>
    </row>
    <row r="166" spans="1:6" customFormat="1" ht="15.75" thickBot="1" x14ac:dyDescent="0.3">
      <c r="A166" s="13" t="s">
        <v>28</v>
      </c>
      <c r="B166" s="14">
        <f>701.4+857.712</f>
        <v>1559.1120000000001</v>
      </c>
      <c r="C166" s="14">
        <f>701.4+857.712-470+70</f>
        <v>1159.1120000000001</v>
      </c>
      <c r="D166" s="14">
        <f>701.4+857.712-470+70</f>
        <v>1159.1120000000001</v>
      </c>
      <c r="E166" s="14">
        <f>701.4+857.712-470+70</f>
        <v>1159.1120000000001</v>
      </c>
      <c r="F166" s="826"/>
    </row>
    <row r="167" spans="1:6" customFormat="1" ht="24.75" thickBot="1" x14ac:dyDescent="0.3">
      <c r="A167" s="28" t="s">
        <v>29</v>
      </c>
      <c r="B167" s="15"/>
      <c r="C167" s="14"/>
      <c r="D167" s="14"/>
      <c r="E167" s="14"/>
      <c r="F167" s="826"/>
    </row>
    <row r="168" spans="1:6" customFormat="1" ht="24.75" thickBot="1" x14ac:dyDescent="0.3">
      <c r="A168" s="28" t="s">
        <v>46</v>
      </c>
      <c r="B168" s="15"/>
      <c r="C168" s="14"/>
      <c r="D168" s="14"/>
      <c r="E168" s="14"/>
      <c r="F168" s="826"/>
    </row>
    <row r="169" spans="1:6" customFormat="1" ht="15.75" thickBot="1" x14ac:dyDescent="0.3">
      <c r="A169" s="13" t="s">
        <v>30</v>
      </c>
      <c r="B169" s="15">
        <v>7500</v>
      </c>
      <c r="C169" s="15">
        <v>4500</v>
      </c>
      <c r="D169" s="15">
        <v>4500</v>
      </c>
      <c r="E169" s="15">
        <v>4500</v>
      </c>
      <c r="F169" s="826"/>
    </row>
    <row r="170" spans="1:6" customFormat="1" ht="24.75" thickBot="1" x14ac:dyDescent="0.3">
      <c r="A170" s="28" t="s">
        <v>31</v>
      </c>
      <c r="B170" s="15"/>
      <c r="C170" s="14"/>
      <c r="D170" s="14"/>
      <c r="E170" s="14"/>
      <c r="F170" s="826"/>
    </row>
    <row r="171" spans="1:6" customFormat="1" ht="24.75" thickBot="1" x14ac:dyDescent="0.3">
      <c r="A171" s="28" t="s">
        <v>47</v>
      </c>
      <c r="B171" s="15"/>
      <c r="C171" s="14"/>
      <c r="D171" s="14"/>
      <c r="E171" s="14"/>
      <c r="F171" s="826"/>
    </row>
    <row r="172" spans="1:6" customFormat="1" ht="15.75" thickBot="1" x14ac:dyDescent="0.3">
      <c r="A172" s="13" t="s">
        <v>32</v>
      </c>
      <c r="B172" s="15"/>
      <c r="C172" s="14"/>
      <c r="D172" s="14"/>
      <c r="E172" s="14"/>
      <c r="F172" s="826"/>
    </row>
    <row r="173" spans="1:6" customFormat="1" ht="24.75" thickBot="1" x14ac:dyDescent="0.3">
      <c r="A173" s="28" t="s">
        <v>33</v>
      </c>
      <c r="B173" s="15"/>
      <c r="C173" s="14"/>
      <c r="D173" s="14"/>
      <c r="E173" s="14"/>
      <c r="F173" s="826"/>
    </row>
    <row r="174" spans="1:6" customFormat="1" ht="24.75" thickBot="1" x14ac:dyDescent="0.3">
      <c r="A174" s="28" t="s">
        <v>48</v>
      </c>
      <c r="B174" s="15"/>
      <c r="C174" s="14"/>
      <c r="D174" s="14"/>
      <c r="E174" s="14"/>
      <c r="F174" s="826"/>
    </row>
    <row r="175" spans="1:6" customFormat="1" ht="15.75" thickBot="1" x14ac:dyDescent="0.3">
      <c r="A175" s="13" t="s">
        <v>34</v>
      </c>
      <c r="B175" s="15"/>
      <c r="C175" s="14"/>
      <c r="D175" s="14"/>
      <c r="E175" s="14"/>
      <c r="F175" s="826"/>
    </row>
    <row r="176" spans="1:6" customFormat="1" ht="24.75" thickBot="1" x14ac:dyDescent="0.3">
      <c r="A176" s="28" t="s">
        <v>35</v>
      </c>
      <c r="B176" s="15"/>
      <c r="C176" s="14"/>
      <c r="D176" s="14"/>
      <c r="E176" s="14"/>
      <c r="F176" s="826"/>
    </row>
    <row r="177" spans="1:6" customFormat="1" ht="24.75" thickBot="1" x14ac:dyDescent="0.3">
      <c r="A177" s="28" t="s">
        <v>49</v>
      </c>
      <c r="B177" s="15"/>
      <c r="C177" s="14"/>
      <c r="D177" s="14"/>
      <c r="E177" s="14"/>
      <c r="F177" s="826"/>
    </row>
    <row r="178" spans="1:6" customFormat="1" ht="15.75" thickBot="1" x14ac:dyDescent="0.3">
      <c r="A178" s="13" t="s">
        <v>36</v>
      </c>
      <c r="B178" s="15"/>
      <c r="C178" s="14"/>
      <c r="D178" s="14"/>
      <c r="E178" s="14"/>
      <c r="F178" s="826"/>
    </row>
    <row r="179" spans="1:6" customFormat="1" ht="24.75" thickBot="1" x14ac:dyDescent="0.3">
      <c r="A179" s="28" t="s">
        <v>37</v>
      </c>
      <c r="B179" s="15"/>
      <c r="C179" s="14"/>
      <c r="D179" s="14"/>
      <c r="E179" s="14"/>
      <c r="F179" s="826"/>
    </row>
    <row r="180" spans="1:6" customFormat="1" ht="24.75" thickBot="1" x14ac:dyDescent="0.3">
      <c r="A180" s="28" t="s">
        <v>50</v>
      </c>
      <c r="B180" s="15"/>
      <c r="C180" s="14"/>
      <c r="D180" s="14"/>
      <c r="E180" s="14"/>
      <c r="F180" s="826"/>
    </row>
    <row r="181" spans="1:6" customFormat="1" ht="15.75" thickBot="1" x14ac:dyDescent="0.3">
      <c r="A181" s="13" t="s">
        <v>38</v>
      </c>
      <c r="B181" s="15"/>
      <c r="C181" s="14"/>
      <c r="D181" s="14"/>
      <c r="E181" s="14"/>
      <c r="F181" s="826"/>
    </row>
    <row r="182" spans="1:6" customFormat="1" ht="24.75" thickBot="1" x14ac:dyDescent="0.3">
      <c r="A182" s="28" t="s">
        <v>39</v>
      </c>
      <c r="B182" s="15"/>
      <c r="C182" s="14"/>
      <c r="D182" s="14"/>
      <c r="E182" s="14"/>
      <c r="F182" s="826"/>
    </row>
    <row r="183" spans="1:6" customFormat="1" ht="24.75" thickBot="1" x14ac:dyDescent="0.3">
      <c r="A183" s="28" t="s">
        <v>51</v>
      </c>
      <c r="B183" s="15"/>
      <c r="C183" s="14"/>
      <c r="D183" s="14"/>
      <c r="E183" s="14"/>
      <c r="F183" s="826"/>
    </row>
    <row r="184" spans="1:6" ht="24.75" thickBot="1" x14ac:dyDescent="0.3">
      <c r="A184" s="830" t="s">
        <v>71</v>
      </c>
      <c r="B184" s="811">
        <f>B181+B178+B175+B172+B169+B166+B163</f>
        <v>18395.112000000001</v>
      </c>
      <c r="C184" s="811">
        <f>'[4]Formati 2 Politika Ekzistuese'!D145</f>
        <v>11995.112000000001</v>
      </c>
      <c r="D184" s="811">
        <f>'[4]Formati 2 Politika Ekzistuese'!E145</f>
        <v>11995.112000000001</v>
      </c>
      <c r="E184" s="811">
        <f>'[4]Formati 2 Politika Ekzistuese'!F145</f>
        <v>11995.112000000001</v>
      </c>
    </row>
    <row r="185" spans="1:6" customFormat="1" ht="15" customHeight="1" x14ac:dyDescent="0.25">
      <c r="A185" s="1254" t="s">
        <v>115</v>
      </c>
      <c r="B185" s="1289" t="s">
        <v>23</v>
      </c>
      <c r="C185" s="1289"/>
      <c r="D185" s="1289"/>
      <c r="E185" s="1290"/>
      <c r="F185" s="826"/>
    </row>
    <row r="186" spans="1:6" customFormat="1" x14ac:dyDescent="0.25">
      <c r="A186" s="1255"/>
      <c r="B186" s="1292"/>
      <c r="C186" s="1292"/>
      <c r="D186" s="1292"/>
      <c r="E186" s="1293"/>
      <c r="F186" s="826"/>
    </row>
    <row r="187" spans="1:6" customFormat="1" ht="15.75" thickBot="1" x14ac:dyDescent="0.3">
      <c r="A187" s="1256"/>
      <c r="B187" s="1295"/>
      <c r="C187" s="1295"/>
      <c r="D187" s="1295"/>
      <c r="E187" s="1296"/>
      <c r="F187" s="826"/>
    </row>
    <row r="188" spans="1:6" customFormat="1" ht="15.75" thickBot="1" x14ac:dyDescent="0.3">
      <c r="A188" s="17" t="s">
        <v>41</v>
      </c>
      <c r="B188" s="18">
        <f>IF(B184-B153=0,0,"Error")</f>
        <v>0</v>
      </c>
      <c r="C188" s="18">
        <f>IF(C184-C153=0,0,"Error")</f>
        <v>0</v>
      </c>
      <c r="D188" s="18">
        <f>IF(D184-D153=0,0,"Error")</f>
        <v>0</v>
      </c>
      <c r="E188" s="18">
        <f>IF(E184-E153=0,0,"Error")</f>
        <v>0</v>
      </c>
      <c r="F188" s="826"/>
    </row>
    <row r="189" spans="1:6" ht="15.75" thickBot="1" x14ac:dyDescent="0.3">
      <c r="A189" s="2302" t="s">
        <v>63</v>
      </c>
      <c r="B189" s="2303"/>
      <c r="C189" s="2303"/>
      <c r="D189" s="2303"/>
      <c r="E189" s="2304"/>
    </row>
    <row r="190" spans="1:6" ht="15.75" thickBot="1" x14ac:dyDescent="0.3">
      <c r="A190" s="2302" t="s">
        <v>56</v>
      </c>
      <c r="B190" s="2303"/>
      <c r="C190" s="2303"/>
      <c r="D190" s="2303"/>
      <c r="E190" s="2304"/>
    </row>
    <row r="191" spans="1:6" customFormat="1" ht="15.75" thickBot="1" x14ac:dyDescent="0.3">
      <c r="A191" s="20" t="s">
        <v>824</v>
      </c>
      <c r="B191" s="1241" t="s">
        <v>825</v>
      </c>
      <c r="C191" s="1242"/>
      <c r="D191" s="1242"/>
      <c r="E191" s="1318"/>
      <c r="F191" s="826"/>
    </row>
    <row r="192" spans="1:6" customFormat="1" ht="15.75" thickBot="1" x14ac:dyDescent="0.3">
      <c r="A192" s="7" t="s">
        <v>16</v>
      </c>
      <c r="B192" s="1243" t="s">
        <v>826</v>
      </c>
      <c r="C192" s="1244"/>
      <c r="D192" s="1244"/>
      <c r="E192" s="1315"/>
      <c r="F192" s="826"/>
    </row>
    <row r="193" spans="1:9" customFormat="1" ht="22.9" customHeight="1" thickBot="1" x14ac:dyDescent="0.3">
      <c r="A193" s="5" t="s">
        <v>17</v>
      </c>
      <c r="B193" s="1769" t="s">
        <v>827</v>
      </c>
      <c r="C193" s="1770"/>
      <c r="D193" s="1770"/>
      <c r="E193" s="1771"/>
      <c r="F193" s="826"/>
    </row>
    <row r="194" spans="1:9" customFormat="1" ht="15.75" thickBot="1" x14ac:dyDescent="0.3">
      <c r="A194" s="5" t="s">
        <v>18</v>
      </c>
      <c r="B194" s="2299" t="s">
        <v>1467</v>
      </c>
      <c r="C194" s="2300"/>
      <c r="D194" s="2300"/>
      <c r="E194" s="2301"/>
      <c r="F194" s="826"/>
    </row>
    <row r="195" spans="1:9" customFormat="1" ht="12.75" customHeight="1" x14ac:dyDescent="0.25">
      <c r="A195" s="1250"/>
      <c r="B195" s="8">
        <v>2018</v>
      </c>
      <c r="C195" s="8">
        <v>2019</v>
      </c>
      <c r="D195" s="8">
        <v>2020</v>
      </c>
      <c r="E195" s="8">
        <v>2021</v>
      </c>
      <c r="F195" s="826"/>
    </row>
    <row r="196" spans="1:9" customFormat="1" ht="9" customHeight="1" thickBot="1" x14ac:dyDescent="0.3">
      <c r="A196" s="1251"/>
      <c r="B196" s="9" t="s">
        <v>10</v>
      </c>
      <c r="C196" s="9" t="s">
        <v>11</v>
      </c>
      <c r="D196" s="9" t="s">
        <v>11</v>
      </c>
      <c r="E196" s="9" t="s">
        <v>11</v>
      </c>
      <c r="F196" s="826"/>
    </row>
    <row r="197" spans="1:9" customFormat="1" ht="15.75" thickBot="1" x14ac:dyDescent="0.3">
      <c r="A197" s="5" t="s">
        <v>19</v>
      </c>
      <c r="B197" s="10">
        <v>14</v>
      </c>
      <c r="C197" s="10">
        <v>0</v>
      </c>
      <c r="D197" s="10">
        <v>30</v>
      </c>
      <c r="E197" s="10">
        <v>30</v>
      </c>
      <c r="F197" s="826"/>
    </row>
    <row r="198" spans="1:9" customFormat="1" ht="15.75" thickBot="1" x14ac:dyDescent="0.3">
      <c r="A198" s="5" t="s">
        <v>20</v>
      </c>
      <c r="B198" s="10">
        <v>2500</v>
      </c>
      <c r="C198" s="10">
        <v>0</v>
      </c>
      <c r="D198" s="10">
        <v>5800</v>
      </c>
      <c r="E198" s="10">
        <v>5800</v>
      </c>
      <c r="F198" s="826"/>
    </row>
    <row r="199" spans="1:9" customFormat="1" ht="15.75" thickBot="1" x14ac:dyDescent="0.3">
      <c r="A199" s="5" t="s">
        <v>21</v>
      </c>
      <c r="B199" s="10">
        <f>B198/B197</f>
        <v>178.57142857142858</v>
      </c>
      <c r="C199" s="10" t="e">
        <f>C198/C197</f>
        <v>#DIV/0!</v>
      </c>
      <c r="D199" s="10">
        <f>D198/D197</f>
        <v>193.33333333333334</v>
      </c>
      <c r="E199" s="10">
        <f>E198/E197</f>
        <v>193.33333333333334</v>
      </c>
      <c r="F199" s="826"/>
    </row>
    <row r="200" spans="1:9" customFormat="1" ht="15.75" thickBot="1" x14ac:dyDescent="0.3">
      <c r="A200" s="5" t="s">
        <v>22</v>
      </c>
      <c r="B200" s="225" t="s">
        <v>23</v>
      </c>
      <c r="C200" s="11">
        <f t="shared" ref="C200:E202" si="5">C197/B197-1</f>
        <v>-1</v>
      </c>
      <c r="D200" s="11" t="e">
        <f t="shared" si="5"/>
        <v>#DIV/0!</v>
      </c>
      <c r="E200" s="11">
        <f t="shared" si="5"/>
        <v>0</v>
      </c>
      <c r="F200" s="827"/>
      <c r="G200" s="12"/>
      <c r="H200" s="12"/>
      <c r="I200" s="12"/>
    </row>
    <row r="201" spans="1:9" customFormat="1" ht="15.75" thickBot="1" x14ac:dyDescent="0.3">
      <c r="A201" s="5" t="s">
        <v>24</v>
      </c>
      <c r="B201" s="225" t="s">
        <v>23</v>
      </c>
      <c r="C201" s="11">
        <f t="shared" si="5"/>
        <v>-1</v>
      </c>
      <c r="D201" s="11" t="e">
        <f t="shared" si="5"/>
        <v>#DIV/0!</v>
      </c>
      <c r="E201" s="11">
        <f t="shared" si="5"/>
        <v>0</v>
      </c>
      <c r="F201" s="826"/>
    </row>
    <row r="202" spans="1:9" customFormat="1" ht="15.75" thickBot="1" x14ac:dyDescent="0.3">
      <c r="A202" s="5" t="s">
        <v>25</v>
      </c>
      <c r="B202" s="225" t="s">
        <v>23</v>
      </c>
      <c r="C202" s="11" t="e">
        <f t="shared" si="5"/>
        <v>#DIV/0!</v>
      </c>
      <c r="D202" s="11" t="e">
        <f t="shared" si="5"/>
        <v>#DIV/0!</v>
      </c>
      <c r="E202" s="11">
        <f t="shared" si="5"/>
        <v>0</v>
      </c>
      <c r="F202" s="826"/>
    </row>
    <row r="203" spans="1:9" customFormat="1" ht="15.75" customHeight="1" thickBot="1" x14ac:dyDescent="0.3">
      <c r="A203" s="1252" t="s">
        <v>633</v>
      </c>
      <c r="B203" s="1253"/>
      <c r="C203" s="1253"/>
      <c r="D203" s="1253"/>
      <c r="E203" s="1300"/>
      <c r="F203" s="826"/>
    </row>
    <row r="204" spans="1:9" customFormat="1" ht="12.75" customHeight="1" x14ac:dyDescent="0.25">
      <c r="A204" s="1250"/>
      <c r="B204" s="8">
        <v>2018</v>
      </c>
      <c r="C204" s="8">
        <v>2019</v>
      </c>
      <c r="D204" s="8">
        <v>2020</v>
      </c>
      <c r="E204" s="8">
        <v>2021</v>
      </c>
      <c r="F204" s="826"/>
    </row>
    <row r="205" spans="1:9" customFormat="1" ht="9" customHeight="1" thickBot="1" x14ac:dyDescent="0.3">
      <c r="A205" s="1251"/>
      <c r="B205" s="9" t="s">
        <v>10</v>
      </c>
      <c r="C205" s="9" t="s">
        <v>11</v>
      </c>
      <c r="D205" s="9" t="s">
        <v>11</v>
      </c>
      <c r="E205" s="9" t="s">
        <v>11</v>
      </c>
      <c r="F205" s="826"/>
    </row>
    <row r="206" spans="1:9" customFormat="1" ht="15.75" thickBot="1" x14ac:dyDescent="0.3">
      <c r="A206" s="13" t="s">
        <v>58</v>
      </c>
      <c r="B206" s="14"/>
      <c r="C206" s="14"/>
      <c r="D206" s="14"/>
      <c r="E206" s="14"/>
      <c r="F206" s="826"/>
    </row>
    <row r="207" spans="1:9" customFormat="1" ht="15.75" thickBot="1" x14ac:dyDescent="0.3">
      <c r="A207" s="13" t="s">
        <v>59</v>
      </c>
      <c r="B207" s="15">
        <v>2500</v>
      </c>
      <c r="C207" s="14">
        <v>0</v>
      </c>
      <c r="D207" s="14">
        <v>5800</v>
      </c>
      <c r="E207" s="14">
        <v>5800</v>
      </c>
      <c r="F207" s="826"/>
    </row>
    <row r="208" spans="1:9" ht="15.75" thickBot="1" x14ac:dyDescent="0.3">
      <c r="A208" s="829" t="s">
        <v>40</v>
      </c>
      <c r="B208" s="144">
        <f>B207+B206</f>
        <v>2500</v>
      </c>
      <c r="C208" s="144">
        <f>C207+C206</f>
        <v>0</v>
      </c>
      <c r="D208" s="144">
        <f>D207+D206</f>
        <v>5800</v>
      </c>
      <c r="E208" s="144">
        <f>E207+E206</f>
        <v>5800</v>
      </c>
    </row>
    <row r="209" spans="1:9" customFormat="1" ht="13.5" customHeight="1" x14ac:dyDescent="0.25">
      <c r="A209" s="1254" t="s">
        <v>60</v>
      </c>
      <c r="B209" s="1322"/>
      <c r="C209" s="1289"/>
      <c r="D209" s="1289"/>
      <c r="E209" s="1290"/>
      <c r="F209" s="826"/>
    </row>
    <row r="210" spans="1:9" customFormat="1" ht="13.5" customHeight="1" x14ac:dyDescent="0.25">
      <c r="A210" s="1255"/>
      <c r="B210" s="1291"/>
      <c r="C210" s="1292"/>
      <c r="D210" s="1292"/>
      <c r="E210" s="1293"/>
      <c r="F210" s="826"/>
    </row>
    <row r="211" spans="1:9" customFormat="1" ht="13.5" customHeight="1" thickBot="1" x14ac:dyDescent="0.3">
      <c r="A211" s="1256"/>
      <c r="B211" s="1294"/>
      <c r="C211" s="1295"/>
      <c r="D211" s="1295"/>
      <c r="E211" s="1296"/>
      <c r="F211" s="826"/>
    </row>
    <row r="212" spans="1:9" ht="15.75" thickBot="1" x14ac:dyDescent="0.3">
      <c r="A212" s="2302" t="s">
        <v>63</v>
      </c>
      <c r="B212" s="2303"/>
      <c r="C212" s="2303"/>
      <c r="D212" s="2303"/>
      <c r="E212" s="2304"/>
    </row>
    <row r="213" spans="1:9" ht="15.75" thickBot="1" x14ac:dyDescent="0.3">
      <c r="A213" s="2302" t="s">
        <v>64</v>
      </c>
      <c r="B213" s="2303"/>
      <c r="C213" s="2303"/>
      <c r="D213" s="2303"/>
      <c r="E213" s="2304"/>
    </row>
    <row r="214" spans="1:9" customFormat="1" ht="15.75" thickBot="1" x14ac:dyDescent="0.3">
      <c r="A214" s="20" t="s">
        <v>828</v>
      </c>
      <c r="B214" s="1241" t="s">
        <v>829</v>
      </c>
      <c r="C214" s="1242"/>
      <c r="D214" s="1242"/>
      <c r="E214" s="1318"/>
      <c r="F214" s="826"/>
    </row>
    <row r="215" spans="1:9" customFormat="1" ht="15.75" thickBot="1" x14ac:dyDescent="0.3">
      <c r="A215" s="7" t="s">
        <v>16</v>
      </c>
      <c r="B215" s="1243" t="s">
        <v>830</v>
      </c>
      <c r="C215" s="1244"/>
      <c r="D215" s="1244"/>
      <c r="E215" s="1315"/>
      <c r="F215" s="826"/>
    </row>
    <row r="216" spans="1:9" customFormat="1" ht="164.25" customHeight="1" thickBot="1" x14ac:dyDescent="0.3">
      <c r="A216" s="5" t="s">
        <v>17</v>
      </c>
      <c r="B216" s="2320" t="s">
        <v>1466</v>
      </c>
      <c r="C216" s="2321"/>
      <c r="D216" s="2321"/>
      <c r="E216" s="2322"/>
      <c r="F216" s="826"/>
    </row>
    <row r="217" spans="1:9" customFormat="1" ht="15.75" thickBot="1" x14ac:dyDescent="0.3">
      <c r="A217" s="5" t="s">
        <v>18</v>
      </c>
      <c r="B217" s="2299" t="s">
        <v>776</v>
      </c>
      <c r="C217" s="2300"/>
      <c r="D217" s="2300"/>
      <c r="E217" s="2301"/>
      <c r="F217" s="826"/>
    </row>
    <row r="218" spans="1:9" customFormat="1" ht="12.75" customHeight="1" x14ac:dyDescent="0.25">
      <c r="A218" s="1250"/>
      <c r="B218" s="8">
        <v>2018</v>
      </c>
      <c r="C218" s="8">
        <v>2019</v>
      </c>
      <c r="D218" s="8">
        <v>2020</v>
      </c>
      <c r="E218" s="8">
        <v>2021</v>
      </c>
      <c r="F218" s="826"/>
    </row>
    <row r="219" spans="1:9" customFormat="1" ht="9" customHeight="1" thickBot="1" x14ac:dyDescent="0.3">
      <c r="A219" s="1251"/>
      <c r="B219" s="9" t="s">
        <v>10</v>
      </c>
      <c r="C219" s="9" t="s">
        <v>11</v>
      </c>
      <c r="D219" s="9" t="s">
        <v>11</v>
      </c>
      <c r="E219" s="9" t="s">
        <v>11</v>
      </c>
      <c r="F219" s="826"/>
    </row>
    <row r="220" spans="1:9" customFormat="1" ht="15.75" thickBot="1" x14ac:dyDescent="0.3">
      <c r="A220" s="5" t="s">
        <v>19</v>
      </c>
      <c r="B220" s="143">
        <v>1</v>
      </c>
      <c r="C220" s="143">
        <v>1</v>
      </c>
      <c r="D220" s="143">
        <v>1</v>
      </c>
      <c r="E220" s="143">
        <v>0</v>
      </c>
      <c r="F220" s="826"/>
    </row>
    <row r="221" spans="1:9" customFormat="1" ht="15.75" thickBot="1" x14ac:dyDescent="0.3">
      <c r="A221" s="5" t="s">
        <v>20</v>
      </c>
      <c r="B221" s="10">
        <v>4500</v>
      </c>
      <c r="C221" s="10">
        <v>40000</v>
      </c>
      <c r="D221" s="10">
        <v>30000</v>
      </c>
      <c r="E221" s="10">
        <v>30000</v>
      </c>
      <c r="F221" s="826"/>
    </row>
    <row r="222" spans="1:9" customFormat="1" ht="15.75" thickBot="1" x14ac:dyDescent="0.3">
      <c r="A222" s="5" t="s">
        <v>21</v>
      </c>
      <c r="B222" s="10">
        <f>B221/B220</f>
        <v>4500</v>
      </c>
      <c r="C222" s="10">
        <f>C221/C220</f>
        <v>40000</v>
      </c>
      <c r="D222" s="10">
        <f>D221/D220</f>
        <v>30000</v>
      </c>
      <c r="E222" s="10" t="e">
        <f>E221/E220</f>
        <v>#DIV/0!</v>
      </c>
      <c r="F222" s="826"/>
    </row>
    <row r="223" spans="1:9" customFormat="1" ht="15.75" thickBot="1" x14ac:dyDescent="0.3">
      <c r="A223" s="5" t="s">
        <v>22</v>
      </c>
      <c r="B223" s="225" t="s">
        <v>23</v>
      </c>
      <c r="C223" s="11">
        <f t="shared" ref="C223:E225" si="6">C220/B220-1</f>
        <v>0</v>
      </c>
      <c r="D223" s="11">
        <f t="shared" si="6"/>
        <v>0</v>
      </c>
      <c r="E223" s="11">
        <f t="shared" si="6"/>
        <v>-1</v>
      </c>
      <c r="F223" s="827"/>
      <c r="G223" s="12"/>
      <c r="H223" s="12"/>
      <c r="I223" s="12"/>
    </row>
    <row r="224" spans="1:9" customFormat="1" ht="15.75" thickBot="1" x14ac:dyDescent="0.3">
      <c r="A224" s="5" t="s">
        <v>24</v>
      </c>
      <c r="B224" s="225" t="s">
        <v>23</v>
      </c>
      <c r="C224" s="11">
        <f t="shared" si="6"/>
        <v>7.8888888888888893</v>
      </c>
      <c r="D224" s="11">
        <f t="shared" si="6"/>
        <v>-0.25</v>
      </c>
      <c r="E224" s="11">
        <f t="shared" si="6"/>
        <v>0</v>
      </c>
      <c r="F224" s="826"/>
    </row>
    <row r="225" spans="1:6" customFormat="1" ht="15.75" thickBot="1" x14ac:dyDescent="0.3">
      <c r="A225" s="5" t="s">
        <v>25</v>
      </c>
      <c r="B225" s="225" t="s">
        <v>23</v>
      </c>
      <c r="C225" s="11">
        <f t="shared" si="6"/>
        <v>7.8888888888888893</v>
      </c>
      <c r="D225" s="11">
        <f t="shared" si="6"/>
        <v>-0.25</v>
      </c>
      <c r="E225" s="11" t="e">
        <f t="shared" si="6"/>
        <v>#DIV/0!</v>
      </c>
      <c r="F225" s="826"/>
    </row>
    <row r="226" spans="1:6" customFormat="1" ht="15.75" customHeight="1" thickBot="1" x14ac:dyDescent="0.3">
      <c r="A226" s="1252" t="s">
        <v>633</v>
      </c>
      <c r="B226" s="1253"/>
      <c r="C226" s="1253"/>
      <c r="D226" s="1253"/>
      <c r="E226" s="1300"/>
      <c r="F226" s="826"/>
    </row>
    <row r="227" spans="1:6" customFormat="1" ht="12.75" customHeight="1" x14ac:dyDescent="0.25">
      <c r="A227" s="1250"/>
      <c r="B227" s="8">
        <v>2018</v>
      </c>
      <c r="C227" s="8">
        <v>2019</v>
      </c>
      <c r="D227" s="8">
        <v>2020</v>
      </c>
      <c r="E227" s="8">
        <v>2021</v>
      </c>
      <c r="F227" s="826"/>
    </row>
    <row r="228" spans="1:6" customFormat="1" ht="6.75" customHeight="1" thickBot="1" x14ac:dyDescent="0.3">
      <c r="A228" s="1251"/>
      <c r="B228" s="9" t="s">
        <v>10</v>
      </c>
      <c r="C228" s="9" t="s">
        <v>11</v>
      </c>
      <c r="D228" s="9" t="s">
        <v>11</v>
      </c>
      <c r="E228" s="9" t="s">
        <v>11</v>
      </c>
      <c r="F228" s="826"/>
    </row>
    <row r="229" spans="1:6" customFormat="1" ht="12" customHeight="1" thickBot="1" x14ac:dyDescent="0.3">
      <c r="A229" s="13" t="s">
        <v>58</v>
      </c>
      <c r="B229" s="14">
        <v>4500</v>
      </c>
      <c r="C229" s="14"/>
      <c r="D229" s="14"/>
      <c r="E229" s="14"/>
      <c r="F229" s="826"/>
    </row>
    <row r="230" spans="1:6" customFormat="1" ht="12.75" customHeight="1" thickBot="1" x14ac:dyDescent="0.3">
      <c r="A230" s="13" t="s">
        <v>59</v>
      </c>
      <c r="B230" s="15"/>
      <c r="C230" s="14">
        <v>40000</v>
      </c>
      <c r="D230" s="14">
        <v>30000</v>
      </c>
      <c r="E230" s="14">
        <v>30000</v>
      </c>
      <c r="F230" s="826"/>
    </row>
    <row r="231" spans="1:6" ht="15.75" thickBot="1" x14ac:dyDescent="0.3">
      <c r="A231" s="829" t="s">
        <v>40</v>
      </c>
      <c r="B231" s="144">
        <f>B230+B229</f>
        <v>4500</v>
      </c>
      <c r="C231" s="144">
        <f>C230+C229</f>
        <v>40000</v>
      </c>
      <c r="D231" s="144">
        <f>D230+D229</f>
        <v>30000</v>
      </c>
      <c r="E231" s="144">
        <v>30000</v>
      </c>
    </row>
    <row r="232" spans="1:6" customFormat="1" ht="15" customHeight="1" x14ac:dyDescent="0.25">
      <c r="A232" s="1254" t="s">
        <v>60</v>
      </c>
      <c r="B232" s="1322"/>
      <c r="C232" s="1289"/>
      <c r="D232" s="1289"/>
      <c r="E232" s="1290"/>
      <c r="F232" s="826"/>
    </row>
    <row r="233" spans="1:6" customFormat="1" x14ac:dyDescent="0.25">
      <c r="A233" s="1255"/>
      <c r="B233" s="1291"/>
      <c r="C233" s="1292"/>
      <c r="D233" s="1292"/>
      <c r="E233" s="1293"/>
      <c r="F233" s="826"/>
    </row>
    <row r="234" spans="1:6" customFormat="1" ht="15.75" thickBot="1" x14ac:dyDescent="0.3">
      <c r="A234" s="1256"/>
      <c r="B234" s="1294"/>
      <c r="C234" s="1295"/>
      <c r="D234" s="1295"/>
      <c r="E234" s="1296"/>
      <c r="F234" s="826"/>
    </row>
    <row r="235" spans="1:6" customFormat="1" ht="15.75" customHeight="1" thickBot="1" x14ac:dyDescent="0.3">
      <c r="A235" s="20" t="s">
        <v>831</v>
      </c>
      <c r="B235" s="1241" t="s">
        <v>832</v>
      </c>
      <c r="C235" s="1242"/>
      <c r="D235" s="1242"/>
      <c r="E235" s="1318"/>
      <c r="F235" s="826"/>
    </row>
    <row r="236" spans="1:6" customFormat="1" ht="15.75" thickBot="1" x14ac:dyDescent="0.3">
      <c r="A236" s="7" t="s">
        <v>123</v>
      </c>
      <c r="B236" s="1243" t="s">
        <v>833</v>
      </c>
      <c r="C236" s="1244"/>
      <c r="D236" s="1244"/>
      <c r="E236" s="1315"/>
      <c r="F236" s="826"/>
    </row>
    <row r="237" spans="1:6" customFormat="1" ht="32.450000000000003" customHeight="1" thickBot="1" x14ac:dyDescent="0.3">
      <c r="A237" s="5" t="s">
        <v>17</v>
      </c>
      <c r="B237" s="1769" t="s">
        <v>834</v>
      </c>
      <c r="C237" s="1770"/>
      <c r="D237" s="1770"/>
      <c r="E237" s="1771"/>
      <c r="F237" s="826"/>
    </row>
    <row r="238" spans="1:6" customFormat="1" ht="15.75" thickBot="1" x14ac:dyDescent="0.3">
      <c r="A238" s="5" t="s">
        <v>18</v>
      </c>
      <c r="B238" s="2299" t="s">
        <v>144</v>
      </c>
      <c r="C238" s="2300"/>
      <c r="D238" s="2300"/>
      <c r="E238" s="2301"/>
      <c r="F238" s="826"/>
    </row>
    <row r="239" spans="1:6" customFormat="1" ht="12.75" customHeight="1" x14ac:dyDescent="0.25">
      <c r="A239" s="1250"/>
      <c r="B239" s="8">
        <v>2018</v>
      </c>
      <c r="C239" s="8">
        <v>2019</v>
      </c>
      <c r="D239" s="8">
        <v>2020</v>
      </c>
      <c r="E239" s="8">
        <v>2021</v>
      </c>
      <c r="F239" s="826"/>
    </row>
    <row r="240" spans="1:6" customFormat="1" ht="9" customHeight="1" thickBot="1" x14ac:dyDescent="0.3">
      <c r="A240" s="1251"/>
      <c r="B240" s="9" t="s">
        <v>10</v>
      </c>
      <c r="C240" s="9" t="s">
        <v>11</v>
      </c>
      <c r="D240" s="9" t="s">
        <v>11</v>
      </c>
      <c r="E240" s="9" t="s">
        <v>11</v>
      </c>
      <c r="F240" s="826"/>
    </row>
    <row r="241" spans="1:9" customFormat="1" ht="15.75" thickBot="1" x14ac:dyDescent="0.3">
      <c r="A241" s="5" t="s">
        <v>19</v>
      </c>
      <c r="B241" s="143">
        <v>0</v>
      </c>
      <c r="C241" s="143">
        <v>0</v>
      </c>
      <c r="D241" s="143">
        <v>4</v>
      </c>
      <c r="E241" s="143">
        <v>4</v>
      </c>
      <c r="F241" s="826"/>
    </row>
    <row r="242" spans="1:9" customFormat="1" ht="15.75" thickBot="1" x14ac:dyDescent="0.3">
      <c r="A242" s="5" t="s">
        <v>20</v>
      </c>
      <c r="B242" s="10">
        <v>0</v>
      </c>
      <c r="C242" s="10">
        <v>0</v>
      </c>
      <c r="D242" s="10">
        <v>15000</v>
      </c>
      <c r="E242" s="10">
        <v>15000</v>
      </c>
      <c r="F242" s="826"/>
    </row>
    <row r="243" spans="1:9" customFormat="1" ht="15.75" thickBot="1" x14ac:dyDescent="0.3">
      <c r="A243" s="5" t="s">
        <v>21</v>
      </c>
      <c r="B243" s="10" t="e">
        <f>B242/B241</f>
        <v>#DIV/0!</v>
      </c>
      <c r="C243" s="10" t="e">
        <f>C242/C241</f>
        <v>#DIV/0!</v>
      </c>
      <c r="D243" s="10">
        <f>D242/D241</f>
        <v>3750</v>
      </c>
      <c r="E243" s="10">
        <f>E242/E241</f>
        <v>3750</v>
      </c>
      <c r="F243" s="826"/>
    </row>
    <row r="244" spans="1:9" customFormat="1" ht="15.75" thickBot="1" x14ac:dyDescent="0.3">
      <c r="A244" s="5" t="s">
        <v>22</v>
      </c>
      <c r="B244" s="225" t="s">
        <v>23</v>
      </c>
      <c r="C244" s="11" t="e">
        <f t="shared" ref="C244:E246" si="7">C241/B241-1</f>
        <v>#DIV/0!</v>
      </c>
      <c r="D244" s="11" t="e">
        <f t="shared" si="7"/>
        <v>#DIV/0!</v>
      </c>
      <c r="E244" s="11">
        <f t="shared" si="7"/>
        <v>0</v>
      </c>
      <c r="F244" s="827"/>
      <c r="G244" s="12"/>
      <c r="H244" s="12"/>
      <c r="I244" s="12"/>
    </row>
    <row r="245" spans="1:9" customFormat="1" ht="15.75" thickBot="1" x14ac:dyDescent="0.3">
      <c r="A245" s="5" t="s">
        <v>24</v>
      </c>
      <c r="B245" s="225" t="s">
        <v>23</v>
      </c>
      <c r="C245" s="11" t="e">
        <f t="shared" si="7"/>
        <v>#DIV/0!</v>
      </c>
      <c r="D245" s="11" t="e">
        <f t="shared" si="7"/>
        <v>#DIV/0!</v>
      </c>
      <c r="E245" s="11">
        <f t="shared" si="7"/>
        <v>0</v>
      </c>
      <c r="F245" s="826"/>
    </row>
    <row r="246" spans="1:9" customFormat="1" ht="15.75" thickBot="1" x14ac:dyDescent="0.3">
      <c r="A246" s="5" t="s">
        <v>25</v>
      </c>
      <c r="B246" s="225" t="s">
        <v>23</v>
      </c>
      <c r="C246" s="11" t="e">
        <f t="shared" si="7"/>
        <v>#DIV/0!</v>
      </c>
      <c r="D246" s="11" t="e">
        <f t="shared" si="7"/>
        <v>#DIV/0!</v>
      </c>
      <c r="E246" s="11">
        <f t="shared" si="7"/>
        <v>0</v>
      </c>
      <c r="F246" s="826"/>
    </row>
    <row r="247" spans="1:9" customFormat="1" ht="15.75" customHeight="1" thickBot="1" x14ac:dyDescent="0.3">
      <c r="A247" s="1252" t="s">
        <v>635</v>
      </c>
      <c r="B247" s="1253"/>
      <c r="C247" s="1253"/>
      <c r="D247" s="1253"/>
      <c r="E247" s="1300"/>
      <c r="F247" s="826"/>
    </row>
    <row r="248" spans="1:9" customFormat="1" ht="12.75" customHeight="1" x14ac:dyDescent="0.25">
      <c r="A248" s="1250"/>
      <c r="B248" s="8">
        <v>2018</v>
      </c>
      <c r="C248" s="8">
        <v>2019</v>
      </c>
      <c r="D248" s="8">
        <v>2020</v>
      </c>
      <c r="E248" s="8">
        <v>2021</v>
      </c>
      <c r="F248" s="826"/>
    </row>
    <row r="249" spans="1:9" customFormat="1" ht="9" customHeight="1" thickBot="1" x14ac:dyDescent="0.3">
      <c r="A249" s="1251"/>
      <c r="B249" s="9" t="s">
        <v>10</v>
      </c>
      <c r="C249" s="9" t="s">
        <v>11</v>
      </c>
      <c r="D249" s="9" t="s">
        <v>11</v>
      </c>
      <c r="E249" s="9" t="s">
        <v>11</v>
      </c>
      <c r="F249" s="826"/>
    </row>
    <row r="250" spans="1:9" customFormat="1" ht="15.75" thickBot="1" x14ac:dyDescent="0.3">
      <c r="A250" s="13" t="s">
        <v>58</v>
      </c>
      <c r="B250" s="14"/>
      <c r="C250" s="14"/>
      <c r="D250" s="14"/>
      <c r="E250" s="14"/>
      <c r="F250" s="826"/>
    </row>
    <row r="251" spans="1:9" customFormat="1" ht="15.75" thickBot="1" x14ac:dyDescent="0.3">
      <c r="A251" s="13" t="s">
        <v>59</v>
      </c>
      <c r="B251" s="15"/>
      <c r="C251" s="14"/>
      <c r="D251" s="14">
        <v>15000</v>
      </c>
      <c r="E251" s="14">
        <v>15000</v>
      </c>
      <c r="F251" s="826"/>
    </row>
    <row r="252" spans="1:9" ht="15.75" thickBot="1" x14ac:dyDescent="0.3">
      <c r="A252" s="829" t="s">
        <v>74</v>
      </c>
      <c r="B252" s="144">
        <f>B251+B250</f>
        <v>0</v>
      </c>
      <c r="C252" s="144">
        <f>C251+C250</f>
        <v>0</v>
      </c>
      <c r="D252" s="144">
        <f>D251+D250</f>
        <v>15000</v>
      </c>
      <c r="E252" s="144">
        <f>E251+E250</f>
        <v>15000</v>
      </c>
    </row>
    <row r="253" spans="1:9" customFormat="1" ht="15" customHeight="1" x14ac:dyDescent="0.25">
      <c r="A253" s="1254" t="s">
        <v>62</v>
      </c>
      <c r="B253" s="1322"/>
      <c r="C253" s="1289"/>
      <c r="D253" s="1289"/>
      <c r="E253" s="1290"/>
      <c r="F253" s="826"/>
    </row>
    <row r="254" spans="1:9" customFormat="1" x14ac:dyDescent="0.25">
      <c r="A254" s="1255"/>
      <c r="B254" s="1291"/>
      <c r="C254" s="1292"/>
      <c r="D254" s="1292"/>
      <c r="E254" s="1293"/>
      <c r="F254" s="826"/>
    </row>
    <row r="255" spans="1:9" customFormat="1" ht="15.75" thickBot="1" x14ac:dyDescent="0.3">
      <c r="A255" s="1256"/>
      <c r="B255" s="1294"/>
      <c r="C255" s="1295"/>
      <c r="D255" s="1295"/>
      <c r="E255" s="1296"/>
      <c r="F255" s="826"/>
    </row>
    <row r="256" spans="1:9" customFormat="1" ht="15.75" customHeight="1" thickBot="1" x14ac:dyDescent="0.3">
      <c r="A256" s="20" t="s">
        <v>835</v>
      </c>
      <c r="B256" s="1241" t="s">
        <v>836</v>
      </c>
      <c r="C256" s="1242"/>
      <c r="D256" s="1242"/>
      <c r="E256" s="1318"/>
      <c r="F256" s="826"/>
    </row>
    <row r="257" spans="1:9" customFormat="1" ht="15.75" thickBot="1" x14ac:dyDescent="0.3">
      <c r="A257" s="7" t="s">
        <v>123</v>
      </c>
      <c r="B257" s="1243" t="s">
        <v>837</v>
      </c>
      <c r="C257" s="1244"/>
      <c r="D257" s="1244"/>
      <c r="E257" s="1315"/>
      <c r="F257" s="826"/>
    </row>
    <row r="258" spans="1:9" customFormat="1" ht="17.25" customHeight="1" thickBot="1" x14ac:dyDescent="0.3">
      <c r="A258" s="5" t="s">
        <v>17</v>
      </c>
      <c r="B258" s="2299" t="s">
        <v>838</v>
      </c>
      <c r="C258" s="2300"/>
      <c r="D258" s="2300"/>
      <c r="E258" s="2301"/>
      <c r="F258" s="826"/>
    </row>
    <row r="259" spans="1:9" customFormat="1" ht="15.75" thickBot="1" x14ac:dyDescent="0.3">
      <c r="A259" s="5" t="s">
        <v>18</v>
      </c>
      <c r="B259" s="2299" t="s">
        <v>1465</v>
      </c>
      <c r="C259" s="2300"/>
      <c r="D259" s="2300"/>
      <c r="E259" s="2301"/>
      <c r="F259" s="826"/>
    </row>
    <row r="260" spans="1:9" customFormat="1" ht="12.75" customHeight="1" x14ac:dyDescent="0.25">
      <c r="A260" s="1250"/>
      <c r="B260" s="8">
        <v>2018</v>
      </c>
      <c r="C260" s="8">
        <v>2019</v>
      </c>
      <c r="D260" s="8">
        <v>2020</v>
      </c>
      <c r="E260" s="8">
        <v>2021</v>
      </c>
      <c r="F260" s="826"/>
    </row>
    <row r="261" spans="1:9" customFormat="1" ht="9" customHeight="1" thickBot="1" x14ac:dyDescent="0.3">
      <c r="A261" s="1251"/>
      <c r="B261" s="9" t="s">
        <v>10</v>
      </c>
      <c r="C261" s="9" t="s">
        <v>11</v>
      </c>
      <c r="D261" s="9" t="s">
        <v>11</v>
      </c>
      <c r="E261" s="9" t="s">
        <v>11</v>
      </c>
      <c r="F261" s="826"/>
    </row>
    <row r="262" spans="1:9" customFormat="1" ht="15.75" thickBot="1" x14ac:dyDescent="0.3">
      <c r="A262" s="5" t="s">
        <v>19</v>
      </c>
      <c r="B262" s="10">
        <v>2</v>
      </c>
      <c r="C262" s="10">
        <v>3</v>
      </c>
      <c r="D262" s="10">
        <v>3</v>
      </c>
      <c r="E262" s="10">
        <v>0</v>
      </c>
      <c r="F262" s="826"/>
    </row>
    <row r="263" spans="1:9" customFormat="1" ht="15.75" thickBot="1" x14ac:dyDescent="0.3">
      <c r="A263" s="5" t="s">
        <v>20</v>
      </c>
      <c r="B263" s="10">
        <v>5000</v>
      </c>
      <c r="C263" s="10">
        <v>8000</v>
      </c>
      <c r="D263" s="10">
        <v>8000</v>
      </c>
      <c r="E263" s="10">
        <v>0</v>
      </c>
      <c r="F263" s="826"/>
    </row>
    <row r="264" spans="1:9" customFormat="1" ht="15.75" thickBot="1" x14ac:dyDescent="0.3">
      <c r="A264" s="5" t="s">
        <v>21</v>
      </c>
      <c r="B264" s="10">
        <f>B263/B262</f>
        <v>2500</v>
      </c>
      <c r="C264" s="10">
        <f>C263/C262</f>
        <v>2666.6666666666665</v>
      </c>
      <c r="D264" s="10">
        <f>D263/D262</f>
        <v>2666.6666666666665</v>
      </c>
      <c r="E264" s="10" t="e">
        <f>E263/E262</f>
        <v>#DIV/0!</v>
      </c>
      <c r="F264" s="826"/>
    </row>
    <row r="265" spans="1:9" customFormat="1" ht="15.75" thickBot="1" x14ac:dyDescent="0.3">
      <c r="A265" s="5" t="s">
        <v>22</v>
      </c>
      <c r="B265" s="225" t="s">
        <v>23</v>
      </c>
      <c r="C265" s="11">
        <f t="shared" ref="C265:E267" si="8">C262/B262-1</f>
        <v>0.5</v>
      </c>
      <c r="D265" s="11">
        <f t="shared" si="8"/>
        <v>0</v>
      </c>
      <c r="E265" s="11">
        <f t="shared" si="8"/>
        <v>-1</v>
      </c>
      <c r="F265" s="827"/>
      <c r="G265" s="12"/>
      <c r="H265" s="12"/>
      <c r="I265" s="12"/>
    </row>
    <row r="266" spans="1:9" customFormat="1" ht="15.75" thickBot="1" x14ac:dyDescent="0.3">
      <c r="A266" s="5" t="s">
        <v>24</v>
      </c>
      <c r="B266" s="225" t="s">
        <v>23</v>
      </c>
      <c r="C266" s="11">
        <f t="shared" si="8"/>
        <v>0.60000000000000009</v>
      </c>
      <c r="D266" s="11">
        <f t="shared" si="8"/>
        <v>0</v>
      </c>
      <c r="E266" s="11">
        <f t="shared" si="8"/>
        <v>-1</v>
      </c>
      <c r="F266" s="826"/>
    </row>
    <row r="267" spans="1:9" customFormat="1" ht="15.75" thickBot="1" x14ac:dyDescent="0.3">
      <c r="A267" s="5" t="s">
        <v>25</v>
      </c>
      <c r="B267" s="225" t="s">
        <v>23</v>
      </c>
      <c r="C267" s="11">
        <f t="shared" si="8"/>
        <v>6.6666666666666652E-2</v>
      </c>
      <c r="D267" s="11">
        <f t="shared" si="8"/>
        <v>0</v>
      </c>
      <c r="E267" s="11" t="e">
        <f t="shared" si="8"/>
        <v>#DIV/0!</v>
      </c>
      <c r="F267" s="826"/>
    </row>
    <row r="268" spans="1:9" customFormat="1" ht="15.75" customHeight="1" thickBot="1" x14ac:dyDescent="0.3">
      <c r="A268" s="1252" t="s">
        <v>635</v>
      </c>
      <c r="B268" s="1253"/>
      <c r="C268" s="1253"/>
      <c r="D268" s="1253"/>
      <c r="E268" s="1300"/>
      <c r="F268" s="826"/>
    </row>
    <row r="269" spans="1:9" customFormat="1" ht="12.75" customHeight="1" x14ac:dyDescent="0.25">
      <c r="A269" s="1250"/>
      <c r="B269" s="8">
        <v>2018</v>
      </c>
      <c r="C269" s="8">
        <v>2019</v>
      </c>
      <c r="D269" s="8">
        <v>2020</v>
      </c>
      <c r="E269" s="8">
        <v>2021</v>
      </c>
      <c r="F269" s="826"/>
    </row>
    <row r="270" spans="1:9" customFormat="1" ht="9" customHeight="1" thickBot="1" x14ac:dyDescent="0.3">
      <c r="A270" s="1251"/>
      <c r="B270" s="9" t="s">
        <v>10</v>
      </c>
      <c r="C270" s="9" t="s">
        <v>11</v>
      </c>
      <c r="D270" s="9" t="s">
        <v>11</v>
      </c>
      <c r="E270" s="9" t="s">
        <v>11</v>
      </c>
      <c r="F270" s="826"/>
    </row>
    <row r="271" spans="1:9" customFormat="1" ht="15.75" thickBot="1" x14ac:dyDescent="0.3">
      <c r="A271" s="13" t="s">
        <v>58</v>
      </c>
      <c r="B271" s="10">
        <v>5000</v>
      </c>
      <c r="C271" s="10">
        <v>8000</v>
      </c>
      <c r="D271" s="10">
        <v>8000</v>
      </c>
      <c r="E271" s="14"/>
      <c r="F271" s="826"/>
    </row>
    <row r="272" spans="1:9" customFormat="1" ht="15.75" thickBot="1" x14ac:dyDescent="0.3">
      <c r="A272" s="13" t="s">
        <v>59</v>
      </c>
      <c r="B272" s="15"/>
      <c r="C272" s="14"/>
      <c r="D272" s="14"/>
      <c r="E272" s="14"/>
      <c r="F272" s="826"/>
    </row>
    <row r="273" spans="1:8" ht="15.75" thickBot="1" x14ac:dyDescent="0.3">
      <c r="A273" s="829" t="s">
        <v>74</v>
      </c>
      <c r="B273" s="144">
        <f>B272+B271</f>
        <v>5000</v>
      </c>
      <c r="C273" s="144">
        <f>C272+C271</f>
        <v>8000</v>
      </c>
      <c r="D273" s="144">
        <f>D272+D271</f>
        <v>8000</v>
      </c>
      <c r="E273" s="144">
        <f>E272+E271</f>
        <v>0</v>
      </c>
    </row>
    <row r="274" spans="1:8" customFormat="1" ht="15" customHeight="1" x14ac:dyDescent="0.25">
      <c r="A274" s="1254" t="s">
        <v>62</v>
      </c>
      <c r="B274" s="1322"/>
      <c r="C274" s="1289"/>
      <c r="D274" s="1289"/>
      <c r="E274" s="1290"/>
      <c r="F274" s="826"/>
    </row>
    <row r="275" spans="1:8" customFormat="1" x14ac:dyDescent="0.25">
      <c r="A275" s="1255"/>
      <c r="B275" s="1291"/>
      <c r="C275" s="1292"/>
      <c r="D275" s="1292"/>
      <c r="E275" s="1293"/>
      <c r="F275" s="826"/>
    </row>
    <row r="276" spans="1:8" customFormat="1" ht="0.75" customHeight="1" thickBot="1" x14ac:dyDescent="0.3">
      <c r="A276" s="1256"/>
      <c r="B276" s="1294"/>
      <c r="C276" s="1295"/>
      <c r="D276" s="1295"/>
      <c r="E276" s="1296"/>
      <c r="F276" s="826"/>
    </row>
    <row r="277" spans="1:8" ht="54" customHeight="1" thickBot="1" x14ac:dyDescent="0.3">
      <c r="A277" s="828" t="s">
        <v>75</v>
      </c>
      <c r="B277" s="2317" t="s">
        <v>839</v>
      </c>
      <c r="C277" s="2318"/>
      <c r="D277" s="2318"/>
      <c r="E277" s="2319"/>
    </row>
    <row r="278" spans="1:8" customFormat="1" ht="23.25" customHeight="1" thickBot="1" x14ac:dyDescent="0.3">
      <c r="A278" s="1769" t="s">
        <v>13</v>
      </c>
      <c r="B278" s="1770"/>
      <c r="C278" s="1770"/>
      <c r="D278" s="1770"/>
      <c r="E278" s="1771"/>
      <c r="F278" s="835"/>
      <c r="H278" s="35"/>
    </row>
    <row r="279" spans="1:8" customFormat="1" ht="45" customHeight="1" thickBot="1" x14ac:dyDescent="0.3">
      <c r="A279" s="819" t="s">
        <v>840</v>
      </c>
      <c r="B279" s="818">
        <v>0.35</v>
      </c>
      <c r="C279" s="818">
        <v>0.55000000000000004</v>
      </c>
      <c r="D279" s="818">
        <v>0.8</v>
      </c>
      <c r="E279" s="818">
        <v>1</v>
      </c>
      <c r="F279" s="826"/>
    </row>
    <row r="280" spans="1:8" customFormat="1" ht="15.75" thickBot="1" x14ac:dyDescent="0.3">
      <c r="A280" s="1273" t="s">
        <v>14</v>
      </c>
      <c r="B280" s="1274"/>
      <c r="C280" s="1274"/>
      <c r="D280" s="1274"/>
      <c r="E280" s="1299"/>
      <c r="F280" s="826"/>
    </row>
    <row r="281" spans="1:8" ht="15.75" thickBot="1" x14ac:dyDescent="0.3">
      <c r="A281" s="2302" t="s">
        <v>15</v>
      </c>
      <c r="B281" s="2303"/>
      <c r="C281" s="2303"/>
      <c r="D281" s="2303"/>
      <c r="E281" s="2304"/>
    </row>
    <row r="282" spans="1:8" customFormat="1" ht="15.75" thickBot="1" x14ac:dyDescent="0.3">
      <c r="A282" s="7" t="s">
        <v>16</v>
      </c>
      <c r="B282" s="2279" t="s">
        <v>841</v>
      </c>
      <c r="C282" s="2280"/>
      <c r="D282" s="2280"/>
      <c r="E282" s="2281"/>
      <c r="F282" s="826"/>
    </row>
    <row r="283" spans="1:8" customFormat="1" ht="24" customHeight="1" thickBot="1" x14ac:dyDescent="0.3">
      <c r="A283" s="5" t="s">
        <v>17</v>
      </c>
      <c r="B283" s="1766" t="s">
        <v>842</v>
      </c>
      <c r="C283" s="2315"/>
      <c r="D283" s="2315"/>
      <c r="E283" s="2316"/>
      <c r="F283" s="826"/>
    </row>
    <row r="284" spans="1:8" customFormat="1" ht="15.75" thickBot="1" x14ac:dyDescent="0.3">
      <c r="A284" s="5" t="s">
        <v>18</v>
      </c>
      <c r="B284" s="1717" t="s">
        <v>843</v>
      </c>
      <c r="C284" s="1718"/>
      <c r="D284" s="1718"/>
      <c r="E284" s="1719"/>
      <c r="F284" s="826"/>
    </row>
    <row r="285" spans="1:8" customFormat="1" ht="12.75" customHeight="1" x14ac:dyDescent="0.25">
      <c r="A285" s="1250"/>
      <c r="B285" s="8">
        <v>2018</v>
      </c>
      <c r="C285" s="8">
        <v>2019</v>
      </c>
      <c r="D285" s="8">
        <v>2020</v>
      </c>
      <c r="E285" s="8">
        <v>2021</v>
      </c>
      <c r="F285" s="826"/>
    </row>
    <row r="286" spans="1:8" customFormat="1" ht="9" customHeight="1" thickBot="1" x14ac:dyDescent="0.3">
      <c r="A286" s="1251"/>
      <c r="B286" s="9" t="s">
        <v>10</v>
      </c>
      <c r="C286" s="9" t="s">
        <v>11</v>
      </c>
      <c r="D286" s="9" t="s">
        <v>11</v>
      </c>
      <c r="E286" s="9" t="s">
        <v>11</v>
      </c>
      <c r="F286" s="826"/>
    </row>
    <row r="287" spans="1:8" customFormat="1" ht="15.75" thickBot="1" x14ac:dyDescent="0.3">
      <c r="A287" s="5" t="s">
        <v>19</v>
      </c>
      <c r="B287" s="833">
        <v>16</v>
      </c>
      <c r="C287" s="833">
        <v>5</v>
      </c>
      <c r="D287" s="833">
        <v>5</v>
      </c>
      <c r="E287" s="834"/>
      <c r="F287" s="826"/>
    </row>
    <row r="288" spans="1:8" customFormat="1" ht="15.75" thickBot="1" x14ac:dyDescent="0.3">
      <c r="A288" s="5" t="s">
        <v>20</v>
      </c>
      <c r="B288" s="10">
        <v>7489.5680000000002</v>
      </c>
      <c r="C288" s="10">
        <v>7489.5680000000002</v>
      </c>
      <c r="D288" s="10">
        <v>7489.5680000000002</v>
      </c>
      <c r="E288" s="10">
        <v>7489.5680000000002</v>
      </c>
      <c r="F288" s="826"/>
    </row>
    <row r="289" spans="1:9" customFormat="1" ht="15.75" thickBot="1" x14ac:dyDescent="0.3">
      <c r="A289" s="5" t="s">
        <v>21</v>
      </c>
      <c r="B289" s="10">
        <f>B288/B287</f>
        <v>468.09800000000001</v>
      </c>
      <c r="C289" s="10">
        <f>C288/C287</f>
        <v>1497.9136000000001</v>
      </c>
      <c r="D289" s="10">
        <f>D288/D287</f>
        <v>1497.9136000000001</v>
      </c>
      <c r="E289" s="10" t="e">
        <f>E288/E287</f>
        <v>#DIV/0!</v>
      </c>
      <c r="F289" s="826"/>
    </row>
    <row r="290" spans="1:9" customFormat="1" ht="15.75" thickBot="1" x14ac:dyDescent="0.3">
      <c r="A290" s="5" t="s">
        <v>22</v>
      </c>
      <c r="B290" s="225" t="s">
        <v>23</v>
      </c>
      <c r="C290" s="11">
        <f t="shared" ref="C290:E292" si="9">C287/B287-1</f>
        <v>-0.6875</v>
      </c>
      <c r="D290" s="11">
        <f t="shared" si="9"/>
        <v>0</v>
      </c>
      <c r="E290" s="11">
        <f t="shared" si="9"/>
        <v>-1</v>
      </c>
      <c r="F290" s="827"/>
      <c r="G290" s="12"/>
      <c r="H290" s="12"/>
      <c r="I290" s="12"/>
    </row>
    <row r="291" spans="1:9" customFormat="1" ht="15.75" thickBot="1" x14ac:dyDescent="0.3">
      <c r="A291" s="5" t="s">
        <v>24</v>
      </c>
      <c r="B291" s="225" t="s">
        <v>23</v>
      </c>
      <c r="C291" s="11">
        <f t="shared" si="9"/>
        <v>0</v>
      </c>
      <c r="D291" s="11">
        <f t="shared" si="9"/>
        <v>0</v>
      </c>
      <c r="E291" s="11">
        <f t="shared" si="9"/>
        <v>0</v>
      </c>
      <c r="F291" s="826"/>
    </row>
    <row r="292" spans="1:9" customFormat="1" ht="15.75" thickBot="1" x14ac:dyDescent="0.3">
      <c r="A292" s="5" t="s">
        <v>25</v>
      </c>
      <c r="B292" s="225" t="s">
        <v>23</v>
      </c>
      <c r="C292" s="11">
        <f t="shared" si="9"/>
        <v>2.2000000000000002</v>
      </c>
      <c r="D292" s="11">
        <f t="shared" si="9"/>
        <v>0</v>
      </c>
      <c r="E292" s="11" t="e">
        <f t="shared" si="9"/>
        <v>#DIV/0!</v>
      </c>
      <c r="F292" s="826"/>
    </row>
    <row r="293" spans="1:9" customFormat="1" ht="15.75" customHeight="1" thickBot="1" x14ac:dyDescent="0.3">
      <c r="A293" s="1252" t="s">
        <v>633</v>
      </c>
      <c r="B293" s="1253"/>
      <c r="C293" s="1253"/>
      <c r="D293" s="1253"/>
      <c r="E293" s="1300"/>
      <c r="F293" s="826"/>
    </row>
    <row r="294" spans="1:9" customFormat="1" ht="12.75" customHeight="1" x14ac:dyDescent="0.25">
      <c r="A294" s="1250"/>
      <c r="B294" s="8">
        <v>2018</v>
      </c>
      <c r="C294" s="8">
        <v>2019</v>
      </c>
      <c r="D294" s="8">
        <v>2020</v>
      </c>
      <c r="E294" s="8">
        <v>2021</v>
      </c>
      <c r="F294" s="826"/>
    </row>
    <row r="295" spans="1:9" customFormat="1" ht="9" customHeight="1" thickBot="1" x14ac:dyDescent="0.3">
      <c r="A295" s="1251"/>
      <c r="B295" s="9" t="s">
        <v>10</v>
      </c>
      <c r="C295" s="9" t="s">
        <v>11</v>
      </c>
      <c r="D295" s="9" t="s">
        <v>11</v>
      </c>
      <c r="E295" s="9" t="s">
        <v>11</v>
      </c>
      <c r="F295" s="826"/>
    </row>
    <row r="296" spans="1:9" customFormat="1" ht="15.75" thickBot="1" x14ac:dyDescent="0.3">
      <c r="A296" s="13" t="s">
        <v>26</v>
      </c>
      <c r="B296" s="10">
        <v>4704</v>
      </c>
      <c r="C296" s="10">
        <v>4704</v>
      </c>
      <c r="D296" s="10">
        <v>4704</v>
      </c>
      <c r="E296" s="10">
        <v>4704</v>
      </c>
      <c r="F296" s="826"/>
    </row>
    <row r="297" spans="1:9" customFormat="1" ht="24.75" thickBot="1" x14ac:dyDescent="0.3">
      <c r="A297" s="28" t="s">
        <v>27</v>
      </c>
      <c r="B297" s="10">
        <v>0</v>
      </c>
      <c r="C297" s="141"/>
      <c r="D297" s="141"/>
      <c r="E297" s="141"/>
      <c r="F297" s="826"/>
    </row>
    <row r="298" spans="1:9" customFormat="1" ht="24.75" thickBot="1" x14ac:dyDescent="0.3">
      <c r="A298" s="28" t="s">
        <v>863</v>
      </c>
      <c r="B298" s="10">
        <v>0</v>
      </c>
      <c r="C298" s="29"/>
      <c r="D298" s="29"/>
      <c r="E298" s="29"/>
      <c r="F298" s="826"/>
    </row>
    <row r="299" spans="1:9" customFormat="1" ht="15.75" thickBot="1" x14ac:dyDescent="0.3">
      <c r="A299" s="13" t="s">
        <v>28</v>
      </c>
      <c r="B299" s="14">
        <v>785.56799999999998</v>
      </c>
      <c r="C299" s="14">
        <v>785.56799999999998</v>
      </c>
      <c r="D299" s="14">
        <v>785.56799999999998</v>
      </c>
      <c r="E299" s="14">
        <v>785.56799999999998</v>
      </c>
      <c r="F299" s="826"/>
    </row>
    <row r="300" spans="1:9" customFormat="1" ht="24.75" thickBot="1" x14ac:dyDescent="0.3">
      <c r="A300" s="28" t="s">
        <v>29</v>
      </c>
      <c r="B300" s="15">
        <v>0</v>
      </c>
      <c r="C300" s="14"/>
      <c r="D300" s="14"/>
      <c r="E300" s="14"/>
      <c r="F300" s="826"/>
    </row>
    <row r="301" spans="1:9" customFormat="1" ht="36.75" thickBot="1" x14ac:dyDescent="0.3">
      <c r="A301" s="28" t="s">
        <v>864</v>
      </c>
      <c r="B301" s="15">
        <v>0</v>
      </c>
      <c r="C301" s="14"/>
      <c r="D301" s="14"/>
      <c r="E301" s="14"/>
      <c r="F301" s="826"/>
    </row>
    <row r="302" spans="1:9" customFormat="1" ht="15.75" thickBot="1" x14ac:dyDescent="0.3">
      <c r="A302" s="13" t="s">
        <v>30</v>
      </c>
      <c r="B302" s="15">
        <v>1000</v>
      </c>
      <c r="C302" s="15">
        <v>1000</v>
      </c>
      <c r="D302" s="15">
        <v>1000</v>
      </c>
      <c r="E302" s="15">
        <v>1000</v>
      </c>
      <c r="F302" s="826"/>
    </row>
    <row r="303" spans="1:9" customFormat="1" ht="24.75" thickBot="1" x14ac:dyDescent="0.3">
      <c r="A303" s="28" t="s">
        <v>31</v>
      </c>
      <c r="B303" s="15">
        <v>0</v>
      </c>
      <c r="C303" s="14"/>
      <c r="D303" s="14"/>
      <c r="E303" s="14"/>
      <c r="F303" s="826"/>
    </row>
    <row r="304" spans="1:9" customFormat="1" ht="24.75" thickBot="1" x14ac:dyDescent="0.3">
      <c r="A304" s="28" t="s">
        <v>865</v>
      </c>
      <c r="B304" s="15">
        <v>0</v>
      </c>
      <c r="C304" s="14"/>
      <c r="D304" s="14"/>
      <c r="E304" s="14"/>
      <c r="F304" s="826"/>
    </row>
    <row r="305" spans="1:6" customFormat="1" ht="15.75" thickBot="1" x14ac:dyDescent="0.3">
      <c r="A305" s="13" t="s">
        <v>32</v>
      </c>
      <c r="B305" s="15">
        <v>0</v>
      </c>
      <c r="C305" s="14"/>
      <c r="D305" s="14"/>
      <c r="E305" s="14"/>
      <c r="F305" s="826"/>
    </row>
    <row r="306" spans="1:6" customFormat="1" ht="24.75" thickBot="1" x14ac:dyDescent="0.3">
      <c r="A306" s="28" t="s">
        <v>33</v>
      </c>
      <c r="B306" s="15">
        <v>0</v>
      </c>
      <c r="C306" s="14"/>
      <c r="D306" s="14"/>
      <c r="E306" s="14"/>
      <c r="F306" s="826"/>
    </row>
    <row r="307" spans="1:6" customFormat="1" ht="24.75" thickBot="1" x14ac:dyDescent="0.3">
      <c r="A307" s="28" t="s">
        <v>866</v>
      </c>
      <c r="B307" s="15">
        <v>0</v>
      </c>
      <c r="C307" s="14"/>
      <c r="D307" s="14"/>
      <c r="E307" s="14"/>
      <c r="F307" s="826"/>
    </row>
    <row r="308" spans="1:6" customFormat="1" ht="15.75" thickBot="1" x14ac:dyDescent="0.3">
      <c r="A308" s="13" t="s">
        <v>34</v>
      </c>
      <c r="B308" s="15">
        <v>0</v>
      </c>
      <c r="C308" s="14"/>
      <c r="D308" s="14"/>
      <c r="E308" s="14"/>
      <c r="F308" s="826"/>
    </row>
    <row r="309" spans="1:6" customFormat="1" ht="24.75" thickBot="1" x14ac:dyDescent="0.3">
      <c r="A309" s="28" t="s">
        <v>35</v>
      </c>
      <c r="B309" s="15">
        <v>0</v>
      </c>
      <c r="C309" s="14"/>
      <c r="D309" s="14"/>
      <c r="E309" s="14"/>
      <c r="F309" s="826"/>
    </row>
    <row r="310" spans="1:6" customFormat="1" ht="24.75" thickBot="1" x14ac:dyDescent="0.3">
      <c r="A310" s="28" t="s">
        <v>867</v>
      </c>
      <c r="B310" s="15">
        <v>0</v>
      </c>
      <c r="C310" s="14"/>
      <c r="D310" s="14"/>
      <c r="E310" s="14"/>
      <c r="F310" s="826"/>
    </row>
    <row r="311" spans="1:6" customFormat="1" ht="15.75" thickBot="1" x14ac:dyDescent="0.3">
      <c r="A311" s="13" t="s">
        <v>36</v>
      </c>
      <c r="B311" s="15">
        <v>1000</v>
      </c>
      <c r="C311" s="15">
        <v>1000</v>
      </c>
      <c r="D311" s="15">
        <v>1000</v>
      </c>
      <c r="E311" s="15">
        <v>1000</v>
      </c>
      <c r="F311" s="826"/>
    </row>
    <row r="312" spans="1:6" customFormat="1" ht="24.75" thickBot="1" x14ac:dyDescent="0.3">
      <c r="A312" s="28" t="s">
        <v>37</v>
      </c>
      <c r="B312" s="15">
        <v>0</v>
      </c>
      <c r="C312" s="14"/>
      <c r="D312" s="14"/>
      <c r="E312" s="14"/>
      <c r="F312" s="826"/>
    </row>
    <row r="313" spans="1:6" customFormat="1" ht="24.75" thickBot="1" x14ac:dyDescent="0.3">
      <c r="A313" s="28" t="s">
        <v>868</v>
      </c>
      <c r="B313" s="15">
        <v>0</v>
      </c>
      <c r="C313" s="14"/>
      <c r="D313" s="14"/>
      <c r="E313" s="14"/>
      <c r="F313" s="826"/>
    </row>
    <row r="314" spans="1:6" customFormat="1" ht="15.75" thickBot="1" x14ac:dyDescent="0.3">
      <c r="A314" s="13" t="s">
        <v>38</v>
      </c>
      <c r="B314" s="15">
        <v>0</v>
      </c>
      <c r="C314" s="14"/>
      <c r="D314" s="14"/>
      <c r="E314" s="14"/>
      <c r="F314" s="826"/>
    </row>
    <row r="315" spans="1:6" customFormat="1" ht="24.75" thickBot="1" x14ac:dyDescent="0.3">
      <c r="A315" s="28" t="s">
        <v>39</v>
      </c>
      <c r="B315" s="15">
        <v>0</v>
      </c>
      <c r="C315" s="14"/>
      <c r="D315" s="14"/>
      <c r="E315" s="14"/>
      <c r="F315" s="826"/>
    </row>
    <row r="316" spans="1:6" customFormat="1" ht="24.75" thickBot="1" x14ac:dyDescent="0.3">
      <c r="A316" s="28" t="s">
        <v>869</v>
      </c>
      <c r="B316" s="15">
        <v>0</v>
      </c>
      <c r="C316" s="14"/>
      <c r="D316" s="14"/>
      <c r="E316" s="14"/>
      <c r="F316" s="826"/>
    </row>
    <row r="317" spans="1:6" ht="15.75" thickBot="1" x14ac:dyDescent="0.3">
      <c r="A317" s="829" t="s">
        <v>40</v>
      </c>
      <c r="B317" s="144">
        <f>B314+B311+B308+B305+B302+B299+B296</f>
        <v>7489.5680000000002</v>
      </c>
      <c r="C317" s="144">
        <f>C314+C311+C308+C305+C302+C299+C296</f>
        <v>7489.5680000000002</v>
      </c>
      <c r="D317" s="144">
        <f>D314+D311+D308+D305+D302+D299+D296</f>
        <v>7489.5680000000002</v>
      </c>
      <c r="E317" s="144">
        <f>E314+E311+E308+E305+E302+E299+E296</f>
        <v>7489.5680000000002</v>
      </c>
    </row>
    <row r="318" spans="1:6" customFormat="1" ht="15" customHeight="1" x14ac:dyDescent="0.25">
      <c r="A318" s="1254" t="s">
        <v>870</v>
      </c>
      <c r="B318" s="1322"/>
      <c r="C318" s="1289"/>
      <c r="D318" s="1289"/>
      <c r="E318" s="1290"/>
      <c r="F318" s="826"/>
    </row>
    <row r="319" spans="1:6" customFormat="1" x14ac:dyDescent="0.25">
      <c r="A319" s="1255"/>
      <c r="B319" s="1291"/>
      <c r="C319" s="1292"/>
      <c r="D319" s="1292"/>
      <c r="E319" s="1293"/>
      <c r="F319" s="826"/>
    </row>
    <row r="320" spans="1:6" customFormat="1" ht="15.75" thickBot="1" x14ac:dyDescent="0.3">
      <c r="A320" s="1256"/>
      <c r="B320" s="1294"/>
      <c r="C320" s="1295"/>
      <c r="D320" s="1295"/>
      <c r="E320" s="1296"/>
      <c r="F320" s="826"/>
    </row>
    <row r="321" spans="1:6" customFormat="1" ht="15.75" thickBot="1" x14ac:dyDescent="0.3">
      <c r="A321" s="17" t="s">
        <v>41</v>
      </c>
      <c r="B321" s="18">
        <f>IF(B317-B288=0,0,"Error")</f>
        <v>0</v>
      </c>
      <c r="C321" s="18">
        <f>IF(C317-C288=0,0,"Error")</f>
        <v>0</v>
      </c>
      <c r="D321" s="18">
        <f>IF(D317-D288=0,0,"Error")</f>
        <v>0</v>
      </c>
      <c r="E321" s="18">
        <f>IF(E317-E288=0,0,"Error")</f>
        <v>0</v>
      </c>
      <c r="F321" s="826"/>
    </row>
    <row r="322" spans="1:6" customFormat="1" ht="23.25" customHeight="1" thickBot="1" x14ac:dyDescent="0.3">
      <c r="A322" s="139" t="s">
        <v>637</v>
      </c>
      <c r="B322" s="2312" t="s">
        <v>844</v>
      </c>
      <c r="C322" s="2313"/>
      <c r="D322" s="2313"/>
      <c r="E322" s="2314"/>
      <c r="F322" s="826"/>
    </row>
    <row r="323" spans="1:6" customFormat="1" ht="15.75" customHeight="1" thickBot="1" x14ac:dyDescent="0.3">
      <c r="A323" s="5" t="s">
        <v>17</v>
      </c>
      <c r="B323" s="1766" t="s">
        <v>845</v>
      </c>
      <c r="C323" s="2315"/>
      <c r="D323" s="2315"/>
      <c r="E323" s="2316"/>
      <c r="F323" s="826"/>
    </row>
    <row r="324" spans="1:6" customFormat="1" ht="15.75" thickBot="1" x14ac:dyDescent="0.3">
      <c r="A324" s="5" t="s">
        <v>18</v>
      </c>
      <c r="B324" s="1717" t="s">
        <v>846</v>
      </c>
      <c r="C324" s="1718"/>
      <c r="D324" s="1718"/>
      <c r="E324" s="1719"/>
      <c r="F324" s="826"/>
    </row>
    <row r="325" spans="1:6" customFormat="1" ht="15.75" thickBot="1" x14ac:dyDescent="0.3">
      <c r="A325" s="5" t="s">
        <v>19</v>
      </c>
      <c r="B325" s="833">
        <v>2</v>
      </c>
      <c r="C325" s="833">
        <v>6</v>
      </c>
      <c r="D325" s="833">
        <v>4</v>
      </c>
      <c r="E325" s="833">
        <v>4</v>
      </c>
      <c r="F325" s="826"/>
    </row>
    <row r="326" spans="1:6" customFormat="1" ht="12.75" customHeight="1" x14ac:dyDescent="0.25">
      <c r="A326" s="1250"/>
      <c r="B326" s="8">
        <v>2018</v>
      </c>
      <c r="C326" s="8">
        <v>2019</v>
      </c>
      <c r="D326" s="8">
        <v>2020</v>
      </c>
      <c r="E326" s="8">
        <v>2021</v>
      </c>
      <c r="F326" s="826"/>
    </row>
    <row r="327" spans="1:6" customFormat="1" ht="9" customHeight="1" thickBot="1" x14ac:dyDescent="0.3">
      <c r="A327" s="1251"/>
      <c r="B327" s="9" t="s">
        <v>10</v>
      </c>
      <c r="C327" s="9" t="s">
        <v>11</v>
      </c>
      <c r="D327" s="9" t="s">
        <v>11</v>
      </c>
      <c r="E327" s="9" t="s">
        <v>11</v>
      </c>
      <c r="F327" s="826"/>
    </row>
    <row r="328" spans="1:6" customFormat="1" ht="15.75" thickBot="1" x14ac:dyDescent="0.3">
      <c r="A328" s="5" t="s">
        <v>20</v>
      </c>
      <c r="B328" s="10">
        <f>B357</f>
        <v>5989.5680000000002</v>
      </c>
      <c r="C328" s="10">
        <f>C357</f>
        <v>5989.5680000000002</v>
      </c>
      <c r="D328" s="10">
        <f>D357</f>
        <v>6883.5680000000002</v>
      </c>
      <c r="E328" s="10">
        <f>E357</f>
        <v>8883.5679999999993</v>
      </c>
      <c r="F328" s="826"/>
    </row>
    <row r="329" spans="1:6" customFormat="1" ht="15.75" thickBot="1" x14ac:dyDescent="0.3">
      <c r="A329" s="5" t="s">
        <v>21</v>
      </c>
      <c r="B329" s="10">
        <f>B328/B325</f>
        <v>2994.7840000000001</v>
      </c>
      <c r="C329" s="10">
        <f>C328/C325</f>
        <v>998.26133333333337</v>
      </c>
      <c r="D329" s="10">
        <f>D328/D325</f>
        <v>1720.8920000000001</v>
      </c>
      <c r="E329" s="10">
        <f>E328/E325</f>
        <v>2220.8919999999998</v>
      </c>
      <c r="F329" s="826"/>
    </row>
    <row r="330" spans="1:6" customFormat="1" ht="15.75" thickBot="1" x14ac:dyDescent="0.3">
      <c r="A330" s="5" t="s">
        <v>22</v>
      </c>
      <c r="B330" s="225"/>
      <c r="C330" s="11">
        <f>C325/B325-1</f>
        <v>2</v>
      </c>
      <c r="D330" s="11">
        <f>D325/C325-1</f>
        <v>-0.33333333333333337</v>
      </c>
      <c r="E330" s="11">
        <f>E325/D325-1</f>
        <v>0</v>
      </c>
      <c r="F330" s="826"/>
    </row>
    <row r="331" spans="1:6" customFormat="1" ht="15.75" thickBot="1" x14ac:dyDescent="0.3">
      <c r="A331" s="5" t="s">
        <v>24</v>
      </c>
      <c r="B331" s="225"/>
      <c r="C331" s="11">
        <f t="shared" ref="C331:E332" si="10">C328/B328-1</f>
        <v>0</v>
      </c>
      <c r="D331" s="11">
        <f t="shared" si="10"/>
        <v>0.14925951253913472</v>
      </c>
      <c r="E331" s="11">
        <f t="shared" si="10"/>
        <v>0.29054699539541118</v>
      </c>
      <c r="F331" s="826"/>
    </row>
    <row r="332" spans="1:6" customFormat="1" ht="15.75" thickBot="1" x14ac:dyDescent="0.3">
      <c r="A332" s="5" t="s">
        <v>25</v>
      </c>
      <c r="B332" s="225"/>
      <c r="C332" s="11">
        <f t="shared" si="10"/>
        <v>-0.66666666666666674</v>
      </c>
      <c r="D332" s="11">
        <f t="shared" si="10"/>
        <v>0.72388926880870197</v>
      </c>
      <c r="E332" s="11">
        <f t="shared" si="10"/>
        <v>0.29054699539541118</v>
      </c>
      <c r="F332" s="826"/>
    </row>
    <row r="333" spans="1:6" customFormat="1" ht="24.75" customHeight="1" thickBot="1" x14ac:dyDescent="0.3">
      <c r="A333" s="1252" t="s">
        <v>862</v>
      </c>
      <c r="B333" s="1253"/>
      <c r="C333" s="1253"/>
      <c r="D333" s="1253"/>
      <c r="E333" s="1300"/>
      <c r="F333" s="826"/>
    </row>
    <row r="334" spans="1:6" customFormat="1" ht="12.75" customHeight="1" x14ac:dyDescent="0.25">
      <c r="A334" s="1250"/>
      <c r="B334" s="8">
        <v>2018</v>
      </c>
      <c r="C334" s="8">
        <v>2019</v>
      </c>
      <c r="D334" s="8">
        <v>2020</v>
      </c>
      <c r="E334" s="8">
        <v>2021</v>
      </c>
      <c r="F334" s="826"/>
    </row>
    <row r="335" spans="1:6" customFormat="1" ht="9" customHeight="1" thickBot="1" x14ac:dyDescent="0.3">
      <c r="A335" s="1251"/>
      <c r="B335" s="9" t="s">
        <v>10</v>
      </c>
      <c r="C335" s="9" t="s">
        <v>11</v>
      </c>
      <c r="D335" s="9" t="s">
        <v>11</v>
      </c>
      <c r="E335" s="9" t="s">
        <v>11</v>
      </c>
      <c r="F335" s="826"/>
    </row>
    <row r="336" spans="1:6" customFormat="1" ht="24.75" customHeight="1" thickBot="1" x14ac:dyDescent="0.3">
      <c r="A336" s="13" t="s">
        <v>26</v>
      </c>
      <c r="B336" s="14">
        <v>4704</v>
      </c>
      <c r="C336" s="14">
        <v>4704</v>
      </c>
      <c r="D336" s="14">
        <v>4704</v>
      </c>
      <c r="E336" s="14">
        <v>4704</v>
      </c>
      <c r="F336" s="826"/>
    </row>
    <row r="337" spans="1:6" customFormat="1" ht="38.25" customHeight="1" thickBot="1" x14ac:dyDescent="0.3">
      <c r="A337" s="28" t="s">
        <v>27</v>
      </c>
      <c r="B337" s="15"/>
      <c r="C337" s="29"/>
      <c r="D337" s="29"/>
      <c r="E337" s="29"/>
      <c r="F337" s="826"/>
    </row>
    <row r="338" spans="1:6" customFormat="1" ht="24.75" customHeight="1" thickBot="1" x14ac:dyDescent="0.3">
      <c r="A338" s="28" t="s">
        <v>45</v>
      </c>
      <c r="B338" s="15"/>
      <c r="C338" s="29"/>
      <c r="D338" s="29"/>
      <c r="E338" s="29"/>
      <c r="F338" s="826"/>
    </row>
    <row r="339" spans="1:6" customFormat="1" ht="24.75" customHeight="1" thickBot="1" x14ac:dyDescent="0.3">
      <c r="A339" s="13" t="s">
        <v>28</v>
      </c>
      <c r="B339" s="14">
        <v>785.56799999999998</v>
      </c>
      <c r="C339" s="14">
        <v>785.56799999999998</v>
      </c>
      <c r="D339" s="14">
        <v>785.56799999999998</v>
      </c>
      <c r="E339" s="14">
        <v>785.56799999999998</v>
      </c>
      <c r="F339" s="826"/>
    </row>
    <row r="340" spans="1:6" customFormat="1" ht="39" customHeight="1" thickBot="1" x14ac:dyDescent="0.3">
      <c r="A340" s="28" t="s">
        <v>29</v>
      </c>
      <c r="B340" s="15"/>
      <c r="C340" s="14"/>
      <c r="D340" s="14"/>
      <c r="E340" s="14"/>
      <c r="F340" s="826"/>
    </row>
    <row r="341" spans="1:6" customFormat="1" ht="35.25" customHeight="1" thickBot="1" x14ac:dyDescent="0.3">
      <c r="A341" s="28" t="s">
        <v>46</v>
      </c>
      <c r="B341" s="15"/>
      <c r="C341" s="14"/>
      <c r="D341" s="14"/>
      <c r="E341" s="14"/>
      <c r="F341" s="826"/>
    </row>
    <row r="342" spans="1:6" customFormat="1" ht="24.75" customHeight="1" thickBot="1" x14ac:dyDescent="0.3">
      <c r="A342" s="13" t="s">
        <v>30</v>
      </c>
      <c r="B342" s="15">
        <v>500</v>
      </c>
      <c r="C342" s="15">
        <v>500</v>
      </c>
      <c r="D342" s="15">
        <v>500</v>
      </c>
      <c r="E342" s="15">
        <v>500</v>
      </c>
      <c r="F342" s="826"/>
    </row>
    <row r="343" spans="1:6" customFormat="1" ht="24.75" thickBot="1" x14ac:dyDescent="0.3">
      <c r="A343" s="28" t="s">
        <v>31</v>
      </c>
      <c r="B343" s="15"/>
      <c r="C343" s="14"/>
      <c r="D343" s="14"/>
      <c r="E343" s="14"/>
      <c r="F343" s="826"/>
    </row>
    <row r="344" spans="1:6" customFormat="1" ht="24.75" thickBot="1" x14ac:dyDescent="0.3">
      <c r="A344" s="28" t="s">
        <v>47</v>
      </c>
      <c r="B344" s="15"/>
      <c r="C344" s="14"/>
      <c r="D344" s="14"/>
      <c r="E344" s="14"/>
      <c r="F344" s="826"/>
    </row>
    <row r="345" spans="1:6" customFormat="1" ht="15.75" thickBot="1" x14ac:dyDescent="0.3">
      <c r="A345" s="13" t="s">
        <v>32</v>
      </c>
      <c r="B345" s="15"/>
      <c r="C345" s="14"/>
      <c r="D345" s="14"/>
      <c r="E345" s="14"/>
      <c r="F345" s="826"/>
    </row>
    <row r="346" spans="1:6" customFormat="1" ht="24.75" thickBot="1" x14ac:dyDescent="0.3">
      <c r="A346" s="28" t="s">
        <v>33</v>
      </c>
      <c r="B346" s="15"/>
      <c r="C346" s="14"/>
      <c r="D346" s="14"/>
      <c r="E346" s="14"/>
      <c r="F346" s="826"/>
    </row>
    <row r="347" spans="1:6" customFormat="1" ht="24.75" thickBot="1" x14ac:dyDescent="0.3">
      <c r="A347" s="28" t="s">
        <v>48</v>
      </c>
      <c r="B347" s="15"/>
      <c r="C347" s="14"/>
      <c r="D347" s="14"/>
      <c r="E347" s="14"/>
      <c r="F347" s="826"/>
    </row>
    <row r="348" spans="1:6" customFormat="1" ht="15.75" thickBot="1" x14ac:dyDescent="0.3">
      <c r="A348" s="13" t="s">
        <v>34</v>
      </c>
      <c r="B348" s="15"/>
      <c r="C348" s="14"/>
      <c r="D348" s="14"/>
      <c r="E348" s="14"/>
      <c r="F348" s="826"/>
    </row>
    <row r="349" spans="1:6" customFormat="1" ht="30.75" customHeight="1" thickBot="1" x14ac:dyDescent="0.3">
      <c r="A349" s="28" t="s">
        <v>35</v>
      </c>
      <c r="B349" s="15"/>
      <c r="C349" s="14"/>
      <c r="D349" s="14"/>
      <c r="E349" s="14"/>
      <c r="F349" s="826"/>
    </row>
    <row r="350" spans="1:6" customFormat="1" ht="26.25" customHeight="1" thickBot="1" x14ac:dyDescent="0.3">
      <c r="A350" s="28" t="s">
        <v>49</v>
      </c>
      <c r="B350" s="15"/>
      <c r="C350" s="14"/>
      <c r="D350" s="14"/>
      <c r="E350" s="14"/>
      <c r="F350" s="826"/>
    </row>
    <row r="351" spans="1:6" customFormat="1" ht="15.75" thickBot="1" x14ac:dyDescent="0.3">
      <c r="A351" s="13" t="s">
        <v>36</v>
      </c>
      <c r="B351" s="15"/>
      <c r="C351" s="14"/>
      <c r="D351" s="14"/>
      <c r="E351" s="14"/>
      <c r="F351" s="826"/>
    </row>
    <row r="352" spans="1:6" customFormat="1" ht="24.75" thickBot="1" x14ac:dyDescent="0.3">
      <c r="A352" s="28" t="s">
        <v>37</v>
      </c>
      <c r="B352" s="15"/>
      <c r="C352" s="14"/>
      <c r="D352" s="14"/>
      <c r="E352" s="14"/>
      <c r="F352" s="826"/>
    </row>
    <row r="353" spans="1:6" customFormat="1" ht="24.75" thickBot="1" x14ac:dyDescent="0.3">
      <c r="A353" s="28" t="s">
        <v>50</v>
      </c>
      <c r="B353" s="15"/>
      <c r="C353" s="14"/>
      <c r="D353" s="14"/>
      <c r="E353" s="14"/>
      <c r="F353" s="826"/>
    </row>
    <row r="354" spans="1:6" customFormat="1" ht="15.75" thickBot="1" x14ac:dyDescent="0.3">
      <c r="A354" s="13" t="s">
        <v>38</v>
      </c>
      <c r="B354" s="15"/>
      <c r="C354" s="14"/>
      <c r="D354" s="14"/>
      <c r="E354" s="14"/>
      <c r="F354" s="826"/>
    </row>
    <row r="355" spans="1:6" customFormat="1" ht="24.75" thickBot="1" x14ac:dyDescent="0.3">
      <c r="A355" s="28" t="s">
        <v>39</v>
      </c>
      <c r="B355" s="15"/>
      <c r="C355" s="14"/>
      <c r="D355" s="14"/>
      <c r="E355" s="14"/>
      <c r="F355" s="826"/>
    </row>
    <row r="356" spans="1:6" customFormat="1" ht="24.75" thickBot="1" x14ac:dyDescent="0.3">
      <c r="A356" s="28" t="s">
        <v>51</v>
      </c>
      <c r="B356" s="15"/>
      <c r="C356" s="14"/>
      <c r="D356" s="14"/>
      <c r="E356" s="14"/>
      <c r="F356" s="826"/>
    </row>
    <row r="357" spans="1:6" ht="15.75" thickBot="1" x14ac:dyDescent="0.3">
      <c r="A357" s="832" t="s">
        <v>74</v>
      </c>
      <c r="B357" s="144">
        <f>B354+B351+B348+B345+B342+B339+B336</f>
        <v>5989.5680000000002</v>
      </c>
      <c r="C357" s="144">
        <f>'[4]Formati 2 Politika Ekzistuese'!D320</f>
        <v>5989.5680000000002</v>
      </c>
      <c r="D357" s="144">
        <f>'[4]Formati 2 Politika Ekzistuese'!E320</f>
        <v>6883.5680000000002</v>
      </c>
      <c r="E357" s="144">
        <f>'[4]Formati 2 Politika Ekzistuese'!F320</f>
        <v>8883.5679999999993</v>
      </c>
    </row>
    <row r="358" spans="1:6" customFormat="1" ht="15" customHeight="1" x14ac:dyDescent="0.25">
      <c r="A358" s="1254" t="s">
        <v>116</v>
      </c>
      <c r="B358" s="1289"/>
      <c r="C358" s="1289"/>
      <c r="D358" s="1289"/>
      <c r="E358" s="1290"/>
      <c r="F358" s="826"/>
    </row>
    <row r="359" spans="1:6" customFormat="1" x14ac:dyDescent="0.25">
      <c r="A359" s="1255"/>
      <c r="B359" s="1292"/>
      <c r="C359" s="1292"/>
      <c r="D359" s="1292"/>
      <c r="E359" s="1293"/>
      <c r="F359" s="826"/>
    </row>
    <row r="360" spans="1:6" customFormat="1" ht="25.5" customHeight="1" thickBot="1" x14ac:dyDescent="0.3">
      <c r="A360" s="1256"/>
      <c r="B360" s="1295"/>
      <c r="C360" s="1295"/>
      <c r="D360" s="1295"/>
      <c r="E360" s="1296"/>
      <c r="F360" s="826"/>
    </row>
    <row r="361" spans="1:6" customFormat="1" ht="17.25" customHeight="1" thickBot="1" x14ac:dyDescent="0.3">
      <c r="A361" s="17" t="s">
        <v>41</v>
      </c>
      <c r="B361" s="18">
        <f>IF(B357-B328=0,0,"Error")</f>
        <v>0</v>
      </c>
      <c r="C361" s="18">
        <f>IF(C357-C328=0,0,"Error")</f>
        <v>0</v>
      </c>
      <c r="D361" s="18">
        <f>IF(D357-D328=0,0,"Error")</f>
        <v>0</v>
      </c>
      <c r="E361" s="18">
        <f>IF(E357-E328=0,0,"Error")</f>
        <v>0</v>
      </c>
      <c r="F361" s="826"/>
    </row>
    <row r="362" spans="1:6" ht="66" customHeight="1" thickBot="1" x14ac:dyDescent="0.3">
      <c r="A362" s="828" t="s">
        <v>78</v>
      </c>
      <c r="B362" s="2317" t="s">
        <v>847</v>
      </c>
      <c r="C362" s="2318"/>
      <c r="D362" s="2318"/>
      <c r="E362" s="2319"/>
    </row>
    <row r="363" spans="1:6" customFormat="1" ht="15.75" customHeight="1" thickBot="1" x14ac:dyDescent="0.3">
      <c r="A363" s="1769" t="s">
        <v>68</v>
      </c>
      <c r="B363" s="1770"/>
      <c r="C363" s="1770"/>
      <c r="D363" s="1770"/>
      <c r="E363" s="1771"/>
      <c r="F363" s="826"/>
    </row>
    <row r="364" spans="1:6" customFormat="1" ht="24" customHeight="1" thickBot="1" x14ac:dyDescent="0.3">
      <c r="A364" s="819" t="s">
        <v>848</v>
      </c>
      <c r="B364" s="831">
        <v>0.4</v>
      </c>
      <c r="C364" s="831">
        <v>0.6</v>
      </c>
      <c r="D364" s="831">
        <v>0.8</v>
      </c>
      <c r="E364" s="831">
        <v>1</v>
      </c>
      <c r="F364" s="826"/>
    </row>
    <row r="365" spans="1:6" customFormat="1" ht="23.25" customHeight="1" thickBot="1" x14ac:dyDescent="0.3">
      <c r="A365" s="1278" t="s">
        <v>69</v>
      </c>
      <c r="B365" s="1279"/>
      <c r="C365" s="1279"/>
      <c r="D365" s="1279"/>
      <c r="E365" s="1355"/>
      <c r="F365" s="826"/>
    </row>
    <row r="366" spans="1:6" ht="23.25" customHeight="1" thickBot="1" x14ac:dyDescent="0.3">
      <c r="A366" s="2305" t="s">
        <v>70</v>
      </c>
      <c r="B366" s="2306"/>
      <c r="C366" s="2306"/>
      <c r="D366" s="2306"/>
      <c r="E366" s="2307"/>
    </row>
    <row r="367" spans="1:6" customFormat="1" ht="12.75" customHeight="1" x14ac:dyDescent="0.25">
      <c r="A367" s="1250"/>
      <c r="B367" s="8">
        <v>2018</v>
      </c>
      <c r="C367" s="8">
        <v>2019</v>
      </c>
      <c r="D367" s="8">
        <v>2020</v>
      </c>
      <c r="E367" s="8">
        <v>2021</v>
      </c>
      <c r="F367" s="826"/>
    </row>
    <row r="368" spans="1:6" customFormat="1" ht="9" customHeight="1" thickBot="1" x14ac:dyDescent="0.3">
      <c r="A368" s="1251"/>
      <c r="B368" s="9" t="s">
        <v>10</v>
      </c>
      <c r="C368" s="9" t="s">
        <v>11</v>
      </c>
      <c r="D368" s="9" t="s">
        <v>11</v>
      </c>
      <c r="E368" s="9" t="s">
        <v>11</v>
      </c>
      <c r="F368" s="826"/>
    </row>
    <row r="369" spans="1:6" customFormat="1" ht="36.75" customHeight="1" thickBot="1" x14ac:dyDescent="0.3">
      <c r="A369" s="7" t="s">
        <v>16</v>
      </c>
      <c r="B369" s="2308" t="s">
        <v>1464</v>
      </c>
      <c r="C369" s="2309"/>
      <c r="D369" s="2309"/>
      <c r="E369" s="2310"/>
      <c r="F369" s="826"/>
    </row>
    <row r="370" spans="1:6" customFormat="1" ht="73.5" customHeight="1" thickBot="1" x14ac:dyDescent="0.3">
      <c r="A370" s="5" t="s">
        <v>17</v>
      </c>
      <c r="B370" s="2311" t="s">
        <v>849</v>
      </c>
      <c r="C370" s="2203"/>
      <c r="D370" s="2203"/>
      <c r="E370" s="2204"/>
      <c r="F370" s="826"/>
    </row>
    <row r="371" spans="1:6" customFormat="1" ht="15.75" customHeight="1" thickBot="1" x14ac:dyDescent="0.3">
      <c r="A371" s="5" t="s">
        <v>18</v>
      </c>
      <c r="B371" s="1717" t="s">
        <v>850</v>
      </c>
      <c r="C371" s="1718"/>
      <c r="D371" s="1718"/>
      <c r="E371" s="1719"/>
      <c r="F371" s="826"/>
    </row>
    <row r="372" spans="1:6" customFormat="1" ht="12.75" customHeight="1" x14ac:dyDescent="0.25">
      <c r="A372" s="1250"/>
      <c r="B372" s="8">
        <v>2018</v>
      </c>
      <c r="C372" s="8">
        <v>2019</v>
      </c>
      <c r="D372" s="8">
        <v>2020</v>
      </c>
      <c r="E372" s="8">
        <v>2021</v>
      </c>
      <c r="F372" s="826"/>
    </row>
    <row r="373" spans="1:6" customFormat="1" ht="9" customHeight="1" thickBot="1" x14ac:dyDescent="0.3">
      <c r="A373" s="1251"/>
      <c r="B373" s="9" t="s">
        <v>10</v>
      </c>
      <c r="C373" s="9" t="s">
        <v>11</v>
      </c>
      <c r="D373" s="9" t="s">
        <v>11</v>
      </c>
      <c r="E373" s="9" t="s">
        <v>11</v>
      </c>
      <c r="F373" s="826"/>
    </row>
    <row r="374" spans="1:6" customFormat="1" ht="15.75" customHeight="1" thickBot="1" x14ac:dyDescent="0.3">
      <c r="A374" s="421" t="s">
        <v>19</v>
      </c>
      <c r="B374" s="143">
        <v>100</v>
      </c>
      <c r="C374" s="145">
        <v>100</v>
      </c>
      <c r="D374" s="145">
        <v>50</v>
      </c>
      <c r="E374" s="145">
        <v>50</v>
      </c>
      <c r="F374" s="826"/>
    </row>
    <row r="375" spans="1:6" customFormat="1" ht="15.75" thickBot="1" x14ac:dyDescent="0.3">
      <c r="A375" s="5" t="s">
        <v>20</v>
      </c>
      <c r="B375" s="10">
        <f>B406</f>
        <v>30394.008000000002</v>
      </c>
      <c r="C375" s="10">
        <f>C406</f>
        <v>23769</v>
      </c>
      <c r="D375" s="10">
        <f>D406</f>
        <v>25000</v>
      </c>
      <c r="E375" s="10">
        <f>E406</f>
        <v>25000</v>
      </c>
      <c r="F375" s="826"/>
    </row>
    <row r="376" spans="1:6" customFormat="1" ht="15.75" thickBot="1" x14ac:dyDescent="0.3">
      <c r="A376" s="5" t="s">
        <v>21</v>
      </c>
      <c r="B376" s="10">
        <f>B375/B374</f>
        <v>303.94008000000002</v>
      </c>
      <c r="C376" s="10">
        <f>C375/C374</f>
        <v>237.69</v>
      </c>
      <c r="D376" s="10">
        <f>D375/D374</f>
        <v>500</v>
      </c>
      <c r="E376" s="10">
        <f>E375/E374</f>
        <v>500</v>
      </c>
      <c r="F376" s="826"/>
    </row>
    <row r="377" spans="1:6" customFormat="1" ht="15.75" thickBot="1" x14ac:dyDescent="0.3">
      <c r="A377" s="5" t="s">
        <v>22</v>
      </c>
      <c r="B377" s="225"/>
      <c r="C377" s="11">
        <f t="shared" ref="C377:E379" si="11">C374/B374-1</f>
        <v>0</v>
      </c>
      <c r="D377" s="11">
        <f t="shared" si="11"/>
        <v>-0.5</v>
      </c>
      <c r="E377" s="11">
        <f t="shared" si="11"/>
        <v>0</v>
      </c>
      <c r="F377" s="826"/>
    </row>
    <row r="378" spans="1:6" customFormat="1" ht="15.75" thickBot="1" x14ac:dyDescent="0.3">
      <c r="A378" s="5" t="s">
        <v>24</v>
      </c>
      <c r="B378" s="225"/>
      <c r="C378" s="11">
        <f t="shared" si="11"/>
        <v>-0.21797085794015725</v>
      </c>
      <c r="D378" s="11">
        <f t="shared" si="11"/>
        <v>5.179014682990446E-2</v>
      </c>
      <c r="E378" s="11">
        <f t="shared" si="11"/>
        <v>0</v>
      </c>
      <c r="F378" s="826"/>
    </row>
    <row r="379" spans="1:6" customFormat="1" ht="15.75" thickBot="1" x14ac:dyDescent="0.3">
      <c r="A379" s="5" t="s">
        <v>25</v>
      </c>
      <c r="B379" s="225"/>
      <c r="C379" s="11">
        <f t="shared" si="11"/>
        <v>-0.21797085794015725</v>
      </c>
      <c r="D379" s="11">
        <f t="shared" si="11"/>
        <v>1.1035802936598089</v>
      </c>
      <c r="E379" s="11">
        <f t="shared" si="11"/>
        <v>0</v>
      </c>
      <c r="F379" s="826"/>
    </row>
    <row r="380" spans="1:6" customFormat="1" ht="12.75" customHeight="1" x14ac:dyDescent="0.25">
      <c r="A380" s="1250"/>
      <c r="B380" s="8">
        <v>2018</v>
      </c>
      <c r="C380" s="8">
        <v>2019</v>
      </c>
      <c r="D380" s="8">
        <v>2020</v>
      </c>
      <c r="E380" s="8">
        <v>2021</v>
      </c>
      <c r="F380" s="826"/>
    </row>
    <row r="381" spans="1:6" customFormat="1" ht="9" customHeight="1" thickBot="1" x14ac:dyDescent="0.3">
      <c r="A381" s="1251"/>
      <c r="B381" s="9" t="s">
        <v>10</v>
      </c>
      <c r="C381" s="9" t="s">
        <v>11</v>
      </c>
      <c r="D381" s="9" t="s">
        <v>11</v>
      </c>
      <c r="E381" s="9" t="s">
        <v>11</v>
      </c>
      <c r="F381" s="826"/>
    </row>
    <row r="382" spans="1:6" customFormat="1" ht="15.75" customHeight="1" thickBot="1" x14ac:dyDescent="0.3">
      <c r="A382" s="1252" t="s">
        <v>636</v>
      </c>
      <c r="B382" s="1253"/>
      <c r="C382" s="1253"/>
      <c r="D382" s="1253"/>
      <c r="E382" s="1300"/>
      <c r="F382" s="826"/>
    </row>
    <row r="383" spans="1:6" customFormat="1" ht="12.75" customHeight="1" x14ac:dyDescent="0.25">
      <c r="A383" s="1250"/>
      <c r="B383" s="8">
        <v>2018</v>
      </c>
      <c r="C383" s="8">
        <v>2019</v>
      </c>
      <c r="D383" s="8">
        <v>2020</v>
      </c>
      <c r="E383" s="8">
        <v>2021</v>
      </c>
      <c r="F383" s="826"/>
    </row>
    <row r="384" spans="1:6" customFormat="1" ht="9" customHeight="1" thickBot="1" x14ac:dyDescent="0.3">
      <c r="A384" s="1251"/>
      <c r="B384" s="9" t="s">
        <v>10</v>
      </c>
      <c r="C384" s="9" t="s">
        <v>11</v>
      </c>
      <c r="D384" s="9" t="s">
        <v>11</v>
      </c>
      <c r="E384" s="9" t="s">
        <v>11</v>
      </c>
      <c r="F384" s="826"/>
    </row>
    <row r="385" spans="1:6" customFormat="1" ht="15.75" thickBot="1" x14ac:dyDescent="0.3">
      <c r="A385" s="13" t="s">
        <v>26</v>
      </c>
      <c r="B385" s="14">
        <f>8616+9408-640</f>
        <v>17384</v>
      </c>
      <c r="C385" s="14">
        <v>19122</v>
      </c>
      <c r="D385" s="14">
        <v>20000</v>
      </c>
      <c r="E385" s="14">
        <v>20000</v>
      </c>
      <c r="F385" s="826"/>
    </row>
    <row r="386" spans="1:6" customFormat="1" ht="24.75" thickBot="1" x14ac:dyDescent="0.3">
      <c r="A386" s="28" t="s">
        <v>27</v>
      </c>
      <c r="B386" s="15"/>
      <c r="C386" s="29"/>
      <c r="D386" s="29"/>
      <c r="E386" s="29"/>
      <c r="F386" s="826"/>
    </row>
    <row r="387" spans="1:6" customFormat="1" ht="24.75" thickBot="1" x14ac:dyDescent="0.3">
      <c r="A387" s="28" t="s">
        <v>45</v>
      </c>
      <c r="B387" s="15"/>
      <c r="C387" s="29"/>
      <c r="D387" s="29"/>
      <c r="E387" s="29"/>
      <c r="F387" s="826"/>
    </row>
    <row r="388" spans="1:6" customFormat="1" ht="15.75" thickBot="1" x14ac:dyDescent="0.3">
      <c r="A388" s="13" t="s">
        <v>28</v>
      </c>
      <c r="B388" s="14">
        <f>1438.872+1571.136</f>
        <v>3010.0079999999998</v>
      </c>
      <c r="C388" s="14">
        <v>2647</v>
      </c>
      <c r="D388" s="14">
        <v>3000</v>
      </c>
      <c r="E388" s="14">
        <v>3000</v>
      </c>
      <c r="F388" s="826"/>
    </row>
    <row r="389" spans="1:6" customFormat="1" ht="24.75" thickBot="1" x14ac:dyDescent="0.3">
      <c r="A389" s="28" t="s">
        <v>29</v>
      </c>
      <c r="B389" s="15"/>
      <c r="C389" s="14"/>
      <c r="D389" s="14"/>
      <c r="E389" s="14"/>
      <c r="F389" s="826"/>
    </row>
    <row r="390" spans="1:6" customFormat="1" ht="24.75" thickBot="1" x14ac:dyDescent="0.3">
      <c r="A390" s="28" t="s">
        <v>46</v>
      </c>
      <c r="B390" s="15"/>
      <c r="C390" s="14"/>
      <c r="D390" s="14"/>
      <c r="E390" s="14"/>
      <c r="F390" s="826"/>
    </row>
    <row r="391" spans="1:6" customFormat="1" ht="15.75" thickBot="1" x14ac:dyDescent="0.3">
      <c r="A391" s="13" t="s">
        <v>30</v>
      </c>
      <c r="B391" s="15">
        <v>10000</v>
      </c>
      <c r="C391" s="15">
        <v>2000</v>
      </c>
      <c r="D391" s="15">
        <v>2000</v>
      </c>
      <c r="E391" s="15">
        <v>2000</v>
      </c>
      <c r="F391" s="826"/>
    </row>
    <row r="392" spans="1:6" customFormat="1" ht="24.75" thickBot="1" x14ac:dyDescent="0.3">
      <c r="A392" s="28" t="s">
        <v>31</v>
      </c>
      <c r="B392" s="15"/>
      <c r="C392" s="14"/>
      <c r="D392" s="14"/>
      <c r="E392" s="14"/>
      <c r="F392" s="826"/>
    </row>
    <row r="393" spans="1:6" customFormat="1" ht="24.75" thickBot="1" x14ac:dyDescent="0.3">
      <c r="A393" s="28" t="s">
        <v>47</v>
      </c>
      <c r="B393" s="15"/>
      <c r="C393" s="14"/>
      <c r="D393" s="14"/>
      <c r="E393" s="14"/>
      <c r="F393" s="826"/>
    </row>
    <row r="394" spans="1:6" customFormat="1" ht="15.75" thickBot="1" x14ac:dyDescent="0.3">
      <c r="A394" s="13" t="s">
        <v>32</v>
      </c>
      <c r="B394" s="15"/>
      <c r="C394" s="14"/>
      <c r="D394" s="14"/>
      <c r="E394" s="14"/>
      <c r="F394" s="826"/>
    </row>
    <row r="395" spans="1:6" customFormat="1" ht="24.75" thickBot="1" x14ac:dyDescent="0.3">
      <c r="A395" s="28" t="s">
        <v>33</v>
      </c>
      <c r="B395" s="15"/>
      <c r="C395" s="14"/>
      <c r="D395" s="14"/>
      <c r="E395" s="14"/>
      <c r="F395" s="826"/>
    </row>
    <row r="396" spans="1:6" customFormat="1" ht="24.75" thickBot="1" x14ac:dyDescent="0.3">
      <c r="A396" s="28" t="s">
        <v>48</v>
      </c>
      <c r="B396" s="15"/>
      <c r="C396" s="14"/>
      <c r="D396" s="14"/>
      <c r="E396" s="14"/>
      <c r="F396" s="826"/>
    </row>
    <row r="397" spans="1:6" customFormat="1" ht="15.75" thickBot="1" x14ac:dyDescent="0.3">
      <c r="A397" s="13" t="s">
        <v>34</v>
      </c>
      <c r="B397" s="15"/>
      <c r="C397" s="14"/>
      <c r="D397" s="14"/>
      <c r="E397" s="14"/>
      <c r="F397" s="826"/>
    </row>
    <row r="398" spans="1:6" customFormat="1" ht="24.75" thickBot="1" x14ac:dyDescent="0.3">
      <c r="A398" s="28" t="s">
        <v>35</v>
      </c>
      <c r="B398" s="15"/>
      <c r="C398" s="14"/>
      <c r="D398" s="14"/>
      <c r="E398" s="14"/>
      <c r="F398" s="826"/>
    </row>
    <row r="399" spans="1:6" customFormat="1" ht="24.75" thickBot="1" x14ac:dyDescent="0.3">
      <c r="A399" s="28" t="s">
        <v>49</v>
      </c>
      <c r="B399" s="15"/>
      <c r="C399" s="14"/>
      <c r="D399" s="14"/>
      <c r="E399" s="14"/>
      <c r="F399" s="826"/>
    </row>
    <row r="400" spans="1:6" customFormat="1" ht="15.75" thickBot="1" x14ac:dyDescent="0.3">
      <c r="A400" s="13" t="s">
        <v>36</v>
      </c>
      <c r="B400" s="15"/>
      <c r="C400" s="14"/>
      <c r="D400" s="14"/>
      <c r="E400" s="14"/>
      <c r="F400" s="826"/>
    </row>
    <row r="401" spans="1:6" customFormat="1" ht="24.75" thickBot="1" x14ac:dyDescent="0.3">
      <c r="A401" s="28" t="s">
        <v>37</v>
      </c>
      <c r="B401" s="15"/>
      <c r="C401" s="14"/>
      <c r="D401" s="14"/>
      <c r="E401" s="14"/>
      <c r="F401" s="826"/>
    </row>
    <row r="402" spans="1:6" customFormat="1" ht="24.75" thickBot="1" x14ac:dyDescent="0.3">
      <c r="A402" s="28" t="s">
        <v>50</v>
      </c>
      <c r="B402" s="15"/>
      <c r="C402" s="14"/>
      <c r="D402" s="14"/>
      <c r="E402" s="14"/>
      <c r="F402" s="826"/>
    </row>
    <row r="403" spans="1:6" customFormat="1" ht="15.75" thickBot="1" x14ac:dyDescent="0.3">
      <c r="A403" s="13" t="s">
        <v>38</v>
      </c>
      <c r="B403" s="15"/>
      <c r="C403" s="14"/>
      <c r="D403" s="14"/>
      <c r="E403" s="14"/>
      <c r="F403" s="826"/>
    </row>
    <row r="404" spans="1:6" customFormat="1" ht="24.75" thickBot="1" x14ac:dyDescent="0.3">
      <c r="A404" s="28" t="s">
        <v>39</v>
      </c>
      <c r="B404" s="15"/>
      <c r="C404" s="14"/>
      <c r="D404" s="14"/>
      <c r="E404" s="14"/>
      <c r="F404" s="826"/>
    </row>
    <row r="405" spans="1:6" customFormat="1" ht="24.75" thickBot="1" x14ac:dyDescent="0.3">
      <c r="A405" s="28" t="s">
        <v>51</v>
      </c>
      <c r="B405" s="15"/>
      <c r="C405" s="14"/>
      <c r="D405" s="14"/>
      <c r="E405" s="14"/>
      <c r="F405" s="826"/>
    </row>
    <row r="406" spans="1:6" ht="24.75" thickBot="1" x14ac:dyDescent="0.3">
      <c r="A406" s="830" t="s">
        <v>71</v>
      </c>
      <c r="B406" s="811">
        <f>B403+B400+B397+B394+B391+B388+B385</f>
        <v>30394.008000000002</v>
      </c>
      <c r="C406" s="811">
        <f>C403+C400+C397+C394+C391+C388+C385</f>
        <v>23769</v>
      </c>
      <c r="D406" s="811">
        <f>D403+D400+D397+D394+D391+D388+D385</f>
        <v>25000</v>
      </c>
      <c r="E406" s="811">
        <f>E403+E400+E397+E394+E391+E388+E385</f>
        <v>25000</v>
      </c>
    </row>
    <row r="407" spans="1:6" customFormat="1" ht="15" customHeight="1" x14ac:dyDescent="0.25">
      <c r="A407" s="1254" t="s">
        <v>115</v>
      </c>
      <c r="B407" s="1289" t="s">
        <v>23</v>
      </c>
      <c r="C407" s="1289"/>
      <c r="D407" s="1289"/>
      <c r="E407" s="1290"/>
      <c r="F407" s="826"/>
    </row>
    <row r="408" spans="1:6" customFormat="1" x14ac:dyDescent="0.25">
      <c r="A408" s="1255"/>
      <c r="B408" s="1292"/>
      <c r="C408" s="1292"/>
      <c r="D408" s="1292"/>
      <c r="E408" s="1293"/>
      <c r="F408" s="826"/>
    </row>
    <row r="409" spans="1:6" customFormat="1" ht="15.75" thickBot="1" x14ac:dyDescent="0.3">
      <c r="A409" s="1256"/>
      <c r="B409" s="1295"/>
      <c r="C409" s="1295"/>
      <c r="D409" s="1295"/>
      <c r="E409" s="1296"/>
      <c r="F409" s="826"/>
    </row>
    <row r="410" spans="1:6" customFormat="1" ht="12.75" customHeight="1" thickBot="1" x14ac:dyDescent="0.3">
      <c r="A410" s="17" t="s">
        <v>41</v>
      </c>
      <c r="B410" s="18">
        <f>IF(B406-B375=0,0,"Error")</f>
        <v>0</v>
      </c>
      <c r="C410" s="18">
        <f>IF(C406-C375=0,0,"Error")</f>
        <v>0</v>
      </c>
      <c r="D410" s="18">
        <f>IF(D406-D375=0,0,"Error")</f>
        <v>0</v>
      </c>
      <c r="E410" s="18">
        <f>IF(E406-E375=0,0,"Error")</f>
        <v>0</v>
      </c>
      <c r="F410" s="826"/>
    </row>
    <row r="411" spans="1:6" ht="25.5" customHeight="1" thickBot="1" x14ac:dyDescent="0.3">
      <c r="A411" s="2302" t="s">
        <v>63</v>
      </c>
      <c r="B411" s="2303"/>
      <c r="C411" s="2303"/>
      <c r="D411" s="2303"/>
      <c r="E411" s="2304"/>
    </row>
    <row r="412" spans="1:6" ht="15.75" thickBot="1" x14ac:dyDescent="0.3">
      <c r="A412" s="2302" t="s">
        <v>64</v>
      </c>
      <c r="B412" s="2303"/>
      <c r="C412" s="2303"/>
      <c r="D412" s="2303"/>
      <c r="E412" s="2304"/>
    </row>
    <row r="413" spans="1:6" customFormat="1" ht="15.75" thickBot="1" x14ac:dyDescent="0.3">
      <c r="A413" s="20" t="s">
        <v>851</v>
      </c>
      <c r="B413" s="1241" t="s">
        <v>852</v>
      </c>
      <c r="C413" s="1242"/>
      <c r="D413" s="1242"/>
      <c r="E413" s="1318"/>
      <c r="F413" s="826"/>
    </row>
    <row r="414" spans="1:6" customFormat="1" ht="21.75" customHeight="1" thickBot="1" x14ac:dyDescent="0.3">
      <c r="A414" s="7" t="s">
        <v>123</v>
      </c>
      <c r="B414" s="1330" t="s">
        <v>853</v>
      </c>
      <c r="C414" s="1331"/>
      <c r="D414" s="1331"/>
      <c r="E414" s="1332"/>
      <c r="F414" s="826"/>
    </row>
    <row r="415" spans="1:6" customFormat="1" ht="24" customHeight="1" thickBot="1" x14ac:dyDescent="0.3">
      <c r="A415" s="5" t="s">
        <v>17</v>
      </c>
      <c r="B415" s="1330" t="s">
        <v>853</v>
      </c>
      <c r="C415" s="1331"/>
      <c r="D415" s="1331"/>
      <c r="E415" s="1332"/>
      <c r="F415" s="826"/>
    </row>
    <row r="416" spans="1:6" customFormat="1" ht="15.75" thickBot="1" x14ac:dyDescent="0.3">
      <c r="A416" s="5" t="s">
        <v>18</v>
      </c>
      <c r="B416" s="1243" t="s">
        <v>854</v>
      </c>
      <c r="C416" s="1244"/>
      <c r="D416" s="1244"/>
      <c r="E416" s="1315"/>
      <c r="F416" s="826"/>
    </row>
    <row r="417" spans="1:9" customFormat="1" ht="12.75" customHeight="1" x14ac:dyDescent="0.25">
      <c r="A417" s="1250"/>
      <c r="B417" s="8">
        <v>2018</v>
      </c>
      <c r="C417" s="8">
        <v>2019</v>
      </c>
      <c r="D417" s="8">
        <v>2020</v>
      </c>
      <c r="E417" s="8">
        <v>2021</v>
      </c>
      <c r="F417" s="826"/>
    </row>
    <row r="418" spans="1:9" customFormat="1" ht="9" customHeight="1" thickBot="1" x14ac:dyDescent="0.3">
      <c r="A418" s="1251"/>
      <c r="B418" s="9" t="s">
        <v>10</v>
      </c>
      <c r="C418" s="9" t="s">
        <v>11</v>
      </c>
      <c r="D418" s="9" t="s">
        <v>11</v>
      </c>
      <c r="E418" s="9" t="s">
        <v>11</v>
      </c>
      <c r="F418" s="826"/>
    </row>
    <row r="419" spans="1:9" customFormat="1" ht="15.75" thickBot="1" x14ac:dyDescent="0.3">
      <c r="A419" s="5" t="s">
        <v>19</v>
      </c>
      <c r="B419" s="10">
        <v>1</v>
      </c>
      <c r="C419" s="10"/>
      <c r="D419" s="10"/>
      <c r="E419" s="10"/>
      <c r="F419" s="826"/>
    </row>
    <row r="420" spans="1:9" customFormat="1" ht="15.75" thickBot="1" x14ac:dyDescent="0.3">
      <c r="A420" s="5" t="s">
        <v>20</v>
      </c>
      <c r="B420" s="10">
        <v>10000</v>
      </c>
      <c r="C420" s="10"/>
      <c r="D420" s="10"/>
      <c r="E420" s="10"/>
      <c r="F420" s="826"/>
    </row>
    <row r="421" spans="1:9" customFormat="1" ht="15.75" thickBot="1" x14ac:dyDescent="0.3">
      <c r="A421" s="5" t="s">
        <v>21</v>
      </c>
      <c r="B421" s="10">
        <f>B420/B419</f>
        <v>10000</v>
      </c>
      <c r="C421" s="10" t="e">
        <f>C420/C419</f>
        <v>#DIV/0!</v>
      </c>
      <c r="D421" s="10" t="e">
        <f>D420/D419</f>
        <v>#DIV/0!</v>
      </c>
      <c r="E421" s="10" t="e">
        <f>E420/E419</f>
        <v>#DIV/0!</v>
      </c>
      <c r="F421" s="826"/>
    </row>
    <row r="422" spans="1:9" customFormat="1" ht="15.75" thickBot="1" x14ac:dyDescent="0.3">
      <c r="A422" s="5" t="s">
        <v>22</v>
      </c>
      <c r="B422" s="225" t="s">
        <v>23</v>
      </c>
      <c r="C422" s="11">
        <f t="shared" ref="C422:E424" si="12">C419/B419-1</f>
        <v>-1</v>
      </c>
      <c r="D422" s="11" t="e">
        <f t="shared" si="12"/>
        <v>#DIV/0!</v>
      </c>
      <c r="E422" s="11" t="e">
        <f t="shared" si="12"/>
        <v>#DIV/0!</v>
      </c>
      <c r="F422" s="827"/>
      <c r="G422" s="12"/>
      <c r="H422" s="12"/>
      <c r="I422" s="12"/>
    </row>
    <row r="423" spans="1:9" customFormat="1" ht="15.75" thickBot="1" x14ac:dyDescent="0.3">
      <c r="A423" s="5" t="s">
        <v>24</v>
      </c>
      <c r="B423" s="225" t="s">
        <v>23</v>
      </c>
      <c r="C423" s="11">
        <f t="shared" si="12"/>
        <v>-1</v>
      </c>
      <c r="D423" s="11" t="e">
        <f t="shared" si="12"/>
        <v>#DIV/0!</v>
      </c>
      <c r="E423" s="11" t="e">
        <f t="shared" si="12"/>
        <v>#DIV/0!</v>
      </c>
      <c r="F423" s="826"/>
    </row>
    <row r="424" spans="1:9" customFormat="1" ht="15.75" thickBot="1" x14ac:dyDescent="0.3">
      <c r="A424" s="5" t="s">
        <v>25</v>
      </c>
      <c r="B424" s="225" t="s">
        <v>23</v>
      </c>
      <c r="C424" s="11" t="e">
        <f t="shared" si="12"/>
        <v>#DIV/0!</v>
      </c>
      <c r="D424" s="11" t="e">
        <f t="shared" si="12"/>
        <v>#DIV/0!</v>
      </c>
      <c r="E424" s="11" t="e">
        <f t="shared" si="12"/>
        <v>#DIV/0!</v>
      </c>
      <c r="F424" s="826"/>
    </row>
    <row r="425" spans="1:9" customFormat="1" ht="15.75" customHeight="1" thickBot="1" x14ac:dyDescent="0.3">
      <c r="A425" s="1252" t="s">
        <v>633</v>
      </c>
      <c r="B425" s="1253"/>
      <c r="C425" s="1253"/>
      <c r="D425" s="1253"/>
      <c r="E425" s="1300"/>
      <c r="F425" s="826"/>
    </row>
    <row r="426" spans="1:9" customFormat="1" ht="12.75" customHeight="1" x14ac:dyDescent="0.25">
      <c r="A426" s="1250"/>
      <c r="B426" s="8">
        <v>2018</v>
      </c>
      <c r="C426" s="8">
        <v>2019</v>
      </c>
      <c r="D426" s="8">
        <v>2020</v>
      </c>
      <c r="E426" s="8">
        <v>2021</v>
      </c>
      <c r="F426" s="826"/>
    </row>
    <row r="427" spans="1:9" customFormat="1" ht="9" customHeight="1" thickBot="1" x14ac:dyDescent="0.3">
      <c r="A427" s="1251"/>
      <c r="B427" s="9" t="s">
        <v>10</v>
      </c>
      <c r="C427" s="9" t="s">
        <v>11</v>
      </c>
      <c r="D427" s="9" t="s">
        <v>11</v>
      </c>
      <c r="E427" s="9" t="s">
        <v>11</v>
      </c>
      <c r="F427" s="826"/>
    </row>
    <row r="428" spans="1:9" customFormat="1" ht="15.75" thickBot="1" x14ac:dyDescent="0.3">
      <c r="A428" s="13" t="s">
        <v>58</v>
      </c>
      <c r="B428" s="14"/>
      <c r="C428" s="14"/>
      <c r="D428" s="14"/>
      <c r="E428" s="14"/>
      <c r="F428" s="826"/>
    </row>
    <row r="429" spans="1:9" customFormat="1" ht="15.75" thickBot="1" x14ac:dyDescent="0.3">
      <c r="A429" s="13" t="s">
        <v>59</v>
      </c>
      <c r="B429" s="10">
        <v>10000</v>
      </c>
      <c r="C429" s="10"/>
      <c r="D429" s="10"/>
      <c r="E429" s="14"/>
      <c r="F429" s="826"/>
    </row>
    <row r="430" spans="1:9" ht="15.75" thickBot="1" x14ac:dyDescent="0.3">
      <c r="A430" s="829" t="s">
        <v>40</v>
      </c>
      <c r="B430" s="144">
        <f>B429+B428</f>
        <v>10000</v>
      </c>
      <c r="C430" s="144">
        <f>C429+C428</f>
        <v>0</v>
      </c>
      <c r="D430" s="144">
        <f>D429+D428</f>
        <v>0</v>
      </c>
      <c r="E430" s="144">
        <f>E429+E428</f>
        <v>0</v>
      </c>
    </row>
    <row r="431" spans="1:9" customFormat="1" ht="15" customHeight="1" x14ac:dyDescent="0.25">
      <c r="A431" s="1254" t="s">
        <v>60</v>
      </c>
      <c r="B431" s="1322"/>
      <c r="C431" s="1289"/>
      <c r="D431" s="1289"/>
      <c r="E431" s="1290"/>
      <c r="F431" s="826"/>
    </row>
    <row r="432" spans="1:9" customFormat="1" x14ac:dyDescent="0.25">
      <c r="A432" s="1255"/>
      <c r="B432" s="1291"/>
      <c r="C432" s="1292"/>
      <c r="D432" s="1292"/>
      <c r="E432" s="1293"/>
      <c r="F432" s="826"/>
    </row>
    <row r="433" spans="1:9" customFormat="1" ht="15.75" thickBot="1" x14ac:dyDescent="0.3">
      <c r="A433" s="1256"/>
      <c r="B433" s="1294"/>
      <c r="C433" s="1295"/>
      <c r="D433" s="1295"/>
      <c r="E433" s="1296"/>
      <c r="F433" s="826"/>
    </row>
    <row r="434" spans="1:9" customFormat="1" ht="15.75" thickBot="1" x14ac:dyDescent="0.3">
      <c r="A434" s="20" t="s">
        <v>855</v>
      </c>
      <c r="B434" s="1241" t="s">
        <v>856</v>
      </c>
      <c r="C434" s="1242"/>
      <c r="D434" s="1242"/>
      <c r="E434" s="1318"/>
      <c r="F434" s="826"/>
    </row>
    <row r="435" spans="1:9" customFormat="1" ht="45" customHeight="1" thickBot="1" x14ac:dyDescent="0.3">
      <c r="A435" s="7" t="s">
        <v>123</v>
      </c>
      <c r="B435" s="2296" t="s">
        <v>857</v>
      </c>
      <c r="C435" s="2297"/>
      <c r="D435" s="2297"/>
      <c r="E435" s="2298"/>
      <c r="F435" s="826"/>
    </row>
    <row r="436" spans="1:9" customFormat="1" ht="63" customHeight="1" thickBot="1" x14ac:dyDescent="0.3">
      <c r="A436" s="5" t="s">
        <v>17</v>
      </c>
      <c r="B436" s="1333" t="s">
        <v>858</v>
      </c>
      <c r="C436" s="1334"/>
      <c r="D436" s="1334"/>
      <c r="E436" s="1335"/>
      <c r="F436" s="826"/>
    </row>
    <row r="437" spans="1:9" customFormat="1" ht="15.75" thickBot="1" x14ac:dyDescent="0.3">
      <c r="A437" s="5" t="s">
        <v>18</v>
      </c>
      <c r="B437" s="2299" t="s">
        <v>1463</v>
      </c>
      <c r="C437" s="2300"/>
      <c r="D437" s="2300"/>
      <c r="E437" s="2301"/>
      <c r="F437" s="826"/>
    </row>
    <row r="438" spans="1:9" customFormat="1" ht="12.75" customHeight="1" x14ac:dyDescent="0.25">
      <c r="A438" s="1250"/>
      <c r="B438" s="8">
        <v>2018</v>
      </c>
      <c r="C438" s="8">
        <v>2019</v>
      </c>
      <c r="D438" s="8">
        <v>2020</v>
      </c>
      <c r="E438" s="8">
        <v>2021</v>
      </c>
      <c r="F438" s="826"/>
    </row>
    <row r="439" spans="1:9" customFormat="1" ht="9" customHeight="1" thickBot="1" x14ac:dyDescent="0.3">
      <c r="A439" s="1251"/>
      <c r="B439" s="9" t="s">
        <v>10</v>
      </c>
      <c r="C439" s="9" t="s">
        <v>11</v>
      </c>
      <c r="D439" s="9" t="s">
        <v>11</v>
      </c>
      <c r="E439" s="9" t="s">
        <v>11</v>
      </c>
      <c r="F439" s="826"/>
    </row>
    <row r="440" spans="1:9" customFormat="1" ht="15.75" thickBot="1" x14ac:dyDescent="0.3">
      <c r="A440" s="5" t="s">
        <v>19</v>
      </c>
      <c r="B440" s="10">
        <v>1</v>
      </c>
      <c r="C440" s="10">
        <v>1</v>
      </c>
      <c r="D440" s="10">
        <v>1</v>
      </c>
      <c r="E440" s="10"/>
      <c r="F440" s="826"/>
    </row>
    <row r="441" spans="1:9" customFormat="1" ht="15.75" thickBot="1" x14ac:dyDescent="0.3">
      <c r="A441" s="5" t="s">
        <v>20</v>
      </c>
      <c r="B441" s="10">
        <v>4000</v>
      </c>
      <c r="C441" s="10">
        <v>4200</v>
      </c>
      <c r="D441" s="10">
        <v>1300</v>
      </c>
      <c r="E441" s="10">
        <v>0</v>
      </c>
      <c r="F441" s="826"/>
    </row>
    <row r="442" spans="1:9" customFormat="1" ht="15.75" thickBot="1" x14ac:dyDescent="0.3">
      <c r="A442" s="5" t="s">
        <v>21</v>
      </c>
      <c r="B442" s="10">
        <f>B441/B440</f>
        <v>4000</v>
      </c>
      <c r="C442" s="10">
        <f>C441/C440</f>
        <v>4200</v>
      </c>
      <c r="D442" s="10">
        <f>D441/D440</f>
        <v>1300</v>
      </c>
      <c r="E442" s="10" t="e">
        <f>E441/E440</f>
        <v>#DIV/0!</v>
      </c>
      <c r="F442" s="826"/>
    </row>
    <row r="443" spans="1:9" customFormat="1" ht="15.75" thickBot="1" x14ac:dyDescent="0.3">
      <c r="A443" s="5" t="s">
        <v>22</v>
      </c>
      <c r="B443" s="225" t="s">
        <v>23</v>
      </c>
      <c r="C443" s="11">
        <f t="shared" ref="C443:E445" si="13">C440/B440-1</f>
        <v>0</v>
      </c>
      <c r="D443" s="11">
        <f t="shared" si="13"/>
        <v>0</v>
      </c>
      <c r="E443" s="11">
        <f t="shared" si="13"/>
        <v>-1</v>
      </c>
      <c r="F443" s="827"/>
      <c r="G443" s="12"/>
      <c r="H443" s="12"/>
      <c r="I443" s="12"/>
    </row>
    <row r="444" spans="1:9" customFormat="1" ht="15.75" thickBot="1" x14ac:dyDescent="0.3">
      <c r="A444" s="5" t="s">
        <v>24</v>
      </c>
      <c r="B444" s="225" t="s">
        <v>23</v>
      </c>
      <c r="C444" s="11">
        <f t="shared" si="13"/>
        <v>5.0000000000000044E-2</v>
      </c>
      <c r="D444" s="11">
        <f t="shared" si="13"/>
        <v>-0.69047619047619047</v>
      </c>
      <c r="E444" s="11">
        <f t="shared" si="13"/>
        <v>-1</v>
      </c>
      <c r="F444" s="826"/>
    </row>
    <row r="445" spans="1:9" customFormat="1" ht="15.75" thickBot="1" x14ac:dyDescent="0.3">
      <c r="A445" s="5" t="s">
        <v>25</v>
      </c>
      <c r="B445" s="225" t="s">
        <v>23</v>
      </c>
      <c r="C445" s="11">
        <f t="shared" si="13"/>
        <v>5.0000000000000044E-2</v>
      </c>
      <c r="D445" s="11">
        <f t="shared" si="13"/>
        <v>-0.69047619047619047</v>
      </c>
      <c r="E445" s="11" t="e">
        <f t="shared" si="13"/>
        <v>#DIV/0!</v>
      </c>
      <c r="F445" s="826"/>
    </row>
    <row r="446" spans="1:9" customFormat="1" ht="15.75" customHeight="1" thickBot="1" x14ac:dyDescent="0.3">
      <c r="A446" s="1252" t="s">
        <v>635</v>
      </c>
      <c r="B446" s="1253"/>
      <c r="C446" s="1253"/>
      <c r="D446" s="1253"/>
      <c r="E446" s="1300"/>
      <c r="F446" s="826"/>
    </row>
    <row r="447" spans="1:9" customFormat="1" ht="12.75" customHeight="1" x14ac:dyDescent="0.25">
      <c r="A447" s="1250"/>
      <c r="B447" s="8">
        <v>2018</v>
      </c>
      <c r="C447" s="8">
        <v>2019</v>
      </c>
      <c r="D447" s="8">
        <v>2020</v>
      </c>
      <c r="E447" s="8">
        <v>2021</v>
      </c>
      <c r="F447" s="826"/>
    </row>
    <row r="448" spans="1:9" customFormat="1" ht="9" customHeight="1" thickBot="1" x14ac:dyDescent="0.3">
      <c r="A448" s="1251"/>
      <c r="B448" s="9" t="s">
        <v>10</v>
      </c>
      <c r="C448" s="9" t="s">
        <v>11</v>
      </c>
      <c r="D448" s="9" t="s">
        <v>11</v>
      </c>
      <c r="E448" s="9" t="s">
        <v>11</v>
      </c>
      <c r="F448" s="826"/>
    </row>
    <row r="449" spans="1:9" customFormat="1" ht="15.75" thickBot="1" x14ac:dyDescent="0.3">
      <c r="A449" s="13" t="s">
        <v>58</v>
      </c>
      <c r="B449" s="14"/>
      <c r="C449" s="14"/>
      <c r="D449" s="14"/>
      <c r="E449" s="14"/>
      <c r="F449" s="826"/>
    </row>
    <row r="450" spans="1:9" customFormat="1" ht="15.75" thickBot="1" x14ac:dyDescent="0.3">
      <c r="A450" s="13" t="s">
        <v>59</v>
      </c>
      <c r="B450" s="10">
        <v>4000</v>
      </c>
      <c r="C450" s="10">
        <v>4200</v>
      </c>
      <c r="D450" s="10">
        <v>1300</v>
      </c>
      <c r="E450" s="14"/>
      <c r="F450" s="826"/>
    </row>
    <row r="451" spans="1:9" ht="15.75" thickBot="1" x14ac:dyDescent="0.3">
      <c r="A451" s="829" t="s">
        <v>74</v>
      </c>
      <c r="B451" s="144">
        <f>B450+B449</f>
        <v>4000</v>
      </c>
      <c r="C451" s="144">
        <f>C450+C449</f>
        <v>4200</v>
      </c>
      <c r="D451" s="144">
        <f>D450+D449</f>
        <v>1300</v>
      </c>
      <c r="E451" s="144">
        <f>E450+E449</f>
        <v>0</v>
      </c>
    </row>
    <row r="452" spans="1:9" customFormat="1" ht="15" customHeight="1" x14ac:dyDescent="0.25">
      <c r="A452" s="1254" t="s">
        <v>62</v>
      </c>
      <c r="B452" s="1322"/>
      <c r="C452" s="1289"/>
      <c r="D452" s="1289"/>
      <c r="E452" s="1290"/>
      <c r="F452" s="826"/>
    </row>
    <row r="453" spans="1:9" customFormat="1" x14ac:dyDescent="0.25">
      <c r="A453" s="1255"/>
      <c r="B453" s="1291"/>
      <c r="C453" s="1292"/>
      <c r="D453" s="1292"/>
      <c r="E453" s="1293"/>
      <c r="F453" s="826"/>
    </row>
    <row r="454" spans="1:9" customFormat="1" ht="15.75" thickBot="1" x14ac:dyDescent="0.3">
      <c r="A454" s="1256"/>
      <c r="B454" s="1294"/>
      <c r="C454" s="1295"/>
      <c r="D454" s="1295"/>
      <c r="E454" s="1296"/>
      <c r="F454" s="826"/>
    </row>
    <row r="455" spans="1:9" customFormat="1" ht="15.75" hidden="1" thickBot="1" x14ac:dyDescent="0.3">
      <c r="A455" s="20" t="s">
        <v>61</v>
      </c>
      <c r="B455" s="1241" t="s">
        <v>859</v>
      </c>
      <c r="C455" s="1242"/>
      <c r="D455" s="1242"/>
      <c r="E455" s="1318"/>
      <c r="F455" s="826"/>
    </row>
    <row r="456" spans="1:9" customFormat="1" ht="45" hidden="1" customHeight="1" thickBot="1" x14ac:dyDescent="0.3">
      <c r="A456" s="7" t="s">
        <v>123</v>
      </c>
      <c r="B456" s="2296" t="s">
        <v>860</v>
      </c>
      <c r="C456" s="2297"/>
      <c r="D456" s="2297"/>
      <c r="E456" s="2298"/>
      <c r="F456" s="826"/>
    </row>
    <row r="457" spans="1:9" customFormat="1" ht="90.75" hidden="1" customHeight="1" thickBot="1" x14ac:dyDescent="0.3">
      <c r="A457" s="5" t="s">
        <v>17</v>
      </c>
      <c r="B457" s="1333" t="s">
        <v>861</v>
      </c>
      <c r="C457" s="1334"/>
      <c r="D457" s="1334"/>
      <c r="E457" s="1335"/>
      <c r="F457" s="826"/>
    </row>
    <row r="458" spans="1:9" customFormat="1" ht="15.75" hidden="1" thickBot="1" x14ac:dyDescent="0.3">
      <c r="A458" s="5" t="s">
        <v>18</v>
      </c>
      <c r="B458" s="1248"/>
      <c r="C458" s="1249"/>
      <c r="D458" s="1249"/>
      <c r="E458" s="1316"/>
      <c r="F458" s="826"/>
    </row>
    <row r="459" spans="1:9" customFormat="1" ht="12.75" hidden="1" customHeight="1" x14ac:dyDescent="0.25">
      <c r="A459" s="1250"/>
      <c r="B459" s="8">
        <v>2018</v>
      </c>
      <c r="C459" s="8">
        <v>2019</v>
      </c>
      <c r="D459" s="8">
        <v>2020</v>
      </c>
      <c r="E459" s="8">
        <v>2021</v>
      </c>
      <c r="F459" s="826"/>
    </row>
    <row r="460" spans="1:9" customFormat="1" ht="9" hidden="1" customHeight="1" thickBot="1" x14ac:dyDescent="0.3">
      <c r="A460" s="1251"/>
      <c r="B460" s="9" t="s">
        <v>10</v>
      </c>
      <c r="C460" s="9" t="s">
        <v>11</v>
      </c>
      <c r="D460" s="9" t="s">
        <v>11</v>
      </c>
      <c r="E460" s="9" t="s">
        <v>11</v>
      </c>
      <c r="F460" s="826"/>
    </row>
    <row r="461" spans="1:9" customFormat="1" ht="15.75" hidden="1" thickBot="1" x14ac:dyDescent="0.3">
      <c r="A461" s="5" t="s">
        <v>19</v>
      </c>
      <c r="B461" s="10">
        <v>0</v>
      </c>
      <c r="C461" s="10">
        <v>0</v>
      </c>
      <c r="D461" s="10">
        <v>150</v>
      </c>
      <c r="E461" s="10">
        <v>150</v>
      </c>
      <c r="F461" s="826"/>
    </row>
    <row r="462" spans="1:9" customFormat="1" ht="15.75" hidden="1" thickBot="1" x14ac:dyDescent="0.3">
      <c r="A462" s="5" t="s">
        <v>20</v>
      </c>
      <c r="B462" s="10"/>
      <c r="C462" s="10"/>
      <c r="D462" s="10">
        <v>180600</v>
      </c>
      <c r="E462" s="10">
        <v>180600</v>
      </c>
      <c r="F462" s="826"/>
    </row>
    <row r="463" spans="1:9" customFormat="1" ht="15.75" hidden="1" thickBot="1" x14ac:dyDescent="0.3">
      <c r="A463" s="5" t="s">
        <v>21</v>
      </c>
      <c r="B463" s="10" t="e">
        <f>B462/B461</f>
        <v>#DIV/0!</v>
      </c>
      <c r="C463" s="10" t="e">
        <f>C462/C461</f>
        <v>#DIV/0!</v>
      </c>
      <c r="D463" s="10">
        <f>D462/D461</f>
        <v>1204</v>
      </c>
      <c r="E463" s="10">
        <f>E462/E461</f>
        <v>1204</v>
      </c>
      <c r="F463" s="826"/>
    </row>
    <row r="464" spans="1:9" customFormat="1" ht="15.75" hidden="1" thickBot="1" x14ac:dyDescent="0.3">
      <c r="A464" s="5" t="s">
        <v>22</v>
      </c>
      <c r="B464" s="225" t="s">
        <v>23</v>
      </c>
      <c r="C464" s="11" t="e">
        <f t="shared" ref="C464:E466" si="14">C461/B461-1</f>
        <v>#DIV/0!</v>
      </c>
      <c r="D464" s="11" t="e">
        <f t="shared" si="14"/>
        <v>#DIV/0!</v>
      </c>
      <c r="E464" s="11">
        <f t="shared" si="14"/>
        <v>0</v>
      </c>
      <c r="F464" s="827"/>
      <c r="G464" s="12"/>
      <c r="H464" s="12"/>
      <c r="I464" s="12"/>
    </row>
    <row r="465" spans="1:6" customFormat="1" ht="15.75" hidden="1" thickBot="1" x14ac:dyDescent="0.3">
      <c r="A465" s="5" t="s">
        <v>24</v>
      </c>
      <c r="B465" s="225" t="s">
        <v>23</v>
      </c>
      <c r="C465" s="11" t="e">
        <f t="shared" si="14"/>
        <v>#DIV/0!</v>
      </c>
      <c r="D465" s="11" t="e">
        <f t="shared" si="14"/>
        <v>#DIV/0!</v>
      </c>
      <c r="E465" s="11">
        <f t="shared" si="14"/>
        <v>0</v>
      </c>
      <c r="F465" s="826"/>
    </row>
    <row r="466" spans="1:6" customFormat="1" ht="15.75" hidden="1" thickBot="1" x14ac:dyDescent="0.3">
      <c r="A466" s="5" t="s">
        <v>25</v>
      </c>
      <c r="B466" s="225" t="s">
        <v>23</v>
      </c>
      <c r="C466" s="11" t="e">
        <f t="shared" si="14"/>
        <v>#DIV/0!</v>
      </c>
      <c r="D466" s="11" t="e">
        <f t="shared" si="14"/>
        <v>#DIV/0!</v>
      </c>
      <c r="E466" s="11">
        <f t="shared" si="14"/>
        <v>0</v>
      </c>
      <c r="F466" s="826"/>
    </row>
    <row r="467" spans="1:6" customFormat="1" ht="15.75" hidden="1" customHeight="1" thickBot="1" x14ac:dyDescent="0.3">
      <c r="A467" s="1252" t="s">
        <v>635</v>
      </c>
      <c r="B467" s="1253"/>
      <c r="C467" s="1253"/>
      <c r="D467" s="1253"/>
      <c r="E467" s="1300"/>
      <c r="F467" s="826"/>
    </row>
    <row r="468" spans="1:6" customFormat="1" ht="12.75" hidden="1" customHeight="1" x14ac:dyDescent="0.25">
      <c r="A468" s="1250"/>
      <c r="B468" s="8">
        <v>2018</v>
      </c>
      <c r="C468" s="8">
        <v>2019</v>
      </c>
      <c r="D468" s="8">
        <v>2020</v>
      </c>
      <c r="E468" s="8">
        <v>2021</v>
      </c>
      <c r="F468" s="826"/>
    </row>
    <row r="469" spans="1:6" customFormat="1" ht="9" hidden="1" customHeight="1" thickBot="1" x14ac:dyDescent="0.3">
      <c r="A469" s="1251"/>
      <c r="B469" s="9" t="s">
        <v>10</v>
      </c>
      <c r="C469" s="9" t="s">
        <v>11</v>
      </c>
      <c r="D469" s="9" t="s">
        <v>11</v>
      </c>
      <c r="E469" s="9" t="s">
        <v>11</v>
      </c>
      <c r="F469" s="826"/>
    </row>
    <row r="470" spans="1:6" customFormat="1" ht="15.75" hidden="1" thickBot="1" x14ac:dyDescent="0.3">
      <c r="A470" s="13" t="s">
        <v>58</v>
      </c>
      <c r="B470" s="14"/>
      <c r="C470" s="14"/>
      <c r="D470" s="14"/>
      <c r="E470" s="14"/>
      <c r="F470" s="826"/>
    </row>
    <row r="471" spans="1:6" customFormat="1" ht="15.75" hidden="1" thickBot="1" x14ac:dyDescent="0.3">
      <c r="A471" s="13" t="s">
        <v>59</v>
      </c>
      <c r="B471" s="10"/>
      <c r="C471" s="10"/>
      <c r="D471" s="10">
        <v>180600</v>
      </c>
      <c r="E471" s="14">
        <v>180600</v>
      </c>
      <c r="F471" s="826"/>
    </row>
    <row r="472" spans="1:6" ht="15.75" hidden="1" thickBot="1" x14ac:dyDescent="0.3">
      <c r="A472" s="829" t="s">
        <v>74</v>
      </c>
      <c r="B472" s="144">
        <f>B471+B470</f>
        <v>0</v>
      </c>
      <c r="C472" s="144">
        <f>C471+C470</f>
        <v>0</v>
      </c>
      <c r="D472" s="144">
        <f>D471+D470</f>
        <v>180600</v>
      </c>
      <c r="E472" s="144">
        <f>E471+E470</f>
        <v>180600</v>
      </c>
    </row>
    <row r="473" spans="1:6" customFormat="1" ht="15" customHeight="1" x14ac:dyDescent="0.25">
      <c r="A473" s="1254" t="s">
        <v>62</v>
      </c>
      <c r="B473" s="1322"/>
      <c r="C473" s="1289"/>
      <c r="D473" s="1289"/>
      <c r="E473" s="1290"/>
      <c r="F473" s="826"/>
    </row>
    <row r="474" spans="1:6" customFormat="1" x14ac:dyDescent="0.25">
      <c r="A474" s="1255"/>
      <c r="B474" s="1291"/>
      <c r="C474" s="1292"/>
      <c r="D474" s="1292"/>
      <c r="E474" s="1293"/>
      <c r="F474" s="826"/>
    </row>
    <row r="475" spans="1:6" customFormat="1" ht="15.75" thickBot="1" x14ac:dyDescent="0.3">
      <c r="A475" s="1256"/>
      <c r="B475" s="1294"/>
      <c r="C475" s="1295"/>
      <c r="D475" s="1295"/>
      <c r="E475" s="1296"/>
      <c r="F475" s="826"/>
    </row>
    <row r="476" spans="1:6" customFormat="1" ht="15.75" customHeight="1" thickBot="1" x14ac:dyDescent="0.3">
      <c r="A476" s="22"/>
      <c r="B476" s="23"/>
      <c r="C476" s="23"/>
      <c r="D476" s="23"/>
      <c r="E476" s="23"/>
      <c r="F476" s="826"/>
    </row>
    <row r="477" spans="1:6" ht="27" customHeight="1" thickBot="1" x14ac:dyDescent="0.3">
      <c r="A477" s="828" t="s">
        <v>82</v>
      </c>
      <c r="B477" s="811">
        <f>B242+B221+B198+B153+B124+B101+B80+B37+B263+B288+B328+B375+B420+B441</f>
        <v>132900</v>
      </c>
      <c r="C477" s="811">
        <f>C242+C221+C198+C153+C124+C101+C80+C37+C263+C288+C328+C375+C420+C441</f>
        <v>170074.992</v>
      </c>
      <c r="D477" s="811">
        <f>D242+D221+D198+D153+D124+D101+D80+D37+D263+D288+D328+D375+D420+D441</f>
        <v>175099.992</v>
      </c>
      <c r="E477" s="811">
        <f>E242+E221+E198+E153+E124+E101+E80+E37+E263+E288+E328+E375+E420+E441</f>
        <v>167799.992</v>
      </c>
    </row>
    <row r="478" spans="1:6" ht="27" customHeight="1" thickBot="1" x14ac:dyDescent="0.3">
      <c r="A478" s="828" t="s">
        <v>83</v>
      </c>
      <c r="B478" s="811">
        <f>B480+B482+B484+B486+B488+B490+B492+B494+B496</f>
        <v>132900</v>
      </c>
      <c r="C478" s="811">
        <f>C480+C482+C484+C486+C488+C490+C492+C494+C496</f>
        <v>170074.992</v>
      </c>
      <c r="D478" s="811">
        <f>D477</f>
        <v>175099.992</v>
      </c>
      <c r="E478" s="811">
        <f>E477</f>
        <v>167799.992</v>
      </c>
    </row>
    <row r="479" spans="1:6" customFormat="1" ht="29.25" customHeight="1" thickBot="1" x14ac:dyDescent="0.3">
      <c r="A479" s="25" t="s">
        <v>84</v>
      </c>
      <c r="B479" s="26"/>
      <c r="C479" s="27">
        <f>C478/B478-1</f>
        <v>0.27972153498871322</v>
      </c>
      <c r="D479" s="27">
        <f>D478/C478-1</f>
        <v>2.9545790012443396E-2</v>
      </c>
      <c r="E479" s="27">
        <f>E478/D478-1</f>
        <v>-4.1690464497565527E-2</v>
      </c>
      <c r="F479" s="826"/>
    </row>
    <row r="480" spans="1:6" customFormat="1" ht="15.75" thickBot="1" x14ac:dyDescent="0.3">
      <c r="A480" s="13" t="s">
        <v>26</v>
      </c>
      <c r="B480" s="14">
        <f>B45+B163+B296+B336+B385</f>
        <v>44000</v>
      </c>
      <c r="C480" s="14">
        <f>C45+C163+C296+C336+C385</f>
        <v>42738</v>
      </c>
      <c r="D480" s="14">
        <f>D45+D163+D296+D336+D385</f>
        <v>43616</v>
      </c>
      <c r="E480" s="14">
        <f>E45+E163+E296+E336+E385</f>
        <v>43616</v>
      </c>
      <c r="F480" s="827"/>
    </row>
    <row r="481" spans="1:7" customFormat="1" ht="15.75" thickBot="1" x14ac:dyDescent="0.3">
      <c r="A481" s="28" t="s">
        <v>85</v>
      </c>
      <c r="B481" s="15"/>
      <c r="C481" s="29">
        <f>C480/B480-1</f>
        <v>-2.8681818181818142E-2</v>
      </c>
      <c r="D481" s="29">
        <f>D480/C480-1</f>
        <v>2.0543778370536669E-2</v>
      </c>
      <c r="E481" s="29">
        <f>E480/D480-1</f>
        <v>0</v>
      </c>
      <c r="F481" s="826"/>
    </row>
    <row r="482" spans="1:7" customFormat="1" ht="15.75" thickBot="1" x14ac:dyDescent="0.3">
      <c r="A482" s="13" t="s">
        <v>28</v>
      </c>
      <c r="B482" s="14">
        <f>B48+B166+B299+B339+B388</f>
        <v>7900</v>
      </c>
      <c r="C482" s="14">
        <f>C48+C166+C299+C339+C388</f>
        <v>7136.9920000000002</v>
      </c>
      <c r="D482" s="14">
        <f>D48+D166+D299+D339+D388</f>
        <v>7489.9920000000002</v>
      </c>
      <c r="E482" s="14">
        <f>E48+E166+E299+E339+E388</f>
        <v>7489.9920000000002</v>
      </c>
      <c r="F482" s="827"/>
    </row>
    <row r="483" spans="1:7" customFormat="1" ht="24.75" thickBot="1" x14ac:dyDescent="0.3">
      <c r="A483" s="28" t="s">
        <v>86</v>
      </c>
      <c r="B483" s="15"/>
      <c r="C483" s="29">
        <f>C482/B482-1</f>
        <v>-9.6583291139240468E-2</v>
      </c>
      <c r="D483" s="29">
        <f>D482/C482-1</f>
        <v>4.9460613098627482E-2</v>
      </c>
      <c r="E483" s="29">
        <f>E482/D482-1</f>
        <v>0</v>
      </c>
      <c r="F483" s="826"/>
    </row>
    <row r="484" spans="1:7" customFormat="1" ht="15.75" thickBot="1" x14ac:dyDescent="0.3">
      <c r="A484" s="13" t="s">
        <v>30</v>
      </c>
      <c r="B484" s="14">
        <f>B51+B169+B302+B342+B391</f>
        <v>23000</v>
      </c>
      <c r="C484" s="14">
        <f>C51+C169+C302+C342+C391</f>
        <v>12000</v>
      </c>
      <c r="D484" s="14">
        <f>D51+D169+D302+D342+D391</f>
        <v>12000</v>
      </c>
      <c r="E484" s="14">
        <f>E51+E169+E302+E342+E391</f>
        <v>12000</v>
      </c>
      <c r="F484" s="827"/>
    </row>
    <row r="485" spans="1:7" customFormat="1" ht="15.75" customHeight="1" thickBot="1" x14ac:dyDescent="0.3">
      <c r="A485" s="28" t="s">
        <v>87</v>
      </c>
      <c r="B485" s="15"/>
      <c r="C485" s="29">
        <f>C484/B484-1</f>
        <v>-0.47826086956521741</v>
      </c>
      <c r="D485" s="29">
        <f>D484/C484-1</f>
        <v>0</v>
      </c>
      <c r="E485" s="29">
        <f>E484/D484-1</f>
        <v>0</v>
      </c>
      <c r="F485" s="826"/>
    </row>
    <row r="486" spans="1:7" customFormat="1" ht="15.75" customHeight="1" thickBot="1" x14ac:dyDescent="0.3">
      <c r="A486" s="13" t="s">
        <v>32</v>
      </c>
      <c r="B486" s="14">
        <f>B54+B172+B305+B345+B394</f>
        <v>0</v>
      </c>
      <c r="C486" s="14">
        <f>C54+C172+C305+C345+C394</f>
        <v>0</v>
      </c>
      <c r="D486" s="14">
        <f>D54+D172+D305+D345+D394</f>
        <v>0</v>
      </c>
      <c r="E486" s="14">
        <f>E54+E172+E305+E345+E394</f>
        <v>0</v>
      </c>
      <c r="F486" s="826"/>
    </row>
    <row r="487" spans="1:7" customFormat="1" ht="15.75" customHeight="1" thickBot="1" x14ac:dyDescent="0.3">
      <c r="A487" s="28" t="s">
        <v>88</v>
      </c>
      <c r="B487" s="15"/>
      <c r="C487" s="29" t="e">
        <f>C486/B486-1</f>
        <v>#DIV/0!</v>
      </c>
      <c r="D487" s="29" t="e">
        <f>D486/C486-1</f>
        <v>#DIV/0!</v>
      </c>
      <c r="E487" s="29" t="e">
        <f>E486/D486-1</f>
        <v>#DIV/0!</v>
      </c>
      <c r="F487" s="826"/>
    </row>
    <row r="488" spans="1:7" customFormat="1" ht="15.75" thickBot="1" x14ac:dyDescent="0.3">
      <c r="A488" s="13" t="s">
        <v>34</v>
      </c>
      <c r="B488" s="14">
        <v>0</v>
      </c>
      <c r="C488" s="14">
        <v>0</v>
      </c>
      <c r="D488" s="14">
        <v>0</v>
      </c>
      <c r="E488" s="14">
        <v>0</v>
      </c>
      <c r="F488" s="826"/>
    </row>
    <row r="489" spans="1:7" customFormat="1" ht="15.75" thickBot="1" x14ac:dyDescent="0.3">
      <c r="A489" s="28" t="s">
        <v>89</v>
      </c>
      <c r="B489" s="15"/>
      <c r="C489" s="29" t="e">
        <f>C488/B488-1</f>
        <v>#DIV/0!</v>
      </c>
      <c r="D489" s="29" t="e">
        <f>D488/C488-1</f>
        <v>#DIV/0!</v>
      </c>
      <c r="E489" s="29" t="e">
        <f>E488/D488-1</f>
        <v>#DIV/0!</v>
      </c>
      <c r="F489" s="826"/>
    </row>
    <row r="490" spans="1:7" customFormat="1" ht="15.75" thickBot="1" x14ac:dyDescent="0.3">
      <c r="A490" s="13" t="s">
        <v>36</v>
      </c>
      <c r="B490" s="14">
        <f>B178+B311+B348+B400</f>
        <v>1000</v>
      </c>
      <c r="C490" s="14">
        <f>C178+C311+C348+C400</f>
        <v>1000</v>
      </c>
      <c r="D490" s="14">
        <f>D178+D311+D348+D400</f>
        <v>1000</v>
      </c>
      <c r="E490" s="14">
        <f>E178+E311+E348+E400</f>
        <v>1000</v>
      </c>
      <c r="F490" s="826"/>
    </row>
    <row r="491" spans="1:7" customFormat="1" ht="15.75" thickBot="1" x14ac:dyDescent="0.3">
      <c r="A491" s="28" t="s">
        <v>90</v>
      </c>
      <c r="B491" s="15"/>
      <c r="C491" s="29">
        <f>C490/B490-1</f>
        <v>0</v>
      </c>
      <c r="D491" s="29">
        <f>D490/C490-1</f>
        <v>0</v>
      </c>
      <c r="E491" s="29">
        <f>E490/D490-1</f>
        <v>0</v>
      </c>
      <c r="F491" s="826"/>
    </row>
    <row r="492" spans="1:7" customFormat="1" ht="15.75" thickBot="1" x14ac:dyDescent="0.3">
      <c r="A492" s="13" t="s">
        <v>38</v>
      </c>
      <c r="B492" s="14">
        <v>0</v>
      </c>
      <c r="C492" s="14">
        <v>0</v>
      </c>
      <c r="D492" s="14">
        <v>0</v>
      </c>
      <c r="E492" s="14">
        <v>0</v>
      </c>
      <c r="F492" s="826"/>
    </row>
    <row r="493" spans="1:7" customFormat="1" ht="15.75" thickBot="1" x14ac:dyDescent="0.3">
      <c r="A493" s="28" t="s">
        <v>91</v>
      </c>
      <c r="B493" s="15"/>
      <c r="C493" s="29" t="e">
        <f>C492/B492-1</f>
        <v>#DIV/0!</v>
      </c>
      <c r="D493" s="29" t="e">
        <f>D492/C492-1</f>
        <v>#DIV/0!</v>
      </c>
      <c r="E493" s="29" t="e">
        <f>E492/D492-1</f>
        <v>#DIV/0!</v>
      </c>
      <c r="F493" s="826"/>
    </row>
    <row r="494" spans="1:7" customFormat="1" ht="15.75" thickBot="1" x14ac:dyDescent="0.3">
      <c r="A494" s="13" t="s">
        <v>58</v>
      </c>
      <c r="B494" s="14">
        <f>B132+B206+B250+B271+B428+B229</f>
        <v>9500</v>
      </c>
      <c r="C494" s="14">
        <f>C132+C206+C250+C271+C428+C229</f>
        <v>8000</v>
      </c>
      <c r="D494" s="14">
        <f>D132+D206+D250+D271+D428+D229</f>
        <v>8000</v>
      </c>
      <c r="E494" s="14">
        <f>E132+E206+E250+E271+E428+E229</f>
        <v>0</v>
      </c>
      <c r="F494" s="827"/>
      <c r="G494" s="12"/>
    </row>
    <row r="495" spans="1:7" customFormat="1" ht="15.75" thickBot="1" x14ac:dyDescent="0.3">
      <c r="A495" s="28" t="s">
        <v>93</v>
      </c>
      <c r="B495" s="15"/>
      <c r="C495" s="29">
        <f>C494/B494-1</f>
        <v>-0.15789473684210531</v>
      </c>
      <c r="D495" s="29">
        <f>D494/C494-1</f>
        <v>0</v>
      </c>
      <c r="E495" s="29">
        <f>E494/D494-1</f>
        <v>-1</v>
      </c>
      <c r="F495" s="826"/>
    </row>
    <row r="496" spans="1:7" customFormat="1" ht="15.75" thickBot="1" x14ac:dyDescent="0.3">
      <c r="A496" s="13" t="s">
        <v>59</v>
      </c>
      <c r="B496" s="14">
        <f>B133+B207+B251+B272+B429+B230+B450</f>
        <v>47500</v>
      </c>
      <c r="C496" s="14">
        <f>C133+C207+C251+C272+C429+C230+C450</f>
        <v>99200</v>
      </c>
      <c r="D496" s="14">
        <f>D133+D207+D251+D272+D429+D230+D450</f>
        <v>102100</v>
      </c>
      <c r="E496" s="14">
        <f>E133+E207+E251+E272+E429+E230+E450</f>
        <v>100800</v>
      </c>
      <c r="F496" s="826"/>
    </row>
    <row r="497" spans="1:6" customFormat="1" ht="15.75" thickBot="1" x14ac:dyDescent="0.3">
      <c r="A497" s="28" t="s">
        <v>95</v>
      </c>
      <c r="B497" s="15"/>
      <c r="C497" s="29">
        <f>C496/B496-1</f>
        <v>1.088421052631579</v>
      </c>
      <c r="D497" s="29">
        <f>D496/C496-1</f>
        <v>2.9233870967741993E-2</v>
      </c>
      <c r="E497" s="29">
        <f>E496/D496-1</f>
        <v>-1.2732615083251742E-2</v>
      </c>
      <c r="F497" s="826"/>
    </row>
    <row r="498" spans="1:6" customFormat="1" ht="15.75" customHeight="1" x14ac:dyDescent="0.25">
      <c r="A498" s="1306" t="s">
        <v>871</v>
      </c>
      <c r="B498" s="1309"/>
      <c r="C498" s="1309"/>
      <c r="D498" s="1309"/>
      <c r="E498" s="1310"/>
      <c r="F498" s="826"/>
    </row>
    <row r="499" spans="1:6" customFormat="1" ht="15.75" customHeight="1" x14ac:dyDescent="0.25">
      <c r="A499" s="1307"/>
      <c r="B499" s="1311"/>
      <c r="C499" s="1311"/>
      <c r="D499" s="1311"/>
      <c r="E499" s="1312"/>
      <c r="F499" s="826"/>
    </row>
    <row r="500" spans="1:6" customFormat="1" ht="15.75" thickBot="1" x14ac:dyDescent="0.3">
      <c r="A500" s="1308"/>
      <c r="B500" s="1313"/>
      <c r="C500" s="1313"/>
      <c r="D500" s="1313"/>
      <c r="E500" s="1314"/>
      <c r="F500" s="826"/>
    </row>
    <row r="501" spans="1:6" customFormat="1" ht="15.75" thickBot="1" x14ac:dyDescent="0.3">
      <c r="A501" s="17" t="s">
        <v>41</v>
      </c>
      <c r="B501" s="18">
        <f>IF(B478-B477=0,0,"Error")</f>
        <v>0</v>
      </c>
      <c r="C501" s="18">
        <f>IF(C478-C477=0,0,"Error")</f>
        <v>0</v>
      </c>
      <c r="D501" s="18">
        <f>IF(D478-D477=0,0,"Error")</f>
        <v>0</v>
      </c>
      <c r="E501" s="18">
        <f>IF(E478-E477=0,0,"Error")</f>
        <v>0</v>
      </c>
      <c r="F501" s="826"/>
    </row>
    <row r="502" spans="1:6" customFormat="1" ht="24.75" thickBot="1" x14ac:dyDescent="0.3">
      <c r="A502" s="30" t="s">
        <v>96</v>
      </c>
      <c r="B502" s="145">
        <v>46</v>
      </c>
      <c r="C502" s="14">
        <v>46</v>
      </c>
      <c r="D502" s="14">
        <v>46</v>
      </c>
      <c r="E502" s="14">
        <v>46</v>
      </c>
      <c r="F502" s="826"/>
    </row>
    <row r="503" spans="1:6" customFormat="1" ht="24.75" thickBot="1" x14ac:dyDescent="0.3">
      <c r="A503" s="30" t="s">
        <v>97</v>
      </c>
      <c r="B503" s="14">
        <v>0</v>
      </c>
      <c r="C503" s="14">
        <v>0</v>
      </c>
      <c r="D503" s="14">
        <v>0</v>
      </c>
      <c r="E503" s="14">
        <v>0</v>
      </c>
      <c r="F503" s="826"/>
    </row>
  </sheetData>
  <mergeCells count="176">
    <mergeCell ref="A10:E10"/>
    <mergeCell ref="A11:E11"/>
    <mergeCell ref="B13:E13"/>
    <mergeCell ref="B14:E14"/>
    <mergeCell ref="B15:E15"/>
    <mergeCell ref="A16:E16"/>
    <mergeCell ref="A17:E19"/>
    <mergeCell ref="B20:E20"/>
    <mergeCell ref="A21:A22"/>
    <mergeCell ref="B26:E26"/>
    <mergeCell ref="A27:E27"/>
    <mergeCell ref="A29:E29"/>
    <mergeCell ref="A30:E30"/>
    <mergeCell ref="B31:E31"/>
    <mergeCell ref="B32:E32"/>
    <mergeCell ref="B33:E33"/>
    <mergeCell ref="A34:A35"/>
    <mergeCell ref="A42:E42"/>
    <mergeCell ref="A43:A44"/>
    <mergeCell ref="A67:A69"/>
    <mergeCell ref="B67:E69"/>
    <mergeCell ref="A71:E71"/>
    <mergeCell ref="A72:E72"/>
    <mergeCell ref="B73:E73"/>
    <mergeCell ref="B74:E74"/>
    <mergeCell ref="B75:E75"/>
    <mergeCell ref="B76:E76"/>
    <mergeCell ref="A77:A78"/>
    <mergeCell ref="A85:E85"/>
    <mergeCell ref="A86:A87"/>
    <mergeCell ref="A91:A93"/>
    <mergeCell ref="B91:E93"/>
    <mergeCell ref="B94:E94"/>
    <mergeCell ref="B95:E95"/>
    <mergeCell ref="B96:E96"/>
    <mergeCell ref="B97:E97"/>
    <mergeCell ref="A98:A99"/>
    <mergeCell ref="A106:E106"/>
    <mergeCell ref="A107:A108"/>
    <mergeCell ref="A112:A114"/>
    <mergeCell ref="B112:E114"/>
    <mergeCell ref="A115:E115"/>
    <mergeCell ref="A116:E116"/>
    <mergeCell ref="B117:E117"/>
    <mergeCell ref="B118:E118"/>
    <mergeCell ref="B119:E119"/>
    <mergeCell ref="B120:E120"/>
    <mergeCell ref="A121:A122"/>
    <mergeCell ref="A129:E129"/>
    <mergeCell ref="A130:A131"/>
    <mergeCell ref="A135:A137"/>
    <mergeCell ref="B135:E137"/>
    <mergeCell ref="B138:E138"/>
    <mergeCell ref="A139:E139"/>
    <mergeCell ref="A143:E143"/>
    <mergeCell ref="A144:E144"/>
    <mergeCell ref="A145:A146"/>
    <mergeCell ref="B147:E147"/>
    <mergeCell ref="B148:E148"/>
    <mergeCell ref="B149:E149"/>
    <mergeCell ref="A150:A151"/>
    <mergeCell ref="A158:A159"/>
    <mergeCell ref="A160:E160"/>
    <mergeCell ref="A161:A162"/>
    <mergeCell ref="A185:A187"/>
    <mergeCell ref="B185:E187"/>
    <mergeCell ref="A189:E189"/>
    <mergeCell ref="A190:E190"/>
    <mergeCell ref="B191:E191"/>
    <mergeCell ref="B192:E192"/>
    <mergeCell ref="B193:E193"/>
    <mergeCell ref="B194:E194"/>
    <mergeCell ref="A195:A196"/>
    <mergeCell ref="A203:E203"/>
    <mergeCell ref="A204:A205"/>
    <mergeCell ref="A209:A211"/>
    <mergeCell ref="B209:E211"/>
    <mergeCell ref="A212:E212"/>
    <mergeCell ref="A213:E213"/>
    <mergeCell ref="B214:E214"/>
    <mergeCell ref="B215:E215"/>
    <mergeCell ref="B216:E216"/>
    <mergeCell ref="B217:E217"/>
    <mergeCell ref="A218:A219"/>
    <mergeCell ref="A226:E226"/>
    <mergeCell ref="A227:A228"/>
    <mergeCell ref="A232:A234"/>
    <mergeCell ref="B232:E234"/>
    <mergeCell ref="B235:E235"/>
    <mergeCell ref="B236:E236"/>
    <mergeCell ref="B237:E237"/>
    <mergeCell ref="B238:E238"/>
    <mergeCell ref="A239:A240"/>
    <mergeCell ref="A247:E247"/>
    <mergeCell ref="A248:A249"/>
    <mergeCell ref="A253:A255"/>
    <mergeCell ref="B253:E255"/>
    <mergeCell ref="B256:E256"/>
    <mergeCell ref="B257:E257"/>
    <mergeCell ref="B258:E258"/>
    <mergeCell ref="B259:E259"/>
    <mergeCell ref="A260:A261"/>
    <mergeCell ref="A268:E268"/>
    <mergeCell ref="A269:A270"/>
    <mergeCell ref="A274:A276"/>
    <mergeCell ref="B274:E276"/>
    <mergeCell ref="B277:E277"/>
    <mergeCell ref="A278:E278"/>
    <mergeCell ref="A280:E280"/>
    <mergeCell ref="A281:E281"/>
    <mergeCell ref="B282:E282"/>
    <mergeCell ref="B283:E283"/>
    <mergeCell ref="B284:E284"/>
    <mergeCell ref="A285:A286"/>
    <mergeCell ref="A293:E293"/>
    <mergeCell ref="A294:A295"/>
    <mergeCell ref="A318:A320"/>
    <mergeCell ref="B318:E320"/>
    <mergeCell ref="B322:E322"/>
    <mergeCell ref="B323:E323"/>
    <mergeCell ref="B324:E324"/>
    <mergeCell ref="A326:A327"/>
    <mergeCell ref="A333:E333"/>
    <mergeCell ref="A334:A335"/>
    <mergeCell ref="A358:A360"/>
    <mergeCell ref="B358:E360"/>
    <mergeCell ref="B362:E362"/>
    <mergeCell ref="A363:E363"/>
    <mergeCell ref="A365:E365"/>
    <mergeCell ref="A366:E366"/>
    <mergeCell ref="A367:A368"/>
    <mergeCell ref="B369:E369"/>
    <mergeCell ref="B370:E370"/>
    <mergeCell ref="B371:E371"/>
    <mergeCell ref="A372:A373"/>
    <mergeCell ref="A380:A381"/>
    <mergeCell ref="B458:E458"/>
    <mergeCell ref="B435:E435"/>
    <mergeCell ref="B436:E436"/>
    <mergeCell ref="B437:E437"/>
    <mergeCell ref="A438:A439"/>
    <mergeCell ref="A446:E446"/>
    <mergeCell ref="A447:A448"/>
    <mergeCell ref="A382:E382"/>
    <mergeCell ref="A383:A384"/>
    <mergeCell ref="A407:A409"/>
    <mergeCell ref="B407:E409"/>
    <mergeCell ref="A411:E411"/>
    <mergeCell ref="A412:E412"/>
    <mergeCell ref="B413:E413"/>
    <mergeCell ref="B414:E414"/>
    <mergeCell ref="B415:E415"/>
    <mergeCell ref="A467:E467"/>
    <mergeCell ref="A468:A469"/>
    <mergeCell ref="A473:A475"/>
    <mergeCell ref="B473:E475"/>
    <mergeCell ref="A498:A500"/>
    <mergeCell ref="B498:E500"/>
    <mergeCell ref="B4:E4"/>
    <mergeCell ref="B5:E5"/>
    <mergeCell ref="B6:E6"/>
    <mergeCell ref="C7:E7"/>
    <mergeCell ref="C8:E8"/>
    <mergeCell ref="A459:A460"/>
    <mergeCell ref="A452:A454"/>
    <mergeCell ref="B452:E454"/>
    <mergeCell ref="B455:E455"/>
    <mergeCell ref="B456:E456"/>
    <mergeCell ref="B416:E416"/>
    <mergeCell ref="A417:A418"/>
    <mergeCell ref="A425:E425"/>
    <mergeCell ref="A426:A427"/>
    <mergeCell ref="A431:A433"/>
    <mergeCell ref="B431:E433"/>
    <mergeCell ref="B434:E434"/>
    <mergeCell ref="B457:E457"/>
  </mergeCells>
  <pageMargins left="0.51" right="0.25" top="0.49" bottom="0.4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2:I110"/>
  <sheetViews>
    <sheetView view="pageBreakPreview" topLeftCell="A106" zoomScaleNormal="100" zoomScaleSheetLayoutView="100" workbookViewId="0">
      <selection activeCell="F131" sqref="F131"/>
    </sheetView>
  </sheetViews>
  <sheetFormatPr defaultRowHeight="15" x14ac:dyDescent="0.25"/>
  <cols>
    <col min="1" max="1" width="30" customWidth="1"/>
    <col min="2" max="2" width="11.5703125" customWidth="1"/>
    <col min="3" max="3" width="11.85546875" customWidth="1"/>
    <col min="4" max="4" width="16.7109375" customWidth="1"/>
    <col min="5" max="5" width="26.85546875" customWidth="1"/>
    <col min="6" max="6" width="11" customWidth="1"/>
    <col min="7" max="7" width="11" bestFit="1" customWidth="1"/>
  </cols>
  <sheetData>
    <row r="2" spans="1:5" x14ac:dyDescent="0.25">
      <c r="A2" s="189" t="s">
        <v>898</v>
      </c>
      <c r="B2" s="188"/>
      <c r="C2" s="188"/>
      <c r="D2" s="188"/>
    </row>
    <row r="4" spans="1:5" ht="15.75" thickBot="1" x14ac:dyDescent="0.3"/>
    <row r="5" spans="1:5" ht="32.25" thickBot="1" x14ac:dyDescent="0.3">
      <c r="A5" s="168" t="s">
        <v>897</v>
      </c>
      <c r="B5" s="1084" t="s">
        <v>1482</v>
      </c>
      <c r="C5" s="1085"/>
      <c r="D5" s="1085"/>
      <c r="E5" s="1086"/>
    </row>
    <row r="6" spans="1:5" ht="32.25" thickBot="1" x14ac:dyDescent="0.3">
      <c r="A6" s="36" t="s">
        <v>895</v>
      </c>
      <c r="B6" s="1087" t="s">
        <v>1481</v>
      </c>
      <c r="C6" s="1088"/>
      <c r="D6" s="1088"/>
      <c r="E6" s="1089"/>
    </row>
    <row r="7" spans="1:5" ht="409.5" customHeight="1" thickBot="1" x14ac:dyDescent="0.3">
      <c r="A7" s="36" t="s">
        <v>914</v>
      </c>
      <c r="B7" s="1090" t="s">
        <v>1480</v>
      </c>
      <c r="C7" s="1091"/>
      <c r="D7" s="1091"/>
      <c r="E7" s="1092"/>
    </row>
    <row r="8" spans="1:5" ht="32.25" thickBot="1" x14ac:dyDescent="0.3">
      <c r="A8" s="36" t="s">
        <v>891</v>
      </c>
      <c r="B8" s="167" t="s">
        <v>912</v>
      </c>
      <c r="C8" s="1093" t="s">
        <v>7</v>
      </c>
      <c r="D8" s="1093"/>
      <c r="E8" s="1094"/>
    </row>
    <row r="9" spans="1:5" ht="32.25" thickBot="1" x14ac:dyDescent="0.3">
      <c r="A9" s="36" t="s">
        <v>929</v>
      </c>
      <c r="B9" s="186"/>
      <c r="C9" s="1095"/>
      <c r="D9" s="1095"/>
      <c r="E9" s="1096"/>
    </row>
    <row r="10" spans="1:5" ht="32.25" thickBot="1" x14ac:dyDescent="0.3">
      <c r="A10" s="36" t="s">
        <v>927</v>
      </c>
      <c r="B10" s="186"/>
      <c r="C10" s="1095"/>
      <c r="D10" s="1095"/>
      <c r="E10" s="1096"/>
    </row>
    <row r="21" spans="1:5" ht="18" customHeight="1" x14ac:dyDescent="0.25">
      <c r="A21" s="1247" t="s">
        <v>926</v>
      </c>
      <c r="B21" s="1247"/>
      <c r="C21" s="1247"/>
      <c r="D21" s="1247"/>
      <c r="E21" s="1247"/>
    </row>
    <row r="22" spans="1:5" ht="15.75" thickBot="1" x14ac:dyDescent="0.3"/>
    <row r="23" spans="1:5" ht="15.75" thickBot="1" x14ac:dyDescent="0.3">
      <c r="A23" s="2" t="s">
        <v>2</v>
      </c>
      <c r="B23" s="1263" t="s">
        <v>715</v>
      </c>
      <c r="C23" s="1263"/>
      <c r="D23" s="1263"/>
      <c r="E23" s="1263"/>
    </row>
    <row r="24" spans="1:5" ht="15.75" thickBot="1" x14ac:dyDescent="0.3">
      <c r="A24" s="2" t="s">
        <v>3</v>
      </c>
      <c r="B24" s="1087" t="s">
        <v>757</v>
      </c>
      <c r="C24" s="1088"/>
      <c r="D24" s="1088"/>
      <c r="E24" s="1089"/>
    </row>
    <row r="25" spans="1:5" ht="15.75" thickBot="1" x14ac:dyDescent="0.3">
      <c r="A25" s="2" t="s">
        <v>5</v>
      </c>
      <c r="B25" s="1265" t="s">
        <v>6</v>
      </c>
      <c r="C25" s="1095"/>
      <c r="D25" s="1095"/>
      <c r="E25" s="1096"/>
    </row>
    <row r="26" spans="1:5" ht="15.75" thickBot="1" x14ac:dyDescent="0.3">
      <c r="A26" s="1266" t="s">
        <v>7</v>
      </c>
      <c r="B26" s="1267"/>
      <c r="C26" s="1267"/>
      <c r="D26" s="1267"/>
      <c r="E26" s="1297"/>
    </row>
    <row r="27" spans="1:5" ht="15.75" thickBot="1" x14ac:dyDescent="0.3">
      <c r="A27" s="1268" t="s">
        <v>758</v>
      </c>
      <c r="B27" s="1269"/>
      <c r="C27" s="1269"/>
      <c r="D27" s="1269"/>
      <c r="E27" s="1301"/>
    </row>
    <row r="28" spans="1:5" ht="36.75" customHeight="1" thickBot="1" x14ac:dyDescent="0.3">
      <c r="A28" s="1268"/>
      <c r="B28" s="1269"/>
      <c r="C28" s="1269"/>
      <c r="D28" s="1269"/>
      <c r="E28" s="1301"/>
    </row>
    <row r="29" spans="1:5" ht="15.75" thickBot="1" x14ac:dyDescent="0.3">
      <c r="A29" s="1268"/>
      <c r="B29" s="1269"/>
      <c r="C29" s="1269"/>
      <c r="D29" s="1269"/>
      <c r="E29" s="1301"/>
    </row>
    <row r="30" spans="1:5" ht="33.75" customHeight="1" x14ac:dyDescent="0.25">
      <c r="A30" s="858" t="s">
        <v>8</v>
      </c>
      <c r="B30" s="2333" t="s">
        <v>1479</v>
      </c>
      <c r="C30" s="2334"/>
      <c r="D30" s="2334"/>
      <c r="E30" s="2335"/>
    </row>
    <row r="31" spans="1:5" ht="23.25" customHeight="1" x14ac:dyDescent="0.25">
      <c r="A31" s="857" t="s">
        <v>102</v>
      </c>
      <c r="B31" s="262">
        <v>2018</v>
      </c>
      <c r="C31" s="262">
        <v>2019</v>
      </c>
      <c r="D31" s="262">
        <v>2020</v>
      </c>
      <c r="E31" s="262">
        <v>2021</v>
      </c>
    </row>
    <row r="32" spans="1:5" ht="23.25" hidden="1" customHeight="1" x14ac:dyDescent="0.25">
      <c r="A32" s="856"/>
      <c r="B32" s="804"/>
      <c r="C32" s="804"/>
      <c r="D32" s="804"/>
      <c r="E32" s="804"/>
    </row>
    <row r="33" spans="1:9" x14ac:dyDescent="0.25">
      <c r="A33" s="804" t="s">
        <v>10</v>
      </c>
      <c r="B33" s="855">
        <f>71272+2500</f>
        <v>73772</v>
      </c>
      <c r="C33" s="855">
        <v>85645</v>
      </c>
      <c r="D33" s="855">
        <v>82253</v>
      </c>
      <c r="E33" s="855">
        <v>81017</v>
      </c>
    </row>
    <row r="34" spans="1:9" ht="95.25" customHeight="1" thickBot="1" x14ac:dyDescent="0.3">
      <c r="A34" s="261" t="s">
        <v>759</v>
      </c>
      <c r="B34" s="854">
        <v>250</v>
      </c>
      <c r="C34" s="854">
        <v>260</v>
      </c>
      <c r="D34" s="854">
        <v>270</v>
      </c>
      <c r="E34" s="854">
        <v>280</v>
      </c>
    </row>
    <row r="35" spans="1:9" ht="15.75" thickBot="1" x14ac:dyDescent="0.3">
      <c r="A35" s="6" t="s">
        <v>12</v>
      </c>
      <c r="B35" s="1272" t="s">
        <v>1478</v>
      </c>
      <c r="C35" s="1270"/>
      <c r="D35" s="1270"/>
      <c r="E35" s="1305"/>
    </row>
    <row r="36" spans="1:9" ht="23.25" customHeight="1" thickBot="1" x14ac:dyDescent="0.3">
      <c r="A36" s="1245" t="s">
        <v>103</v>
      </c>
      <c r="B36" s="1246"/>
      <c r="C36" s="1246"/>
      <c r="D36" s="1246"/>
      <c r="E36" s="1298"/>
      <c r="F36" s="35"/>
      <c r="H36" s="35"/>
    </row>
    <row r="37" spans="1:9" ht="38.25" customHeight="1" thickBot="1" x14ac:dyDescent="0.3">
      <c r="A37" s="261" t="s">
        <v>1477</v>
      </c>
      <c r="B37" s="4">
        <v>1</v>
      </c>
      <c r="C37" s="4">
        <v>1</v>
      </c>
      <c r="D37" s="4">
        <v>1</v>
      </c>
      <c r="E37" s="4">
        <v>1</v>
      </c>
    </row>
    <row r="38" spans="1:9" ht="15.75" thickBot="1" x14ac:dyDescent="0.3">
      <c r="A38" s="1273" t="s">
        <v>14</v>
      </c>
      <c r="B38" s="1274"/>
      <c r="C38" s="1274"/>
      <c r="D38" s="1274"/>
      <c r="E38" s="1299"/>
    </row>
    <row r="39" spans="1:9" ht="15.75" thickBot="1" x14ac:dyDescent="0.3">
      <c r="A39" s="1275" t="s">
        <v>104</v>
      </c>
      <c r="B39" s="1276"/>
      <c r="C39" s="1276"/>
      <c r="D39" s="1276"/>
      <c r="E39" s="1317"/>
    </row>
    <row r="40" spans="1:9" ht="15.75" thickBot="1" x14ac:dyDescent="0.3">
      <c r="A40" s="7" t="s">
        <v>105</v>
      </c>
      <c r="B40" s="1243" t="s">
        <v>760</v>
      </c>
      <c r="C40" s="1244"/>
      <c r="D40" s="1244"/>
      <c r="E40" s="1315"/>
    </row>
    <row r="41" spans="1:9" ht="27.75" customHeight="1" thickBot="1" x14ac:dyDescent="0.3">
      <c r="A41" s="5" t="s">
        <v>17</v>
      </c>
      <c r="B41" s="1245" t="s">
        <v>761</v>
      </c>
      <c r="C41" s="1246"/>
      <c r="D41" s="1246"/>
      <c r="E41" s="1298"/>
    </row>
    <row r="42" spans="1:9" ht="15.75" thickBot="1" x14ac:dyDescent="0.3">
      <c r="A42" s="5" t="s">
        <v>18</v>
      </c>
      <c r="B42" s="1248" t="s">
        <v>1475</v>
      </c>
      <c r="C42" s="1249"/>
      <c r="D42" s="1249"/>
      <c r="E42" s="1316"/>
    </row>
    <row r="43" spans="1:9" ht="12.75" customHeight="1" x14ac:dyDescent="0.25">
      <c r="A43" s="1250"/>
      <c r="B43" s="8">
        <v>2018</v>
      </c>
      <c r="C43" s="8">
        <v>2019</v>
      </c>
      <c r="D43" s="8">
        <v>2020</v>
      </c>
      <c r="E43" s="8">
        <v>2021</v>
      </c>
    </row>
    <row r="44" spans="1:9" ht="18.75" customHeight="1" thickBot="1" x14ac:dyDescent="0.3">
      <c r="A44" s="1251"/>
      <c r="B44" s="9" t="s">
        <v>10</v>
      </c>
      <c r="C44" s="9" t="s">
        <v>11</v>
      </c>
      <c r="D44" s="9" t="s">
        <v>11</v>
      </c>
      <c r="E44" s="9" t="s">
        <v>11</v>
      </c>
    </row>
    <row r="45" spans="1:9" ht="22.5" customHeight="1" thickBot="1" x14ac:dyDescent="0.3">
      <c r="A45" s="5" t="s">
        <v>1476</v>
      </c>
      <c r="B45" s="10">
        <v>115</v>
      </c>
      <c r="C45" s="10">
        <v>125</v>
      </c>
      <c r="D45" s="10">
        <v>135</v>
      </c>
      <c r="E45" s="10">
        <v>145</v>
      </c>
    </row>
    <row r="46" spans="1:9" ht="23.25" customHeight="1" thickBot="1" x14ac:dyDescent="0.3">
      <c r="A46" s="5" t="s">
        <v>20</v>
      </c>
      <c r="B46" s="10">
        <v>71272</v>
      </c>
      <c r="C46" s="10">
        <v>78700</v>
      </c>
      <c r="D46" s="10">
        <v>78700</v>
      </c>
      <c r="E46" s="10">
        <v>78700</v>
      </c>
    </row>
    <row r="47" spans="1:9" ht="15.75" thickBot="1" x14ac:dyDescent="0.3">
      <c r="A47" s="5" t="s">
        <v>21</v>
      </c>
      <c r="B47" s="10">
        <f>B46/B45</f>
        <v>619.75652173913045</v>
      </c>
      <c r="C47" s="10">
        <f>C46/C45</f>
        <v>629.6</v>
      </c>
      <c r="D47" s="10">
        <f>D46/D45</f>
        <v>582.96296296296293</v>
      </c>
      <c r="E47" s="10">
        <f>E46/E45</f>
        <v>542.75862068965512</v>
      </c>
    </row>
    <row r="48" spans="1:9" ht="15.75" thickBot="1" x14ac:dyDescent="0.3">
      <c r="A48" s="5" t="s">
        <v>22</v>
      </c>
      <c r="B48" s="260" t="s">
        <v>23</v>
      </c>
      <c r="C48" s="11">
        <f t="shared" ref="C48:E50" si="0">C45/B45-1</f>
        <v>8.6956521739130377E-2</v>
      </c>
      <c r="D48" s="11">
        <f t="shared" si="0"/>
        <v>8.0000000000000071E-2</v>
      </c>
      <c r="E48" s="11">
        <f t="shared" si="0"/>
        <v>7.4074074074074181E-2</v>
      </c>
      <c r="F48" s="12"/>
      <c r="G48" s="12"/>
      <c r="H48" s="12"/>
      <c r="I48" s="12"/>
    </row>
    <row r="49" spans="1:5" ht="15.75" thickBot="1" x14ac:dyDescent="0.3">
      <c r="A49" s="5" t="s">
        <v>24</v>
      </c>
      <c r="B49" s="260" t="s">
        <v>23</v>
      </c>
      <c r="C49" s="11">
        <f t="shared" si="0"/>
        <v>0.10422045122909407</v>
      </c>
      <c r="D49" s="11">
        <f t="shared" si="0"/>
        <v>0</v>
      </c>
      <c r="E49" s="11">
        <f t="shared" si="0"/>
        <v>0</v>
      </c>
    </row>
    <row r="50" spans="1:5" ht="15.75" thickBot="1" x14ac:dyDescent="0.3">
      <c r="A50" s="5" t="s">
        <v>25</v>
      </c>
      <c r="B50" s="260" t="s">
        <v>23</v>
      </c>
      <c r="C50" s="11">
        <f t="shared" si="0"/>
        <v>1.5882815130766614E-2</v>
      </c>
      <c r="D50" s="11">
        <f t="shared" si="0"/>
        <v>-7.4074074074074181E-2</v>
      </c>
      <c r="E50" s="11">
        <f t="shared" si="0"/>
        <v>-6.8965517241379337E-2</v>
      </c>
    </row>
    <row r="51" spans="1:5" ht="15.75" thickBot="1" x14ac:dyDescent="0.3">
      <c r="A51" s="1252" t="s">
        <v>633</v>
      </c>
      <c r="B51" s="1253"/>
      <c r="C51" s="1253"/>
      <c r="D51" s="1253"/>
      <c r="E51" s="1300"/>
    </row>
    <row r="52" spans="1:5" ht="12.75" customHeight="1" x14ac:dyDescent="0.25">
      <c r="A52" s="1250"/>
      <c r="B52" s="8">
        <v>2018</v>
      </c>
      <c r="C52" s="8">
        <v>2019</v>
      </c>
      <c r="D52" s="8">
        <v>2020</v>
      </c>
      <c r="E52" s="8">
        <v>2021</v>
      </c>
    </row>
    <row r="53" spans="1:5" ht="9" customHeight="1" thickBot="1" x14ac:dyDescent="0.3">
      <c r="A53" s="1251"/>
      <c r="B53" s="9" t="s">
        <v>10</v>
      </c>
      <c r="C53" s="9" t="s">
        <v>11</v>
      </c>
      <c r="D53" s="9" t="s">
        <v>11</v>
      </c>
      <c r="E53" s="9" t="s">
        <v>11</v>
      </c>
    </row>
    <row r="54" spans="1:5" ht="15.75" thickBot="1" x14ac:dyDescent="0.3">
      <c r="A54" s="13" t="s">
        <v>26</v>
      </c>
      <c r="B54" s="145">
        <v>37242</v>
      </c>
      <c r="C54" s="14">
        <v>40400</v>
      </c>
      <c r="D54" s="14">
        <v>40400</v>
      </c>
      <c r="E54" s="14">
        <v>40400</v>
      </c>
    </row>
    <row r="55" spans="1:5" ht="24.75" thickBot="1" x14ac:dyDescent="0.3">
      <c r="A55" s="13" t="s">
        <v>28</v>
      </c>
      <c r="B55" s="145">
        <v>5742</v>
      </c>
      <c r="C55" s="14">
        <v>6600</v>
      </c>
      <c r="D55" s="14">
        <v>6600</v>
      </c>
      <c r="E55" s="14">
        <v>6600</v>
      </c>
    </row>
    <row r="56" spans="1:5" ht="15.75" thickBot="1" x14ac:dyDescent="0.3">
      <c r="A56" s="13" t="s">
        <v>30</v>
      </c>
      <c r="B56" s="15">
        <v>28288</v>
      </c>
      <c r="C56" s="14">
        <v>31700</v>
      </c>
      <c r="D56" s="14">
        <v>31700</v>
      </c>
      <c r="E56" s="14">
        <v>31700</v>
      </c>
    </row>
    <row r="57" spans="1:5" ht="15.75" thickBot="1" x14ac:dyDescent="0.3">
      <c r="A57" s="13" t="s">
        <v>32</v>
      </c>
      <c r="B57" s="15"/>
      <c r="C57" s="14"/>
      <c r="D57" s="14"/>
      <c r="E57" s="14"/>
    </row>
    <row r="58" spans="1:5" ht="15.75" thickBot="1" x14ac:dyDescent="0.3">
      <c r="A58" s="13" t="s">
        <v>34</v>
      </c>
      <c r="B58" s="15"/>
      <c r="C58" s="14"/>
      <c r="D58" s="14"/>
      <c r="E58" s="14"/>
    </row>
    <row r="59" spans="1:5" ht="15.75" thickBot="1" x14ac:dyDescent="0.3">
      <c r="A59" s="13" t="s">
        <v>36</v>
      </c>
      <c r="B59" s="15"/>
      <c r="C59" s="14"/>
      <c r="D59" s="14"/>
      <c r="E59" s="14"/>
    </row>
    <row r="60" spans="1:5" ht="24.75" thickBot="1" x14ac:dyDescent="0.3">
      <c r="A60" s="13" t="s">
        <v>38</v>
      </c>
      <c r="B60" s="15"/>
      <c r="C60" s="14"/>
      <c r="D60" s="14"/>
      <c r="E60" s="14"/>
    </row>
    <row r="61" spans="1:5" ht="15.75" thickBot="1" x14ac:dyDescent="0.3">
      <c r="A61" s="16" t="s">
        <v>40</v>
      </c>
      <c r="B61" s="15">
        <f>B60+B59+B58+B57+B56+B55+B54</f>
        <v>71272</v>
      </c>
      <c r="C61" s="15">
        <f>C60+C59+C58+C57+C56+C55+C54</f>
        <v>78700</v>
      </c>
      <c r="D61" s="15">
        <f>D60+D59+D58+D57+D56+D55+D54</f>
        <v>78700</v>
      </c>
      <c r="E61" s="15">
        <f>E60+E59+E58+E57+E56+E55+E54</f>
        <v>78700</v>
      </c>
    </row>
    <row r="62" spans="1:5" ht="15.75" thickBot="1" x14ac:dyDescent="0.3">
      <c r="A62" s="17" t="s">
        <v>41</v>
      </c>
      <c r="B62" s="18">
        <f>IF(B61-B46=0,0,"Error")</f>
        <v>0</v>
      </c>
      <c r="C62" s="18">
        <f>IF(C61-C46=0,0,"Error")</f>
        <v>0</v>
      </c>
      <c r="D62" s="18">
        <f>IF(D61-D46=0,0,"Error")</f>
        <v>0</v>
      </c>
      <c r="E62" s="18">
        <f>IF(E61-E46=0,0,"Error")</f>
        <v>0</v>
      </c>
    </row>
    <row r="63" spans="1:5" ht="15.75" thickBot="1" x14ac:dyDescent="0.3">
      <c r="A63" s="1275" t="s">
        <v>63</v>
      </c>
      <c r="B63" s="1276"/>
      <c r="C63" s="1276"/>
      <c r="D63" s="1276"/>
      <c r="E63" s="1317"/>
    </row>
    <row r="64" spans="1:5" ht="15.75" thickBot="1" x14ac:dyDescent="0.3">
      <c r="A64" s="1275" t="s">
        <v>56</v>
      </c>
      <c r="B64" s="1276"/>
      <c r="C64" s="1276"/>
      <c r="D64" s="1276"/>
      <c r="E64" s="1317"/>
    </row>
    <row r="65" spans="1:9" ht="15.75" thickBot="1" x14ac:dyDescent="0.3">
      <c r="A65" s="20" t="s">
        <v>79</v>
      </c>
      <c r="B65" s="1241"/>
      <c r="C65" s="1242"/>
      <c r="D65" s="1242"/>
      <c r="E65" s="1318"/>
    </row>
    <row r="66" spans="1:9" ht="15.75" thickBot="1" x14ac:dyDescent="0.3">
      <c r="A66" s="7" t="s">
        <v>16</v>
      </c>
      <c r="B66" s="1243" t="s">
        <v>760</v>
      </c>
      <c r="C66" s="1244"/>
      <c r="D66" s="1244"/>
      <c r="E66" s="1315"/>
    </row>
    <row r="67" spans="1:9" ht="26.25" customHeight="1" thickBot="1" x14ac:dyDescent="0.3">
      <c r="A67" s="5" t="s">
        <v>17</v>
      </c>
      <c r="B67" s="1245" t="s">
        <v>761</v>
      </c>
      <c r="C67" s="1246"/>
      <c r="D67" s="1246"/>
      <c r="E67" s="1298"/>
    </row>
    <row r="68" spans="1:9" ht="15.75" thickBot="1" x14ac:dyDescent="0.3">
      <c r="A68" s="5" t="s">
        <v>18</v>
      </c>
      <c r="B68" s="1248" t="s">
        <v>1475</v>
      </c>
      <c r="C68" s="1249"/>
      <c r="D68" s="1249"/>
      <c r="E68" s="1316"/>
    </row>
    <row r="69" spans="1:9" ht="12.75" customHeight="1" x14ac:dyDescent="0.25">
      <c r="A69" s="1250"/>
      <c r="B69" s="8">
        <v>2018</v>
      </c>
      <c r="C69" s="8">
        <v>2019</v>
      </c>
      <c r="D69" s="8">
        <v>2020</v>
      </c>
      <c r="E69" s="8">
        <v>2021</v>
      </c>
    </row>
    <row r="70" spans="1:9" ht="9" customHeight="1" thickBot="1" x14ac:dyDescent="0.3">
      <c r="A70" s="1251"/>
      <c r="B70" s="9" t="s">
        <v>10</v>
      </c>
      <c r="C70" s="9" t="s">
        <v>11</v>
      </c>
      <c r="D70" s="9" t="s">
        <v>11</v>
      </c>
      <c r="E70" s="9" t="s">
        <v>11</v>
      </c>
    </row>
    <row r="71" spans="1:9" ht="15.75" thickBot="1" x14ac:dyDescent="0.3">
      <c r="A71" s="5" t="s">
        <v>19</v>
      </c>
      <c r="B71" s="10">
        <v>115</v>
      </c>
      <c r="C71" s="10">
        <v>125</v>
      </c>
      <c r="D71" s="10">
        <v>135</v>
      </c>
      <c r="E71" s="10">
        <v>145</v>
      </c>
    </row>
    <row r="72" spans="1:9" ht="15.75" thickBot="1" x14ac:dyDescent="0.3">
      <c r="A72" s="5" t="s">
        <v>20</v>
      </c>
      <c r="B72" s="10">
        <v>2500</v>
      </c>
      <c r="C72" s="10">
        <v>10357</v>
      </c>
      <c r="D72" s="10">
        <v>6965</v>
      </c>
      <c r="E72" s="10">
        <v>5729</v>
      </c>
    </row>
    <row r="73" spans="1:9" ht="15.75" thickBot="1" x14ac:dyDescent="0.3">
      <c r="A73" s="5" t="s">
        <v>21</v>
      </c>
      <c r="B73" s="10">
        <f>B72/B71</f>
        <v>21.739130434782609</v>
      </c>
      <c r="C73" s="10">
        <f>C72/C71</f>
        <v>82.855999999999995</v>
      </c>
      <c r="D73" s="10">
        <f>D72/D71</f>
        <v>51.592592592592595</v>
      </c>
      <c r="E73" s="10">
        <f>E72/E71</f>
        <v>39.510344827586209</v>
      </c>
    </row>
    <row r="74" spans="1:9" ht="15.75" thickBot="1" x14ac:dyDescent="0.3">
      <c r="A74" s="5" t="s">
        <v>22</v>
      </c>
      <c r="B74" s="260" t="s">
        <v>23</v>
      </c>
      <c r="C74" s="11">
        <f t="shared" ref="C74:E76" si="1">C71/B71-1</f>
        <v>8.6956521739130377E-2</v>
      </c>
      <c r="D74" s="11">
        <f t="shared" si="1"/>
        <v>8.0000000000000071E-2</v>
      </c>
      <c r="E74" s="11">
        <f t="shared" si="1"/>
        <v>7.4074074074074181E-2</v>
      </c>
      <c r="F74" s="12"/>
      <c r="G74" s="12"/>
      <c r="H74" s="12"/>
      <c r="I74" s="12"/>
    </row>
    <row r="75" spans="1:9" ht="15.75" thickBot="1" x14ac:dyDescent="0.3">
      <c r="A75" s="5" t="s">
        <v>24</v>
      </c>
      <c r="B75" s="260" t="s">
        <v>23</v>
      </c>
      <c r="C75" s="11">
        <f t="shared" si="1"/>
        <v>3.1428000000000003</v>
      </c>
      <c r="D75" s="11">
        <f t="shared" si="1"/>
        <v>-0.32750796562711215</v>
      </c>
      <c r="E75" s="11">
        <f t="shared" si="1"/>
        <v>-0.17745872218234027</v>
      </c>
    </row>
    <row r="76" spans="1:9" ht="15.75" thickBot="1" x14ac:dyDescent="0.3">
      <c r="A76" s="5" t="s">
        <v>25</v>
      </c>
      <c r="B76" s="260" t="s">
        <v>23</v>
      </c>
      <c r="C76" s="11">
        <f t="shared" si="1"/>
        <v>2.8113759999999997</v>
      </c>
      <c r="D76" s="11">
        <f t="shared" si="1"/>
        <v>-0.3773221903954741</v>
      </c>
      <c r="E76" s="11">
        <f t="shared" si="1"/>
        <v>-0.2341857068594202</v>
      </c>
    </row>
    <row r="77" spans="1:9" ht="15.75" thickBot="1" x14ac:dyDescent="0.3">
      <c r="A77" s="1252" t="s">
        <v>633</v>
      </c>
      <c r="B77" s="1253"/>
      <c r="C77" s="1253"/>
      <c r="D77" s="1253"/>
      <c r="E77" s="1300"/>
    </row>
    <row r="78" spans="1:9" ht="12.75" customHeight="1" x14ac:dyDescent="0.25">
      <c r="A78" s="1250"/>
      <c r="B78" s="8">
        <v>2018</v>
      </c>
      <c r="C78" s="8">
        <v>2019</v>
      </c>
      <c r="D78" s="8">
        <v>2020</v>
      </c>
      <c r="E78" s="8">
        <v>2021</v>
      </c>
    </row>
    <row r="79" spans="1:9" ht="9" customHeight="1" thickBot="1" x14ac:dyDescent="0.3">
      <c r="A79" s="1251"/>
      <c r="B79" s="9" t="s">
        <v>10</v>
      </c>
      <c r="C79" s="9" t="s">
        <v>11</v>
      </c>
      <c r="D79" s="9" t="s">
        <v>11</v>
      </c>
      <c r="E79" s="9" t="s">
        <v>11</v>
      </c>
    </row>
    <row r="80" spans="1:9" ht="15.75" thickBot="1" x14ac:dyDescent="0.3">
      <c r="A80" s="13" t="s">
        <v>58</v>
      </c>
      <c r="B80" s="14"/>
      <c r="C80" s="14"/>
      <c r="D80" s="14"/>
      <c r="E80" s="14"/>
    </row>
    <row r="81" spans="1:5" ht="15.75" thickBot="1" x14ac:dyDescent="0.3">
      <c r="A81" s="13" t="s">
        <v>59</v>
      </c>
      <c r="B81" s="10">
        <v>2500</v>
      </c>
      <c r="C81" s="10">
        <v>10357</v>
      </c>
      <c r="D81" s="10">
        <v>6965</v>
      </c>
      <c r="E81" s="10">
        <v>5729</v>
      </c>
    </row>
    <row r="82" spans="1:5" ht="15.75" thickBot="1" x14ac:dyDescent="0.3">
      <c r="A82" s="16" t="s">
        <v>40</v>
      </c>
      <c r="B82" s="15">
        <f>B81+B80</f>
        <v>2500</v>
      </c>
      <c r="C82" s="15">
        <f>C81+C80</f>
        <v>10357</v>
      </c>
      <c r="D82" s="15">
        <f>D81+D80</f>
        <v>6965</v>
      </c>
      <c r="E82" s="15">
        <f>E81+E80</f>
        <v>5729</v>
      </c>
    </row>
    <row r="83" spans="1:5" x14ac:dyDescent="0.25">
      <c r="A83" s="1254" t="s">
        <v>60</v>
      </c>
      <c r="B83" s="1387" t="s">
        <v>1474</v>
      </c>
      <c r="C83" s="1388"/>
      <c r="D83" s="1388"/>
      <c r="E83" s="1389"/>
    </row>
    <row r="84" spans="1:5" x14ac:dyDescent="0.25">
      <c r="A84" s="1255"/>
      <c r="B84" s="1390"/>
      <c r="C84" s="1391"/>
      <c r="D84" s="1391"/>
      <c r="E84" s="1392"/>
    </row>
    <row r="85" spans="1:5" ht="30.75" customHeight="1" thickBot="1" x14ac:dyDescent="0.3">
      <c r="A85" s="1256"/>
      <c r="B85" s="1393"/>
      <c r="C85" s="1394"/>
      <c r="D85" s="1394"/>
      <c r="E85" s="1395"/>
    </row>
    <row r="86" spans="1:5" ht="15.75" thickBot="1" x14ac:dyDescent="0.3">
      <c r="A86" s="22"/>
      <c r="B86" s="23"/>
      <c r="C86" s="23"/>
      <c r="D86" s="23"/>
      <c r="E86" s="23"/>
    </row>
    <row r="87" spans="1:5" ht="27" customHeight="1" thickBot="1" x14ac:dyDescent="0.3">
      <c r="A87" s="6" t="s">
        <v>82</v>
      </c>
      <c r="B87" s="24">
        <f>B72+B46</f>
        <v>73772</v>
      </c>
      <c r="C87" s="24">
        <f>C72+C46</f>
        <v>89057</v>
      </c>
      <c r="D87" s="24">
        <f>D72+D46</f>
        <v>85665</v>
      </c>
      <c r="E87" s="24">
        <f>E72+E46</f>
        <v>84429</v>
      </c>
    </row>
    <row r="88" spans="1:5" ht="24.75" thickBot="1" x14ac:dyDescent="0.3">
      <c r="A88" s="6" t="s">
        <v>83</v>
      </c>
      <c r="B88" s="24">
        <f>B90+B92+B94+B96+B98+B100+B102+B104+B106</f>
        <v>73772</v>
      </c>
      <c r="C88" s="24">
        <f>C90+C92+C94+C96+C98+C100+C102+C104+C106</f>
        <v>89057</v>
      </c>
      <c r="D88" s="24">
        <f>D90+D92+D94+D96+D98+D100+D102+D104+D106</f>
        <v>85665</v>
      </c>
      <c r="E88" s="24">
        <f>E90+E92+E94+E96+E98+E100+E102+E104+E106</f>
        <v>84429</v>
      </c>
    </row>
    <row r="89" spans="1:5" ht="24.75" thickBot="1" x14ac:dyDescent="0.3">
      <c r="A89" s="25" t="s">
        <v>84</v>
      </c>
      <c r="B89" s="26"/>
      <c r="C89" s="27">
        <f>C88/B88-1</f>
        <v>0.20719243073252724</v>
      </c>
      <c r="D89" s="27">
        <f>D88/C88-1</f>
        <v>-3.8087966134048967E-2</v>
      </c>
      <c r="E89" s="27">
        <f>E88/D88-1</f>
        <v>-1.4428296270355467E-2</v>
      </c>
    </row>
    <row r="90" spans="1:5" ht="15.75" thickBot="1" x14ac:dyDescent="0.3">
      <c r="A90" s="13" t="s">
        <v>26</v>
      </c>
      <c r="B90" s="14">
        <f>B54</f>
        <v>37242</v>
      </c>
      <c r="C90" s="14">
        <f>C54</f>
        <v>40400</v>
      </c>
      <c r="D90" s="14">
        <f>D54</f>
        <v>40400</v>
      </c>
      <c r="E90" s="14">
        <f>E54</f>
        <v>40400</v>
      </c>
    </row>
    <row r="91" spans="1:5" ht="15.75" thickBot="1" x14ac:dyDescent="0.3">
      <c r="A91" s="28" t="s">
        <v>85</v>
      </c>
      <c r="B91" s="15"/>
      <c r="C91" s="29">
        <f>C90/B90-1</f>
        <v>8.4796734869233559E-2</v>
      </c>
      <c r="D91" s="29">
        <f>D90/C90-1</f>
        <v>0</v>
      </c>
      <c r="E91" s="29">
        <f>E90/D90-1</f>
        <v>0</v>
      </c>
    </row>
    <row r="92" spans="1:5" ht="24.75" thickBot="1" x14ac:dyDescent="0.3">
      <c r="A92" s="13" t="s">
        <v>28</v>
      </c>
      <c r="B92" s="14">
        <f>B55</f>
        <v>5742</v>
      </c>
      <c r="C92" s="14">
        <f>C55</f>
        <v>6600</v>
      </c>
      <c r="D92" s="14">
        <f>D55</f>
        <v>6600</v>
      </c>
      <c r="E92" s="14">
        <f>E55</f>
        <v>6600</v>
      </c>
    </row>
    <row r="93" spans="1:5" ht="24.75" thickBot="1" x14ac:dyDescent="0.3">
      <c r="A93" s="28" t="s">
        <v>86</v>
      </c>
      <c r="B93" s="15"/>
      <c r="C93" s="29">
        <f>C92/B92-1</f>
        <v>0.14942528735632177</v>
      </c>
      <c r="D93" s="29">
        <f>D92/C92-1</f>
        <v>0</v>
      </c>
      <c r="E93" s="29">
        <f>E92/D92-1</f>
        <v>0</v>
      </c>
    </row>
    <row r="94" spans="1:5" ht="15.75" thickBot="1" x14ac:dyDescent="0.3">
      <c r="A94" s="13" t="s">
        <v>30</v>
      </c>
      <c r="B94" s="14">
        <f>B56</f>
        <v>28288</v>
      </c>
      <c r="C94" s="14">
        <f>C56</f>
        <v>31700</v>
      </c>
      <c r="D94" s="14">
        <f>D56</f>
        <v>31700</v>
      </c>
      <c r="E94" s="14">
        <f>E56</f>
        <v>31700</v>
      </c>
    </row>
    <row r="95" spans="1:5" ht="15.75" thickBot="1" x14ac:dyDescent="0.3">
      <c r="A95" s="28" t="s">
        <v>87</v>
      </c>
      <c r="B95" s="15"/>
      <c r="C95" s="29">
        <f>C94/B94-1</f>
        <v>0.12061651583710398</v>
      </c>
      <c r="D95" s="29">
        <f>D94/C94-1</f>
        <v>0</v>
      </c>
      <c r="E95" s="29">
        <f>E94/D94-1</f>
        <v>0</v>
      </c>
    </row>
    <row r="96" spans="1:5" ht="15.75" thickBot="1" x14ac:dyDescent="0.3">
      <c r="A96" s="13" t="s">
        <v>32</v>
      </c>
      <c r="B96" s="14">
        <f>B57</f>
        <v>0</v>
      </c>
      <c r="C96" s="14">
        <f>C57</f>
        <v>0</v>
      </c>
      <c r="D96" s="14">
        <f>D57</f>
        <v>0</v>
      </c>
      <c r="E96" s="14">
        <f>E57</f>
        <v>0</v>
      </c>
    </row>
    <row r="97" spans="1:5" ht="15.75" thickBot="1" x14ac:dyDescent="0.3">
      <c r="A97" s="28" t="s">
        <v>88</v>
      </c>
      <c r="B97" s="15"/>
      <c r="C97" s="29" t="e">
        <f>C96/B96-1</f>
        <v>#DIV/0!</v>
      </c>
      <c r="D97" s="29" t="e">
        <f>D96/C96-1</f>
        <v>#DIV/0!</v>
      </c>
      <c r="E97" s="29" t="e">
        <f>E96/D96-1</f>
        <v>#DIV/0!</v>
      </c>
    </row>
    <row r="98" spans="1:5" ht="15.75" thickBot="1" x14ac:dyDescent="0.3">
      <c r="A98" s="13" t="s">
        <v>34</v>
      </c>
      <c r="B98" s="14">
        <f>B58</f>
        <v>0</v>
      </c>
      <c r="C98" s="14">
        <f>C58</f>
        <v>0</v>
      </c>
      <c r="D98" s="14">
        <f>D58</f>
        <v>0</v>
      </c>
      <c r="E98" s="14">
        <f>E58</f>
        <v>0</v>
      </c>
    </row>
    <row r="99" spans="1:5" ht="15.75" thickBot="1" x14ac:dyDescent="0.3">
      <c r="A99" s="28" t="s">
        <v>89</v>
      </c>
      <c r="B99" s="15"/>
      <c r="C99" s="29" t="e">
        <f>C98/B98-1</f>
        <v>#DIV/0!</v>
      </c>
      <c r="D99" s="29" t="e">
        <f>D98/C98-1</f>
        <v>#DIV/0!</v>
      </c>
      <c r="E99" s="29" t="e">
        <f>E98/D98-1</f>
        <v>#DIV/0!</v>
      </c>
    </row>
    <row r="100" spans="1:5" ht="15.75" thickBot="1" x14ac:dyDescent="0.3">
      <c r="A100" s="13" t="s">
        <v>36</v>
      </c>
      <c r="B100" s="14">
        <f>B59</f>
        <v>0</v>
      </c>
      <c r="C100" s="14">
        <f>C59</f>
        <v>0</v>
      </c>
      <c r="D100" s="14">
        <f>D59</f>
        <v>0</v>
      </c>
      <c r="E100" s="14">
        <f>E59</f>
        <v>0</v>
      </c>
    </row>
    <row r="101" spans="1:5" ht="15.75" thickBot="1" x14ac:dyDescent="0.3">
      <c r="A101" s="28" t="s">
        <v>90</v>
      </c>
      <c r="B101" s="15"/>
      <c r="C101" s="29" t="e">
        <f>C100/B100-1</f>
        <v>#DIV/0!</v>
      </c>
      <c r="D101" s="29" t="e">
        <f>D100/C100-1</f>
        <v>#DIV/0!</v>
      </c>
      <c r="E101" s="29" t="e">
        <f>E100/D100-1</f>
        <v>#DIV/0!</v>
      </c>
    </row>
    <row r="102" spans="1:5" ht="24.75" thickBot="1" x14ac:dyDescent="0.3">
      <c r="A102" s="13" t="s">
        <v>38</v>
      </c>
      <c r="B102" s="14">
        <f>B60</f>
        <v>0</v>
      </c>
      <c r="C102" s="14">
        <f>C60</f>
        <v>0</v>
      </c>
      <c r="D102" s="14">
        <f>D60</f>
        <v>0</v>
      </c>
      <c r="E102" s="14">
        <f>E60</f>
        <v>0</v>
      </c>
    </row>
    <row r="103" spans="1:5" ht="24.75" thickBot="1" x14ac:dyDescent="0.3">
      <c r="A103" s="28" t="s">
        <v>91</v>
      </c>
      <c r="B103" s="15"/>
      <c r="C103" s="29" t="e">
        <f>C102/B102-1</f>
        <v>#DIV/0!</v>
      </c>
      <c r="D103" s="29" t="e">
        <f>D102/C102-1</f>
        <v>#DIV/0!</v>
      </c>
      <c r="E103" s="29" t="e">
        <f>E102/D102-1</f>
        <v>#DIV/0!</v>
      </c>
    </row>
    <row r="104" spans="1:5" ht="15.75" thickBot="1" x14ac:dyDescent="0.3">
      <c r="A104" s="13" t="s">
        <v>92</v>
      </c>
      <c r="B104" s="14">
        <f>B80</f>
        <v>0</v>
      </c>
      <c r="C104" s="14">
        <f>C80</f>
        <v>0</v>
      </c>
      <c r="D104" s="14">
        <f>D80</f>
        <v>0</v>
      </c>
      <c r="E104" s="14">
        <f>E80</f>
        <v>0</v>
      </c>
    </row>
    <row r="105" spans="1:5" ht="15.75" thickBot="1" x14ac:dyDescent="0.3">
      <c r="A105" s="28" t="s">
        <v>93</v>
      </c>
      <c r="B105" s="15"/>
      <c r="C105" s="29" t="e">
        <f>C104/B104-1</f>
        <v>#DIV/0!</v>
      </c>
      <c r="D105" s="29" t="e">
        <f>D104/C104-1</f>
        <v>#DIV/0!</v>
      </c>
      <c r="E105" s="29" t="e">
        <f>E104/D104-1</f>
        <v>#DIV/0!</v>
      </c>
    </row>
    <row r="106" spans="1:5" ht="15.75" thickBot="1" x14ac:dyDescent="0.3">
      <c r="A106" s="13" t="s">
        <v>94</v>
      </c>
      <c r="B106" s="14">
        <f>B81</f>
        <v>2500</v>
      </c>
      <c r="C106" s="14">
        <f>C81</f>
        <v>10357</v>
      </c>
      <c r="D106" s="14">
        <f>D81</f>
        <v>6965</v>
      </c>
      <c r="E106" s="14">
        <f>E81</f>
        <v>5729</v>
      </c>
    </row>
    <row r="107" spans="1:5" ht="15.75" thickBot="1" x14ac:dyDescent="0.3">
      <c r="A107" s="28" t="s">
        <v>95</v>
      </c>
      <c r="B107" s="15"/>
      <c r="C107" s="29">
        <f>C106/B106-1</f>
        <v>3.1428000000000003</v>
      </c>
      <c r="D107" s="29">
        <f>D106/C106-1</f>
        <v>-0.32750796562711215</v>
      </c>
      <c r="E107" s="29">
        <f>E106/D106-1</f>
        <v>-0.17745872218234027</v>
      </c>
    </row>
    <row r="108" spans="1:5" ht="15.75" thickBot="1" x14ac:dyDescent="0.3">
      <c r="A108" s="17" t="s">
        <v>41</v>
      </c>
      <c r="B108" s="18">
        <f>IF(B88-B87=0,0,"Error")</f>
        <v>0</v>
      </c>
      <c r="C108" s="18">
        <f>IF(C88-C87=0,0,"Error")</f>
        <v>0</v>
      </c>
      <c r="D108" s="18">
        <f>IF(D88-D87=0,0,"Error")</f>
        <v>0</v>
      </c>
      <c r="E108" s="18">
        <f>IF(E88-E87=0,0,"Error")</f>
        <v>0</v>
      </c>
    </row>
    <row r="109" spans="1:5" ht="24.75" thickBot="1" x14ac:dyDescent="0.3">
      <c r="A109" s="30" t="s">
        <v>96</v>
      </c>
      <c r="B109" s="14" t="s">
        <v>23</v>
      </c>
      <c r="C109" s="14" t="s">
        <v>23</v>
      </c>
      <c r="D109" s="14" t="s">
        <v>23</v>
      </c>
      <c r="E109" s="14" t="s">
        <v>23</v>
      </c>
    </row>
    <row r="110" spans="1:5" ht="24.75" thickBot="1" x14ac:dyDescent="0.3">
      <c r="A110" s="30" t="s">
        <v>97</v>
      </c>
      <c r="B110" s="14">
        <v>43</v>
      </c>
      <c r="C110" s="14">
        <v>43</v>
      </c>
      <c r="D110" s="14">
        <v>43</v>
      </c>
      <c r="E110" s="14">
        <v>43</v>
      </c>
    </row>
  </sheetData>
  <mergeCells count="34">
    <mergeCell ref="C10:E10"/>
    <mergeCell ref="B35:E35"/>
    <mergeCell ref="A38:E38"/>
    <mergeCell ref="B5:E5"/>
    <mergeCell ref="B6:E6"/>
    <mergeCell ref="B7:E7"/>
    <mergeCell ref="C8:E8"/>
    <mergeCell ref="C9:E9"/>
    <mergeCell ref="A21:E21"/>
    <mergeCell ref="A63:E63"/>
    <mergeCell ref="A36:E36"/>
    <mergeCell ref="B23:E23"/>
    <mergeCell ref="B24:E24"/>
    <mergeCell ref="B25:E25"/>
    <mergeCell ref="A26:E26"/>
    <mergeCell ref="A52:A53"/>
    <mergeCell ref="A39:E39"/>
    <mergeCell ref="B40:E40"/>
    <mergeCell ref="B41:E41"/>
    <mergeCell ref="B42:E42"/>
    <mergeCell ref="A43:A44"/>
    <mergeCell ref="A51:E51"/>
    <mergeCell ref="A27:E29"/>
    <mergeCell ref="B30:E30"/>
    <mergeCell ref="A77:E77"/>
    <mergeCell ref="A78:A79"/>
    <mergeCell ref="A83:A85"/>
    <mergeCell ref="B83:E85"/>
    <mergeCell ref="A64:E64"/>
    <mergeCell ref="B65:E65"/>
    <mergeCell ref="B66:E66"/>
    <mergeCell ref="B67:E67"/>
    <mergeCell ref="B68:E68"/>
    <mergeCell ref="A69:A70"/>
  </mergeCells>
  <printOptions horizontalCentered="1" verticalCentered="1"/>
  <pageMargins left="0.7" right="0.7" top="0.75" bottom="0.75" header="0.3" footer="0.3"/>
  <pageSetup scale="57" orientation="portrait" r:id="rId1"/>
  <rowBreaks count="1" manualBreakCount="1">
    <brk id="62"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2:M316"/>
  <sheetViews>
    <sheetView view="pageBreakPreview" zoomScale="60" zoomScaleNormal="100" workbookViewId="0">
      <selection activeCell="M26" sqref="M26"/>
    </sheetView>
  </sheetViews>
  <sheetFormatPr defaultRowHeight="15" x14ac:dyDescent="0.25"/>
  <cols>
    <col min="1" max="1" width="21.42578125" customWidth="1"/>
    <col min="2" max="5" width="18" customWidth="1"/>
    <col min="6" max="6" width="11" customWidth="1"/>
    <col min="7" max="7" width="11" bestFit="1" customWidth="1"/>
  </cols>
  <sheetData>
    <row r="2" spans="1:5" x14ac:dyDescent="0.25">
      <c r="A2" s="189" t="s">
        <v>898</v>
      </c>
      <c r="B2" s="188"/>
      <c r="C2" s="188"/>
      <c r="D2" s="188"/>
    </row>
    <row r="4" spans="1:5" ht="15.75" thickBot="1" x14ac:dyDescent="0.3"/>
    <row r="5" spans="1:5" ht="48" thickBot="1" x14ac:dyDescent="0.3">
      <c r="A5" s="168" t="s">
        <v>897</v>
      </c>
      <c r="B5" s="1084" t="s">
        <v>1485</v>
      </c>
      <c r="C5" s="1085"/>
      <c r="D5" s="1085"/>
      <c r="E5" s="1086"/>
    </row>
    <row r="6" spans="1:5" ht="48" thickBot="1" x14ac:dyDescent="0.3">
      <c r="A6" s="36" t="s">
        <v>895</v>
      </c>
      <c r="B6" s="1087" t="s">
        <v>1484</v>
      </c>
      <c r="C6" s="1088"/>
      <c r="D6" s="1088"/>
      <c r="E6" s="1089"/>
    </row>
    <row r="7" spans="1:5" ht="89.25" customHeight="1" thickBot="1" x14ac:dyDescent="0.3">
      <c r="A7" s="36" t="s">
        <v>914</v>
      </c>
      <c r="B7" s="1239" t="s">
        <v>1483</v>
      </c>
      <c r="C7" s="1095"/>
      <c r="D7" s="1095"/>
      <c r="E7" s="1096"/>
    </row>
    <row r="8" spans="1:5" ht="32.25" thickBot="1" x14ac:dyDescent="0.3">
      <c r="A8" s="36" t="s">
        <v>891</v>
      </c>
      <c r="B8" s="167" t="s">
        <v>912</v>
      </c>
      <c r="C8" s="1093" t="s">
        <v>7</v>
      </c>
      <c r="D8" s="1093"/>
      <c r="E8" s="1094"/>
    </row>
    <row r="9" spans="1:5" ht="48" thickBot="1" x14ac:dyDescent="0.3">
      <c r="A9" s="36" t="s">
        <v>929</v>
      </c>
      <c r="B9" s="219" t="s">
        <v>763</v>
      </c>
      <c r="C9" s="1095" t="s">
        <v>762</v>
      </c>
      <c r="D9" s="1095"/>
      <c r="E9" s="1096"/>
    </row>
    <row r="10" spans="1:5" ht="48" thickBot="1" x14ac:dyDescent="0.3">
      <c r="A10" s="36" t="s">
        <v>927</v>
      </c>
      <c r="B10" s="186"/>
      <c r="C10" s="1095"/>
      <c r="D10" s="1095"/>
      <c r="E10" s="1096"/>
    </row>
    <row r="11" spans="1:5" ht="18" customHeight="1" x14ac:dyDescent="0.25">
      <c r="A11" s="1247" t="s">
        <v>0</v>
      </c>
      <c r="B11" s="1247"/>
      <c r="C11" s="1247"/>
      <c r="D11" s="1247"/>
      <c r="E11" s="1247"/>
    </row>
    <row r="12" spans="1:5" ht="18" customHeight="1" x14ac:dyDescent="0.25">
      <c r="A12" s="1558" t="s">
        <v>1</v>
      </c>
      <c r="B12" s="1558"/>
      <c r="C12" s="1558"/>
      <c r="D12" s="1558"/>
      <c r="E12" s="1558"/>
    </row>
    <row r="13" spans="1:5" ht="15.75" thickBot="1" x14ac:dyDescent="0.3"/>
    <row r="14" spans="1:5" ht="26.25" thickBot="1" x14ac:dyDescent="0.3">
      <c r="A14" s="2" t="s">
        <v>2</v>
      </c>
      <c r="B14" s="1263" t="s">
        <v>762</v>
      </c>
      <c r="C14" s="1263"/>
      <c r="D14" s="1263"/>
      <c r="E14" s="1263"/>
    </row>
    <row r="15" spans="1:5" ht="15.75" thickBot="1" x14ac:dyDescent="0.3">
      <c r="A15" s="2" t="s">
        <v>3</v>
      </c>
      <c r="B15" s="1087" t="s">
        <v>763</v>
      </c>
      <c r="C15" s="1088"/>
      <c r="D15" s="1088"/>
      <c r="E15" s="1089"/>
    </row>
    <row r="16" spans="1:5" ht="26.25" thickBot="1" x14ac:dyDescent="0.3">
      <c r="A16" s="2" t="s">
        <v>5</v>
      </c>
      <c r="B16" s="1265" t="s">
        <v>6</v>
      </c>
      <c r="C16" s="1095"/>
      <c r="D16" s="1095"/>
      <c r="E16" s="1096"/>
    </row>
    <row r="17" spans="1:12" ht="15.75" thickBot="1" x14ac:dyDescent="0.3">
      <c r="A17" s="1266" t="s">
        <v>7</v>
      </c>
      <c r="B17" s="1267"/>
      <c r="C17" s="1267"/>
      <c r="D17" s="1267"/>
      <c r="E17" s="1297"/>
    </row>
    <row r="18" spans="1:12" ht="15.75" thickBot="1" x14ac:dyDescent="0.3">
      <c r="A18" s="1268" t="s">
        <v>762</v>
      </c>
      <c r="B18" s="1269"/>
      <c r="C18" s="1269"/>
      <c r="D18" s="1269"/>
      <c r="E18" s="1301"/>
    </row>
    <row r="19" spans="1:12" ht="36.75" customHeight="1" thickBot="1" x14ac:dyDescent="0.3">
      <c r="A19" s="1268"/>
      <c r="B19" s="1269"/>
      <c r="C19" s="1269"/>
      <c r="D19" s="1269"/>
      <c r="E19" s="1301"/>
    </row>
    <row r="20" spans="1:12" ht="15.75" thickBot="1" x14ac:dyDescent="0.3">
      <c r="A20" s="1268"/>
      <c r="B20" s="1269"/>
      <c r="C20" s="1269"/>
      <c r="D20" s="1269"/>
      <c r="E20" s="1301"/>
    </row>
    <row r="21" spans="1:12" ht="81" customHeight="1" thickBot="1" x14ac:dyDescent="0.3">
      <c r="A21" s="3" t="s">
        <v>8</v>
      </c>
      <c r="B21" s="1302" t="s">
        <v>764</v>
      </c>
      <c r="C21" s="1303"/>
      <c r="D21" s="1303"/>
      <c r="E21" s="1304"/>
    </row>
    <row r="22" spans="1:12" ht="23.25" customHeight="1" x14ac:dyDescent="0.25">
      <c r="A22" s="1250" t="s">
        <v>102</v>
      </c>
      <c r="B22" s="262">
        <v>2018</v>
      </c>
      <c r="C22" s="262">
        <v>2019</v>
      </c>
      <c r="D22" s="262">
        <v>2020</v>
      </c>
      <c r="E22" s="262">
        <v>2021</v>
      </c>
    </row>
    <row r="23" spans="1:12" ht="15.75" thickBot="1" x14ac:dyDescent="0.3">
      <c r="A23" s="1251"/>
      <c r="B23" s="263" t="s">
        <v>10</v>
      </c>
      <c r="C23" s="263" t="s">
        <v>11</v>
      </c>
      <c r="D23" s="263" t="s">
        <v>11</v>
      </c>
      <c r="E23" s="263" t="s">
        <v>11</v>
      </c>
    </row>
    <row r="24" spans="1:12" ht="15.75" thickBot="1" x14ac:dyDescent="0.3">
      <c r="A24" s="261" t="s">
        <v>164</v>
      </c>
      <c r="B24" s="4" t="s">
        <v>112</v>
      </c>
      <c r="C24" s="4" t="s">
        <v>113</v>
      </c>
      <c r="D24" s="4" t="s">
        <v>113</v>
      </c>
      <c r="E24" s="4" t="s">
        <v>113</v>
      </c>
    </row>
    <row r="25" spans="1:12" ht="15.75" thickBot="1" x14ac:dyDescent="0.3">
      <c r="A25" s="5" t="s">
        <v>165</v>
      </c>
      <c r="B25" s="4" t="s">
        <v>112</v>
      </c>
      <c r="C25" s="4" t="s">
        <v>113</v>
      </c>
      <c r="D25" s="4" t="s">
        <v>113</v>
      </c>
      <c r="E25" s="4" t="s">
        <v>113</v>
      </c>
    </row>
    <row r="26" spans="1:12" ht="23.25" thickBot="1" x14ac:dyDescent="0.3">
      <c r="A26" s="5" t="s">
        <v>111</v>
      </c>
      <c r="B26" s="4" t="s">
        <v>112</v>
      </c>
      <c r="C26" s="4" t="s">
        <v>113</v>
      </c>
      <c r="D26" s="4" t="s">
        <v>113</v>
      </c>
      <c r="E26" s="4" t="s">
        <v>113</v>
      </c>
    </row>
    <row r="27" spans="1:12" ht="24.75" thickBot="1" x14ac:dyDescent="0.3">
      <c r="A27" s="6" t="s">
        <v>12</v>
      </c>
      <c r="B27" s="1272" t="s">
        <v>765</v>
      </c>
      <c r="C27" s="1270"/>
      <c r="D27" s="1270"/>
      <c r="E27" s="1305"/>
    </row>
    <row r="28" spans="1:12" ht="23.25" customHeight="1" thickBot="1" x14ac:dyDescent="0.3">
      <c r="A28" s="1245" t="s">
        <v>103</v>
      </c>
      <c r="B28" s="1246"/>
      <c r="C28" s="1246"/>
      <c r="D28" s="1246"/>
      <c r="E28" s="1298"/>
      <c r="F28" s="35"/>
      <c r="H28" s="35"/>
    </row>
    <row r="29" spans="1:12" ht="15.75" thickBot="1" x14ac:dyDescent="0.3">
      <c r="A29" s="261" t="s">
        <v>164</v>
      </c>
      <c r="B29" s="4" t="s">
        <v>112</v>
      </c>
      <c r="C29" s="4" t="s">
        <v>113</v>
      </c>
      <c r="D29" s="4" t="s">
        <v>113</v>
      </c>
      <c r="E29" s="4" t="s">
        <v>113</v>
      </c>
    </row>
    <row r="30" spans="1:12" ht="15.75" thickBot="1" x14ac:dyDescent="0.3">
      <c r="A30" s="5" t="s">
        <v>165</v>
      </c>
      <c r="B30" s="4" t="s">
        <v>112</v>
      </c>
      <c r="C30" s="4" t="s">
        <v>113</v>
      </c>
      <c r="D30" s="4" t="s">
        <v>113</v>
      </c>
      <c r="E30" s="4" t="s">
        <v>113</v>
      </c>
    </row>
    <row r="31" spans="1:12" ht="23.25" thickBot="1" x14ac:dyDescent="0.3">
      <c r="A31" s="5" t="s">
        <v>111</v>
      </c>
      <c r="B31" s="4" t="s">
        <v>112</v>
      </c>
      <c r="C31" s="4" t="s">
        <v>113</v>
      </c>
      <c r="D31" s="4" t="s">
        <v>113</v>
      </c>
      <c r="E31" s="4" t="s">
        <v>113</v>
      </c>
    </row>
    <row r="32" spans="1:12" ht="15.75" thickBot="1" x14ac:dyDescent="0.3">
      <c r="A32" s="1273" t="s">
        <v>14</v>
      </c>
      <c r="B32" s="1274"/>
      <c r="C32" s="1274"/>
      <c r="D32" s="1274"/>
      <c r="E32" s="1299"/>
      <c r="K32" s="170">
        <v>24349</v>
      </c>
      <c r="L32" s="170">
        <f>SUM(K32)</f>
        <v>24349</v>
      </c>
    </row>
    <row r="33" spans="1:13" ht="15.75" thickBot="1" x14ac:dyDescent="0.3">
      <c r="A33" s="1275" t="s">
        <v>104</v>
      </c>
      <c r="B33" s="1276"/>
      <c r="C33" s="1276"/>
      <c r="D33" s="1276"/>
      <c r="E33" s="1317"/>
      <c r="K33" s="170">
        <v>4066</v>
      </c>
      <c r="L33" s="879">
        <f>SUM(K33)</f>
        <v>4066</v>
      </c>
    </row>
    <row r="34" spans="1:13" ht="15.75" thickBot="1" x14ac:dyDescent="0.3">
      <c r="A34" s="7" t="s">
        <v>16</v>
      </c>
      <c r="B34" s="1243" t="s">
        <v>766</v>
      </c>
      <c r="C34" s="1244"/>
      <c r="D34" s="1244"/>
      <c r="E34" s="1315"/>
      <c r="K34" s="879">
        <v>20000</v>
      </c>
      <c r="L34">
        <f>SUM(L32:L33)</f>
        <v>28415</v>
      </c>
    </row>
    <row r="35" spans="1:13" ht="17.25" customHeight="1" thickBot="1" x14ac:dyDescent="0.3">
      <c r="A35" s="5" t="s">
        <v>17</v>
      </c>
      <c r="B35" s="1245" t="s">
        <v>766</v>
      </c>
      <c r="C35" s="1246"/>
      <c r="D35" s="1246"/>
      <c r="E35" s="1298"/>
      <c r="K35">
        <v>48415</v>
      </c>
    </row>
    <row r="36" spans="1:13" ht="15.75" thickBot="1" x14ac:dyDescent="0.3">
      <c r="A36" s="5" t="s">
        <v>18</v>
      </c>
      <c r="B36" s="1248" t="s">
        <v>767</v>
      </c>
      <c r="C36" s="1249"/>
      <c r="D36" s="1249"/>
      <c r="E36" s="1316"/>
    </row>
    <row r="37" spans="1:13" ht="12.75" customHeight="1" x14ac:dyDescent="0.25">
      <c r="A37" s="1250"/>
      <c r="B37" s="8">
        <v>2018</v>
      </c>
      <c r="C37" s="8">
        <v>2019</v>
      </c>
      <c r="D37" s="8">
        <v>2020</v>
      </c>
      <c r="E37" s="8">
        <v>2021</v>
      </c>
    </row>
    <row r="38" spans="1:13" ht="9" customHeight="1" thickBot="1" x14ac:dyDescent="0.3">
      <c r="A38" s="1251"/>
      <c r="B38" s="9" t="s">
        <v>10</v>
      </c>
      <c r="C38" s="9" t="s">
        <v>11</v>
      </c>
      <c r="D38" s="9" t="s">
        <v>11</v>
      </c>
      <c r="E38" s="9" t="s">
        <v>11</v>
      </c>
    </row>
    <row r="39" spans="1:13" ht="15.75" thickBot="1" x14ac:dyDescent="0.3">
      <c r="A39" s="5" t="s">
        <v>19</v>
      </c>
      <c r="B39" s="10">
        <v>17</v>
      </c>
      <c r="C39" s="10">
        <v>19</v>
      </c>
      <c r="D39" s="10">
        <v>19</v>
      </c>
      <c r="E39" s="10">
        <v>19</v>
      </c>
    </row>
    <row r="40" spans="1:13" ht="15.75" thickBot="1" x14ac:dyDescent="0.3">
      <c r="A40" s="5" t="s">
        <v>20</v>
      </c>
      <c r="B40" s="10">
        <v>32800</v>
      </c>
      <c r="C40" s="10">
        <v>48415</v>
      </c>
      <c r="D40" s="10">
        <v>48415</v>
      </c>
      <c r="E40" s="10">
        <v>48415</v>
      </c>
    </row>
    <row r="41" spans="1:13" ht="15.75" thickBot="1" x14ac:dyDescent="0.3">
      <c r="A41" s="5" t="s">
        <v>21</v>
      </c>
      <c r="B41" s="10">
        <f>B40/B39</f>
        <v>1929.4117647058824</v>
      </c>
      <c r="C41" s="10">
        <f>C40/C39</f>
        <v>2548.1578947368421</v>
      </c>
      <c r="D41" s="10">
        <f>D40/D39</f>
        <v>2548.1578947368421</v>
      </c>
      <c r="E41" s="10">
        <f>E40/E39</f>
        <v>2548.1578947368421</v>
      </c>
    </row>
    <row r="42" spans="1:13" ht="15.75" thickBot="1" x14ac:dyDescent="0.3">
      <c r="A42" s="5" t="s">
        <v>22</v>
      </c>
      <c r="B42" s="260" t="s">
        <v>23</v>
      </c>
      <c r="C42" s="11">
        <f t="shared" ref="C42:E44" si="0">C39/B39-1</f>
        <v>0.11764705882352944</v>
      </c>
      <c r="D42" s="11">
        <f t="shared" si="0"/>
        <v>0</v>
      </c>
      <c r="E42" s="11">
        <f t="shared" si="0"/>
        <v>0</v>
      </c>
      <c r="F42" s="12"/>
      <c r="G42" s="12"/>
      <c r="H42" s="12"/>
      <c r="I42" s="12"/>
    </row>
    <row r="43" spans="1:13" ht="15.75" thickBot="1" x14ac:dyDescent="0.3">
      <c r="A43" s="5" t="s">
        <v>24</v>
      </c>
      <c r="B43" s="260" t="s">
        <v>23</v>
      </c>
      <c r="C43" s="11">
        <f t="shared" si="0"/>
        <v>0.47606707317073171</v>
      </c>
      <c r="D43" s="11">
        <f t="shared" si="0"/>
        <v>0</v>
      </c>
      <c r="E43" s="11">
        <f t="shared" si="0"/>
        <v>0</v>
      </c>
    </row>
    <row r="44" spans="1:13" ht="23.25" thickBot="1" x14ac:dyDescent="0.3">
      <c r="A44" s="5" t="s">
        <v>25</v>
      </c>
      <c r="B44" s="260" t="s">
        <v>23</v>
      </c>
      <c r="C44" s="11">
        <f t="shared" si="0"/>
        <v>0.32069159178433893</v>
      </c>
      <c r="D44" s="11">
        <f t="shared" si="0"/>
        <v>0</v>
      </c>
      <c r="E44" s="11">
        <f t="shared" si="0"/>
        <v>0</v>
      </c>
      <c r="J44" s="14">
        <f>16900/2</f>
        <v>8450</v>
      </c>
      <c r="K44">
        <v>12054.5</v>
      </c>
      <c r="L44">
        <v>12054.5</v>
      </c>
      <c r="M44">
        <f>SUM(K44:L44)</f>
        <v>24109</v>
      </c>
    </row>
    <row r="45" spans="1:13" ht="15.75" thickBot="1" x14ac:dyDescent="0.3">
      <c r="A45" s="1252" t="s">
        <v>633</v>
      </c>
      <c r="B45" s="1253"/>
      <c r="C45" s="1253"/>
      <c r="D45" s="1253"/>
      <c r="E45" s="1300"/>
      <c r="J45" s="14">
        <v>1200</v>
      </c>
      <c r="K45">
        <v>1800</v>
      </c>
      <c r="L45">
        <v>1800</v>
      </c>
      <c r="M45">
        <f>SUM(K45:L45)</f>
        <v>3600</v>
      </c>
    </row>
    <row r="46" spans="1:13" ht="12.75" customHeight="1" thickBot="1" x14ac:dyDescent="0.3">
      <c r="A46" s="1250"/>
      <c r="B46" s="8">
        <v>2018</v>
      </c>
      <c r="C46" s="8">
        <v>2019</v>
      </c>
      <c r="D46" s="8">
        <v>2020</v>
      </c>
      <c r="E46" s="8">
        <v>2021</v>
      </c>
      <c r="J46" s="15">
        <v>6750</v>
      </c>
      <c r="K46">
        <v>10000</v>
      </c>
      <c r="L46">
        <v>10000</v>
      </c>
      <c r="M46">
        <f>SUM(K46:L46)</f>
        <v>20000</v>
      </c>
    </row>
    <row r="47" spans="1:13" ht="9" customHeight="1" thickBot="1" x14ac:dyDescent="0.3">
      <c r="A47" s="1251"/>
      <c r="B47" s="9" t="s">
        <v>10</v>
      </c>
      <c r="C47" s="9" t="s">
        <v>11</v>
      </c>
      <c r="D47" s="9" t="s">
        <v>11</v>
      </c>
      <c r="E47" s="9" t="s">
        <v>11</v>
      </c>
    </row>
    <row r="48" spans="1:13" ht="15.75" thickBot="1" x14ac:dyDescent="0.3">
      <c r="A48" s="13" t="s">
        <v>26</v>
      </c>
      <c r="B48" s="14">
        <v>16900</v>
      </c>
      <c r="C48" s="14">
        <v>24349</v>
      </c>
      <c r="D48" s="14">
        <v>24349</v>
      </c>
      <c r="E48" s="14">
        <v>24349</v>
      </c>
      <c r="K48">
        <f>SUM(K44:K47)</f>
        <v>23854.5</v>
      </c>
      <c r="L48">
        <f>SUM(L44:L47)</f>
        <v>23854.5</v>
      </c>
      <c r="M48">
        <f>SUM(M44:M47)</f>
        <v>47709</v>
      </c>
    </row>
    <row r="49" spans="1:5" ht="24.75" thickBot="1" x14ac:dyDescent="0.3">
      <c r="A49" s="13" t="s">
        <v>28</v>
      </c>
      <c r="B49" s="14">
        <v>2400</v>
      </c>
      <c r="C49" s="14">
        <v>4066</v>
      </c>
      <c r="D49" s="14">
        <v>4066</v>
      </c>
      <c r="E49" s="14">
        <v>4066</v>
      </c>
    </row>
    <row r="50" spans="1:5" ht="15.75" thickBot="1" x14ac:dyDescent="0.3">
      <c r="A50" s="13" t="s">
        <v>30</v>
      </c>
      <c r="B50" s="15">
        <v>13500</v>
      </c>
      <c r="C50" s="14">
        <v>20000</v>
      </c>
      <c r="D50" s="14">
        <v>20000</v>
      </c>
      <c r="E50" s="14">
        <v>20000</v>
      </c>
    </row>
    <row r="51" spans="1:5" ht="15.75" thickBot="1" x14ac:dyDescent="0.3">
      <c r="A51" s="13" t="s">
        <v>32</v>
      </c>
      <c r="B51" s="15"/>
      <c r="C51" s="14"/>
      <c r="D51" s="14"/>
      <c r="E51" s="14"/>
    </row>
    <row r="52" spans="1:5" ht="24.75" thickBot="1" x14ac:dyDescent="0.3">
      <c r="A52" s="13" t="s">
        <v>34</v>
      </c>
      <c r="B52" s="15"/>
      <c r="C52" s="14"/>
      <c r="D52" s="14"/>
      <c r="E52" s="14"/>
    </row>
    <row r="53" spans="1:5" ht="15.75" thickBot="1" x14ac:dyDescent="0.3">
      <c r="A53" s="13" t="s">
        <v>36</v>
      </c>
      <c r="B53" s="15"/>
      <c r="C53" s="14"/>
      <c r="D53" s="14"/>
      <c r="E53" s="14"/>
    </row>
    <row r="54" spans="1:5" ht="24.75" thickBot="1" x14ac:dyDescent="0.3">
      <c r="A54" s="13" t="s">
        <v>38</v>
      </c>
      <c r="B54" s="15"/>
      <c r="C54" s="14"/>
      <c r="D54" s="14"/>
      <c r="E54" s="14"/>
    </row>
    <row r="55" spans="1:5" ht="15.75" thickBot="1" x14ac:dyDescent="0.3">
      <c r="A55" s="16" t="s">
        <v>40</v>
      </c>
      <c r="B55" s="15">
        <f>B54+B53+B52+B51+B50+B49+B48</f>
        <v>32800</v>
      </c>
      <c r="C55" s="15">
        <f>C54+C53+C52+C51+C50+C49+C48</f>
        <v>48415</v>
      </c>
      <c r="D55" s="15">
        <f>D54+D53+D52+D51+D50+D49+D48</f>
        <v>48415</v>
      </c>
      <c r="E55" s="15">
        <f>E54+E53+E52+E51+E50+E49+E48</f>
        <v>48415</v>
      </c>
    </row>
    <row r="56" spans="1:5" ht="15.75" thickBot="1" x14ac:dyDescent="0.3">
      <c r="A56" s="17" t="s">
        <v>41</v>
      </c>
      <c r="B56" s="18">
        <f>IF(B55-B40=0,0,"Error")</f>
        <v>0</v>
      </c>
      <c r="C56" s="18">
        <f>IF(C55-C40=0,0,"Error")</f>
        <v>0</v>
      </c>
      <c r="D56" s="18">
        <f>IF(D55-D40=0,0,"Error")</f>
        <v>0</v>
      </c>
      <c r="E56" s="18">
        <f>IF(E55-E40=0,0,"Error")</f>
        <v>0</v>
      </c>
    </row>
    <row r="57" spans="1:5" ht="23.25" hidden="1" customHeight="1" thickBot="1" x14ac:dyDescent="0.3">
      <c r="A57" s="139" t="s">
        <v>637</v>
      </c>
      <c r="B57" s="1243" t="s">
        <v>106</v>
      </c>
      <c r="C57" s="1244"/>
      <c r="D57" s="1244"/>
      <c r="E57" s="1315"/>
    </row>
    <row r="58" spans="1:5" ht="15.75" hidden="1" customHeight="1" thickBot="1" x14ac:dyDescent="0.3">
      <c r="A58" s="5" t="s">
        <v>17</v>
      </c>
      <c r="B58" s="1245" t="s">
        <v>106</v>
      </c>
      <c r="C58" s="1246"/>
      <c r="D58" s="1246"/>
      <c r="E58" s="1298"/>
    </row>
    <row r="59" spans="1:5" ht="15.75" hidden="1" customHeight="1" thickBot="1" x14ac:dyDescent="0.3">
      <c r="A59" s="5" t="s">
        <v>18</v>
      </c>
      <c r="B59" s="1248" t="s">
        <v>106</v>
      </c>
      <c r="C59" s="1249"/>
      <c r="D59" s="1249"/>
      <c r="E59" s="1316"/>
    </row>
    <row r="60" spans="1:5" ht="15.75" hidden="1" customHeight="1" thickBot="1" x14ac:dyDescent="0.3">
      <c r="A60" s="5" t="s">
        <v>19</v>
      </c>
      <c r="B60" s="10"/>
      <c r="C60" s="10"/>
      <c r="D60" s="10"/>
      <c r="E60" s="10"/>
    </row>
    <row r="61" spans="1:5" ht="12.75" hidden="1" customHeight="1" x14ac:dyDescent="0.25">
      <c r="A61" s="1250"/>
      <c r="B61" s="8">
        <v>2018</v>
      </c>
      <c r="C61" s="8">
        <v>2019</v>
      </c>
      <c r="D61" s="8">
        <v>2020</v>
      </c>
      <c r="E61" s="8">
        <v>2021</v>
      </c>
    </row>
    <row r="62" spans="1:5" ht="9" hidden="1" customHeight="1" thickBot="1" x14ac:dyDescent="0.3">
      <c r="A62" s="1251"/>
      <c r="B62" s="9" t="s">
        <v>10</v>
      </c>
      <c r="C62" s="9" t="s">
        <v>11</v>
      </c>
      <c r="D62" s="9" t="s">
        <v>11</v>
      </c>
      <c r="E62" s="9" t="s">
        <v>11</v>
      </c>
    </row>
    <row r="63" spans="1:5" ht="15.75" hidden="1" customHeight="1" thickBot="1" x14ac:dyDescent="0.3">
      <c r="A63" s="5" t="s">
        <v>20</v>
      </c>
      <c r="B63" s="10"/>
      <c r="C63" s="10"/>
      <c r="D63" s="10"/>
      <c r="E63" s="10"/>
    </row>
    <row r="64" spans="1:5" ht="15.75" hidden="1" customHeight="1" thickBot="1" x14ac:dyDescent="0.3">
      <c r="A64" s="5" t="s">
        <v>21</v>
      </c>
      <c r="B64" s="10" t="e">
        <f>B63/B60</f>
        <v>#DIV/0!</v>
      </c>
      <c r="C64" s="10" t="e">
        <f>C63/C60</f>
        <v>#DIV/0!</v>
      </c>
      <c r="D64" s="10" t="e">
        <f>D63/D60</f>
        <v>#DIV/0!</v>
      </c>
      <c r="E64" s="10" t="e">
        <f>E63/E60</f>
        <v>#DIV/0!</v>
      </c>
    </row>
    <row r="65" spans="1:5" ht="15.75" hidden="1" customHeight="1" thickBot="1" x14ac:dyDescent="0.3">
      <c r="A65" s="5" t="s">
        <v>22</v>
      </c>
      <c r="B65" s="260"/>
      <c r="C65" s="11" t="e">
        <f>C60/B60-1</f>
        <v>#DIV/0!</v>
      </c>
      <c r="D65" s="11" t="e">
        <f>D60/C60-1</f>
        <v>#DIV/0!</v>
      </c>
      <c r="E65" s="11" t="e">
        <f>E60/D60-1</f>
        <v>#DIV/0!</v>
      </c>
    </row>
    <row r="66" spans="1:5" ht="15.75" hidden="1" customHeight="1" thickBot="1" x14ac:dyDescent="0.3">
      <c r="A66" s="5" t="s">
        <v>24</v>
      </c>
      <c r="B66" s="260"/>
      <c r="C66" s="11" t="e">
        <f t="shared" ref="C66:E67" si="1">C63/B63-1</f>
        <v>#DIV/0!</v>
      </c>
      <c r="D66" s="11" t="e">
        <f t="shared" si="1"/>
        <v>#DIV/0!</v>
      </c>
      <c r="E66" s="11" t="e">
        <f t="shared" si="1"/>
        <v>#DIV/0!</v>
      </c>
    </row>
    <row r="67" spans="1:5" ht="23.25" hidden="1" customHeight="1" thickBot="1" x14ac:dyDescent="0.3">
      <c r="A67" s="5" t="s">
        <v>25</v>
      </c>
      <c r="B67" s="260"/>
      <c r="C67" s="11" t="e">
        <f t="shared" si="1"/>
        <v>#DIV/0!</v>
      </c>
      <c r="D67" s="11" t="e">
        <f t="shared" si="1"/>
        <v>#DIV/0!</v>
      </c>
      <c r="E67" s="11" t="e">
        <f t="shared" si="1"/>
        <v>#DIV/0!</v>
      </c>
    </row>
    <row r="68" spans="1:5" ht="24.75" hidden="1" customHeight="1" thickBot="1" x14ac:dyDescent="0.3">
      <c r="A68" s="1252" t="s">
        <v>862</v>
      </c>
      <c r="B68" s="1253"/>
      <c r="C68" s="1253"/>
      <c r="D68" s="1253"/>
      <c r="E68" s="1300"/>
    </row>
    <row r="69" spans="1:5" ht="12.75" hidden="1" customHeight="1" x14ac:dyDescent="0.25">
      <c r="A69" s="1250"/>
      <c r="B69" s="8">
        <v>2018</v>
      </c>
      <c r="C69" s="8">
        <v>2019</v>
      </c>
      <c r="D69" s="8">
        <v>2020</v>
      </c>
      <c r="E69" s="8">
        <v>2021</v>
      </c>
    </row>
    <row r="70" spans="1:5" ht="9" hidden="1" customHeight="1" thickBot="1" x14ac:dyDescent="0.3">
      <c r="A70" s="1251"/>
      <c r="B70" s="9" t="s">
        <v>10</v>
      </c>
      <c r="C70" s="9" t="s">
        <v>11</v>
      </c>
      <c r="D70" s="9" t="s">
        <v>11</v>
      </c>
      <c r="E70" s="9" t="s">
        <v>11</v>
      </c>
    </row>
    <row r="71" spans="1:5" ht="24.75" hidden="1" customHeight="1" thickBot="1" x14ac:dyDescent="0.3">
      <c r="A71" s="13" t="s">
        <v>26</v>
      </c>
      <c r="B71" s="14"/>
      <c r="C71" s="14"/>
      <c r="D71" s="14"/>
      <c r="E71" s="14"/>
    </row>
    <row r="72" spans="1:5" ht="24.75" hidden="1" customHeight="1" thickBot="1" x14ac:dyDescent="0.3">
      <c r="A72" s="13" t="s">
        <v>28</v>
      </c>
      <c r="B72" s="14"/>
      <c r="C72" s="14"/>
      <c r="D72" s="14"/>
      <c r="E72" s="14"/>
    </row>
    <row r="73" spans="1:5" ht="24.75" hidden="1" customHeight="1" thickBot="1" x14ac:dyDescent="0.3">
      <c r="A73" s="13" t="s">
        <v>30</v>
      </c>
      <c r="B73" s="15"/>
      <c r="C73" s="14"/>
      <c r="D73" s="14"/>
      <c r="E73" s="14"/>
    </row>
    <row r="74" spans="1:5" ht="15.75" hidden="1" customHeight="1" thickBot="1" x14ac:dyDescent="0.3">
      <c r="A74" s="13" t="s">
        <v>32</v>
      </c>
      <c r="B74" s="15"/>
      <c r="C74" s="14"/>
      <c r="D74" s="14"/>
      <c r="E74" s="14"/>
    </row>
    <row r="75" spans="1:5" ht="24.75" hidden="1" customHeight="1" thickBot="1" x14ac:dyDescent="0.3">
      <c r="A75" s="13" t="s">
        <v>34</v>
      </c>
      <c r="B75" s="15"/>
      <c r="C75" s="14"/>
      <c r="D75" s="14"/>
      <c r="E75" s="14"/>
    </row>
    <row r="76" spans="1:5" ht="15.75" hidden="1" customHeight="1" thickBot="1" x14ac:dyDescent="0.3">
      <c r="A76" s="13" t="s">
        <v>36</v>
      </c>
      <c r="B76" s="15"/>
      <c r="C76" s="14"/>
      <c r="D76" s="14"/>
      <c r="E76" s="14"/>
    </row>
    <row r="77" spans="1:5" ht="24.75" hidden="1" customHeight="1" thickBot="1" x14ac:dyDescent="0.3">
      <c r="A77" s="13" t="s">
        <v>38</v>
      </c>
      <c r="B77" s="15"/>
      <c r="C77" s="14"/>
      <c r="D77" s="14"/>
      <c r="E77" s="14"/>
    </row>
    <row r="78" spans="1:5" ht="24.75" hidden="1" customHeight="1" thickBot="1" x14ac:dyDescent="0.3">
      <c r="A78" s="135" t="s">
        <v>74</v>
      </c>
      <c r="B78" s="15">
        <f>B77+B76+B75+B74+B73+B72+B71</f>
        <v>0</v>
      </c>
      <c r="C78" s="15">
        <f>C77+C76+C75+C74+C73+C72+C71</f>
        <v>0</v>
      </c>
      <c r="D78" s="15">
        <f>D77+D76+D75+D74+D73+D72+D71</f>
        <v>0</v>
      </c>
      <c r="E78" s="15">
        <f>E77+E76+E75+E74+E73+E72+E71</f>
        <v>0</v>
      </c>
    </row>
    <row r="79" spans="1:5" ht="17.25" hidden="1" customHeight="1" thickBot="1" x14ac:dyDescent="0.3">
      <c r="A79" s="17" t="s">
        <v>41</v>
      </c>
      <c r="B79" s="18">
        <f>IF(B78-B63=0,0,"Error")</f>
        <v>0</v>
      </c>
      <c r="C79" s="18">
        <f>IF(C78-C63=0,0,"Error")</f>
        <v>0</v>
      </c>
      <c r="D79" s="18">
        <f>IF(D78-D63=0,0,"Error")</f>
        <v>0</v>
      </c>
      <c r="E79" s="18">
        <f>IF(E78-E63=0,0,"Error")</f>
        <v>0</v>
      </c>
    </row>
    <row r="80" spans="1:5" ht="15.75" thickBot="1" x14ac:dyDescent="0.3">
      <c r="A80" s="1275" t="s">
        <v>63</v>
      </c>
      <c r="B80" s="1276"/>
      <c r="C80" s="1276"/>
      <c r="D80" s="1276"/>
      <c r="E80" s="1317"/>
    </row>
    <row r="81" spans="1:9" ht="15.75" thickBot="1" x14ac:dyDescent="0.3">
      <c r="A81" s="1275" t="s">
        <v>56</v>
      </c>
      <c r="B81" s="1276"/>
      <c r="C81" s="1276"/>
      <c r="D81" s="1276"/>
      <c r="E81" s="1317"/>
    </row>
    <row r="82" spans="1:9" ht="23.25" thickBot="1" x14ac:dyDescent="0.3">
      <c r="A82" s="20" t="s">
        <v>79</v>
      </c>
      <c r="B82" s="1241" t="s">
        <v>702</v>
      </c>
      <c r="C82" s="1242"/>
      <c r="D82" s="1242"/>
      <c r="E82" s="1318"/>
    </row>
    <row r="83" spans="1:9" ht="15.75" customHeight="1" thickBot="1" x14ac:dyDescent="0.3">
      <c r="A83" s="7" t="s">
        <v>16</v>
      </c>
      <c r="B83" s="1245" t="s">
        <v>768</v>
      </c>
      <c r="C83" s="1246"/>
      <c r="D83" s="1246"/>
      <c r="E83" s="1298"/>
    </row>
    <row r="84" spans="1:9" ht="25.5" customHeight="1" thickBot="1" x14ac:dyDescent="0.3">
      <c r="A84" s="5" t="s">
        <v>17</v>
      </c>
      <c r="B84" s="1245" t="s">
        <v>769</v>
      </c>
      <c r="C84" s="1246"/>
      <c r="D84" s="1246"/>
      <c r="E84" s="1298"/>
    </row>
    <row r="85" spans="1:9" ht="15.75" thickBot="1" x14ac:dyDescent="0.3">
      <c r="A85" s="5" t="s">
        <v>18</v>
      </c>
      <c r="B85" s="1248" t="s">
        <v>770</v>
      </c>
      <c r="C85" s="1249"/>
      <c r="D85" s="1249"/>
      <c r="E85" s="1316"/>
    </row>
    <row r="86" spans="1:9" ht="12.75" customHeight="1" x14ac:dyDescent="0.25">
      <c r="A86" s="1250"/>
      <c r="B86" s="8">
        <v>2018</v>
      </c>
      <c r="C86" s="8">
        <v>2019</v>
      </c>
      <c r="D86" s="8">
        <v>2020</v>
      </c>
      <c r="E86" s="8">
        <v>2021</v>
      </c>
    </row>
    <row r="87" spans="1:9" ht="9" customHeight="1" thickBot="1" x14ac:dyDescent="0.3">
      <c r="A87" s="1251"/>
      <c r="B87" s="9" t="s">
        <v>10</v>
      </c>
      <c r="C87" s="9" t="s">
        <v>11</v>
      </c>
      <c r="D87" s="9" t="s">
        <v>11</v>
      </c>
      <c r="E87" s="9" t="s">
        <v>11</v>
      </c>
    </row>
    <row r="88" spans="1:9" ht="15.75" thickBot="1" x14ac:dyDescent="0.3">
      <c r="A88" s="5" t="s">
        <v>19</v>
      </c>
      <c r="B88" s="10">
        <v>15</v>
      </c>
      <c r="C88" s="10">
        <v>0</v>
      </c>
      <c r="D88" s="10">
        <v>0</v>
      </c>
      <c r="E88" s="10">
        <v>0</v>
      </c>
    </row>
    <row r="89" spans="1:9" ht="15.75" thickBot="1" x14ac:dyDescent="0.3">
      <c r="A89" s="5" t="s">
        <v>20</v>
      </c>
      <c r="B89" s="10">
        <v>2000</v>
      </c>
      <c r="C89" s="10">
        <v>0</v>
      </c>
      <c r="D89" s="10">
        <v>0</v>
      </c>
      <c r="E89" s="10">
        <v>0</v>
      </c>
    </row>
    <row r="90" spans="1:9" ht="15.75" thickBot="1" x14ac:dyDescent="0.3">
      <c r="A90" s="5" t="s">
        <v>21</v>
      </c>
      <c r="B90" s="10">
        <f>B89/B88</f>
        <v>133.33333333333334</v>
      </c>
      <c r="C90" s="10" t="e">
        <f>C89/C88</f>
        <v>#DIV/0!</v>
      </c>
      <c r="D90" s="10" t="e">
        <f>D89/D88</f>
        <v>#DIV/0!</v>
      </c>
      <c r="E90" s="10" t="e">
        <f>E89/E88</f>
        <v>#DIV/0!</v>
      </c>
    </row>
    <row r="91" spans="1:9" ht="15.75" thickBot="1" x14ac:dyDescent="0.3">
      <c r="A91" s="5" t="s">
        <v>22</v>
      </c>
      <c r="B91" s="260" t="s">
        <v>23</v>
      </c>
      <c r="C91" s="11">
        <f t="shared" ref="C91:E93" si="2">C88/B88-1</f>
        <v>-1</v>
      </c>
      <c r="D91" s="11" t="e">
        <f t="shared" si="2"/>
        <v>#DIV/0!</v>
      </c>
      <c r="E91" s="11" t="e">
        <f t="shared" si="2"/>
        <v>#DIV/0!</v>
      </c>
      <c r="F91" s="12"/>
      <c r="G91" s="12"/>
      <c r="H91" s="12"/>
      <c r="I91" s="12"/>
    </row>
    <row r="92" spans="1:9" ht="15.75" thickBot="1" x14ac:dyDescent="0.3">
      <c r="A92" s="5" t="s">
        <v>24</v>
      </c>
      <c r="B92" s="260" t="s">
        <v>23</v>
      </c>
      <c r="C92" s="11">
        <f t="shared" si="2"/>
        <v>-1</v>
      </c>
      <c r="D92" s="11" t="e">
        <f t="shared" si="2"/>
        <v>#DIV/0!</v>
      </c>
      <c r="E92" s="11" t="e">
        <f t="shared" si="2"/>
        <v>#DIV/0!</v>
      </c>
    </row>
    <row r="93" spans="1:9" ht="23.25" thickBot="1" x14ac:dyDescent="0.3">
      <c r="A93" s="5" t="s">
        <v>25</v>
      </c>
      <c r="B93" s="260" t="s">
        <v>23</v>
      </c>
      <c r="C93" s="11" t="e">
        <f t="shared" si="2"/>
        <v>#DIV/0!</v>
      </c>
      <c r="D93" s="11" t="e">
        <f t="shared" si="2"/>
        <v>#DIV/0!</v>
      </c>
      <c r="E93" s="11" t="e">
        <f t="shared" si="2"/>
        <v>#DIV/0!</v>
      </c>
    </row>
    <row r="94" spans="1:9" ht="15.75" thickBot="1" x14ac:dyDescent="0.3">
      <c r="A94" s="1252" t="s">
        <v>633</v>
      </c>
      <c r="B94" s="1253"/>
      <c r="C94" s="1253"/>
      <c r="D94" s="1253"/>
      <c r="E94" s="1300"/>
    </row>
    <row r="95" spans="1:9" ht="12.75" customHeight="1" x14ac:dyDescent="0.25">
      <c r="A95" s="1250"/>
      <c r="B95" s="8">
        <v>2018</v>
      </c>
      <c r="C95" s="8">
        <v>2019</v>
      </c>
      <c r="D95" s="8">
        <v>2020</v>
      </c>
      <c r="E95" s="8">
        <v>2021</v>
      </c>
    </row>
    <row r="96" spans="1:9" ht="9" customHeight="1" thickBot="1" x14ac:dyDescent="0.3">
      <c r="A96" s="1251"/>
      <c r="B96" s="9" t="s">
        <v>10</v>
      </c>
      <c r="C96" s="9" t="s">
        <v>11</v>
      </c>
      <c r="D96" s="9" t="s">
        <v>11</v>
      </c>
      <c r="E96" s="9" t="s">
        <v>11</v>
      </c>
    </row>
    <row r="97" spans="1:9" ht="15.75" thickBot="1" x14ac:dyDescent="0.3">
      <c r="A97" s="13" t="s">
        <v>58</v>
      </c>
      <c r="B97" s="14"/>
      <c r="C97" s="14"/>
      <c r="D97" s="14"/>
      <c r="E97" s="14"/>
    </row>
    <row r="98" spans="1:9" ht="15.75" thickBot="1" x14ac:dyDescent="0.3">
      <c r="A98" s="13" t="s">
        <v>59</v>
      </c>
      <c r="B98" s="15">
        <v>2000</v>
      </c>
      <c r="C98" s="14"/>
      <c r="D98" s="14"/>
      <c r="E98" s="14"/>
    </row>
    <row r="99" spans="1:9" ht="15.75" thickBot="1" x14ac:dyDescent="0.3">
      <c r="A99" s="16" t="s">
        <v>40</v>
      </c>
      <c r="B99" s="15">
        <f>B98+B97</f>
        <v>2000</v>
      </c>
      <c r="C99" s="15">
        <f>C98+C97</f>
        <v>0</v>
      </c>
      <c r="D99" s="15">
        <f>D98+D97</f>
        <v>0</v>
      </c>
      <c r="E99" s="15">
        <f>E98+E97</f>
        <v>0</v>
      </c>
    </row>
    <row r="100" spans="1:9" x14ac:dyDescent="0.25">
      <c r="A100" s="1254" t="s">
        <v>60</v>
      </c>
      <c r="B100" s="1322"/>
      <c r="C100" s="1289"/>
      <c r="D100" s="1289"/>
      <c r="E100" s="1290"/>
    </row>
    <row r="101" spans="1:9" x14ac:dyDescent="0.25">
      <c r="A101" s="1255"/>
      <c r="B101" s="1291"/>
      <c r="C101" s="1292"/>
      <c r="D101" s="1292"/>
      <c r="E101" s="1293"/>
    </row>
    <row r="102" spans="1:9" ht="15.75" thickBot="1" x14ac:dyDescent="0.3">
      <c r="A102" s="1256"/>
      <c r="B102" s="1294"/>
      <c r="C102" s="1295"/>
      <c r="D102" s="1295"/>
      <c r="E102" s="1296"/>
    </row>
    <row r="103" spans="1:9" ht="15.75" thickBot="1" x14ac:dyDescent="0.3">
      <c r="A103" s="20" t="s">
        <v>61</v>
      </c>
      <c r="B103" s="2193" t="s">
        <v>771</v>
      </c>
      <c r="C103" s="2194"/>
      <c r="D103" s="2194"/>
      <c r="E103" s="2195"/>
    </row>
    <row r="104" spans="1:9" ht="15.75" thickBot="1" x14ac:dyDescent="0.3">
      <c r="A104" s="7" t="s">
        <v>42</v>
      </c>
      <c r="B104" s="1243" t="s">
        <v>485</v>
      </c>
      <c r="C104" s="1244"/>
      <c r="D104" s="1244"/>
      <c r="E104" s="1315"/>
    </row>
    <row r="105" spans="1:9" ht="23.25" customHeight="1" thickBot="1" x14ac:dyDescent="0.3">
      <c r="A105" s="5" t="s">
        <v>17</v>
      </c>
      <c r="B105" s="1245" t="s">
        <v>772</v>
      </c>
      <c r="C105" s="1246"/>
      <c r="D105" s="1246"/>
      <c r="E105" s="1298"/>
    </row>
    <row r="106" spans="1:9" ht="15.75" thickBot="1" x14ac:dyDescent="0.3">
      <c r="A106" s="5" t="s">
        <v>18</v>
      </c>
      <c r="B106" s="1248" t="s">
        <v>321</v>
      </c>
      <c r="C106" s="1249"/>
      <c r="D106" s="1249"/>
      <c r="E106" s="1316"/>
    </row>
    <row r="107" spans="1:9" ht="12.75" customHeight="1" x14ac:dyDescent="0.25">
      <c r="A107" s="1250"/>
      <c r="B107" s="8">
        <v>2018</v>
      </c>
      <c r="C107" s="8">
        <v>2019</v>
      </c>
      <c r="D107" s="8">
        <v>2020</v>
      </c>
      <c r="E107" s="8">
        <v>2021</v>
      </c>
    </row>
    <row r="108" spans="1:9" ht="9" customHeight="1" thickBot="1" x14ac:dyDescent="0.3">
      <c r="A108" s="1251"/>
      <c r="B108" s="9" t="s">
        <v>10</v>
      </c>
      <c r="C108" s="9" t="s">
        <v>11</v>
      </c>
      <c r="D108" s="9" t="s">
        <v>11</v>
      </c>
      <c r="E108" s="9" t="s">
        <v>11</v>
      </c>
    </row>
    <row r="109" spans="1:9" ht="15.75" thickBot="1" x14ac:dyDescent="0.3">
      <c r="A109" s="5" t="s">
        <v>19</v>
      </c>
      <c r="B109" s="10">
        <v>1</v>
      </c>
      <c r="C109" s="10">
        <v>0</v>
      </c>
      <c r="D109" s="10">
        <v>0</v>
      </c>
      <c r="E109" s="10">
        <v>0</v>
      </c>
    </row>
    <row r="110" spans="1:9" ht="15.75" thickBot="1" x14ac:dyDescent="0.3">
      <c r="A110" s="5" t="s">
        <v>20</v>
      </c>
      <c r="B110" s="10">
        <v>4000</v>
      </c>
      <c r="C110" s="10">
        <v>0</v>
      </c>
      <c r="D110" s="10">
        <v>0</v>
      </c>
      <c r="E110" s="10">
        <v>0</v>
      </c>
    </row>
    <row r="111" spans="1:9" ht="15.75" thickBot="1" x14ac:dyDescent="0.3">
      <c r="A111" s="5" t="s">
        <v>21</v>
      </c>
      <c r="B111" s="10">
        <f>B110/B109</f>
        <v>4000</v>
      </c>
      <c r="C111" s="10" t="e">
        <f>C110/C109</f>
        <v>#DIV/0!</v>
      </c>
      <c r="D111" s="10" t="e">
        <f>D110/D109</f>
        <v>#DIV/0!</v>
      </c>
      <c r="E111" s="10" t="e">
        <f>E110/E109</f>
        <v>#DIV/0!</v>
      </c>
    </row>
    <row r="112" spans="1:9" ht="15.75" thickBot="1" x14ac:dyDescent="0.3">
      <c r="A112" s="5" t="s">
        <v>22</v>
      </c>
      <c r="B112" s="260" t="s">
        <v>23</v>
      </c>
      <c r="C112" s="11">
        <f t="shared" ref="C112:E114" si="3">C109/B109-1</f>
        <v>-1</v>
      </c>
      <c r="D112" s="11" t="e">
        <f t="shared" si="3"/>
        <v>#DIV/0!</v>
      </c>
      <c r="E112" s="11" t="e">
        <f t="shared" si="3"/>
        <v>#DIV/0!</v>
      </c>
      <c r="F112" s="12"/>
      <c r="G112" s="12"/>
      <c r="H112" s="12"/>
      <c r="I112" s="12"/>
    </row>
    <row r="113" spans="1:5" ht="15.75" thickBot="1" x14ac:dyDescent="0.3">
      <c r="A113" s="5" t="s">
        <v>24</v>
      </c>
      <c r="B113" s="260" t="s">
        <v>23</v>
      </c>
      <c r="C113" s="11">
        <f t="shared" si="3"/>
        <v>-1</v>
      </c>
      <c r="D113" s="11" t="e">
        <f t="shared" si="3"/>
        <v>#DIV/0!</v>
      </c>
      <c r="E113" s="11" t="e">
        <f t="shared" si="3"/>
        <v>#DIV/0!</v>
      </c>
    </row>
    <row r="114" spans="1:5" ht="23.25" thickBot="1" x14ac:dyDescent="0.3">
      <c r="A114" s="5" t="s">
        <v>25</v>
      </c>
      <c r="B114" s="260" t="s">
        <v>23</v>
      </c>
      <c r="C114" s="11" t="e">
        <f t="shared" si="3"/>
        <v>#DIV/0!</v>
      </c>
      <c r="D114" s="11" t="e">
        <f t="shared" si="3"/>
        <v>#DIV/0!</v>
      </c>
      <c r="E114" s="11" t="e">
        <f t="shared" si="3"/>
        <v>#DIV/0!</v>
      </c>
    </row>
    <row r="115" spans="1:5" ht="15.75" thickBot="1" x14ac:dyDescent="0.3">
      <c r="A115" s="1252" t="s">
        <v>635</v>
      </c>
      <c r="B115" s="1253"/>
      <c r="C115" s="1253"/>
      <c r="D115" s="1253"/>
      <c r="E115" s="1300"/>
    </row>
    <row r="116" spans="1:5" ht="12.75" customHeight="1" x14ac:dyDescent="0.25">
      <c r="A116" s="1250"/>
      <c r="B116" s="8">
        <v>2018</v>
      </c>
      <c r="C116" s="8">
        <v>2019</v>
      </c>
      <c r="D116" s="8">
        <v>2020</v>
      </c>
      <c r="E116" s="8">
        <v>2021</v>
      </c>
    </row>
    <row r="117" spans="1:5" ht="9" customHeight="1" thickBot="1" x14ac:dyDescent="0.3">
      <c r="A117" s="1251"/>
      <c r="B117" s="9" t="s">
        <v>10</v>
      </c>
      <c r="C117" s="9" t="s">
        <v>11</v>
      </c>
      <c r="D117" s="9" t="s">
        <v>11</v>
      </c>
      <c r="E117" s="9" t="s">
        <v>11</v>
      </c>
    </row>
    <row r="118" spans="1:5" ht="15.75" thickBot="1" x14ac:dyDescent="0.3">
      <c r="A118" s="13" t="s">
        <v>58</v>
      </c>
      <c r="B118" s="14"/>
      <c r="C118" s="14"/>
      <c r="D118" s="14"/>
      <c r="E118" s="14"/>
    </row>
    <row r="119" spans="1:5" ht="15.75" thickBot="1" x14ac:dyDescent="0.3">
      <c r="A119" s="13" t="s">
        <v>59</v>
      </c>
      <c r="B119" s="15">
        <v>4000</v>
      </c>
      <c r="C119" s="14"/>
      <c r="D119" s="14"/>
      <c r="E119" s="14"/>
    </row>
    <row r="120" spans="1:5" ht="15.75" thickBot="1" x14ac:dyDescent="0.3">
      <c r="A120" s="16" t="s">
        <v>43</v>
      </c>
      <c r="B120" s="15">
        <f>B119+B118</f>
        <v>4000</v>
      </c>
      <c r="C120" s="15">
        <f>C119+C118</f>
        <v>0</v>
      </c>
      <c r="D120" s="15">
        <f>D119+D118</f>
        <v>0</v>
      </c>
      <c r="E120" s="15">
        <f>E119+E118</f>
        <v>0</v>
      </c>
    </row>
    <row r="121" spans="1:5" ht="15.75" thickBot="1" x14ac:dyDescent="0.3">
      <c r="A121" s="1275" t="s">
        <v>63</v>
      </c>
      <c r="B121" s="1276"/>
      <c r="C121" s="1276"/>
      <c r="D121" s="1276"/>
      <c r="E121" s="1317"/>
    </row>
    <row r="122" spans="1:5" ht="15.75" thickBot="1" x14ac:dyDescent="0.3">
      <c r="A122" s="1275" t="s">
        <v>64</v>
      </c>
      <c r="B122" s="1276"/>
      <c r="C122" s="1276"/>
      <c r="D122" s="1276"/>
      <c r="E122" s="1317"/>
    </row>
    <row r="123" spans="1:5" ht="15.75" thickBot="1" x14ac:dyDescent="0.3">
      <c r="A123" s="20" t="s">
        <v>61</v>
      </c>
      <c r="B123" s="1241" t="s">
        <v>773</v>
      </c>
      <c r="C123" s="1242"/>
      <c r="D123" s="1242"/>
      <c r="E123" s="1318"/>
    </row>
    <row r="124" spans="1:5" ht="15.75" thickBot="1" x14ac:dyDescent="0.3">
      <c r="A124" s="7" t="s">
        <v>16</v>
      </c>
      <c r="B124" s="1243" t="s">
        <v>774</v>
      </c>
      <c r="C124" s="1244"/>
      <c r="D124" s="1244"/>
      <c r="E124" s="1315"/>
    </row>
    <row r="125" spans="1:5" ht="17.25" customHeight="1" thickBot="1" x14ac:dyDescent="0.3">
      <c r="A125" s="5" t="s">
        <v>17</v>
      </c>
      <c r="B125" s="1245" t="s">
        <v>775</v>
      </c>
      <c r="C125" s="1246"/>
      <c r="D125" s="1246"/>
      <c r="E125" s="1298"/>
    </row>
    <row r="126" spans="1:5" ht="15.75" thickBot="1" x14ac:dyDescent="0.3">
      <c r="A126" s="5" t="s">
        <v>18</v>
      </c>
      <c r="B126" s="1248" t="s">
        <v>776</v>
      </c>
      <c r="C126" s="1249"/>
      <c r="D126" s="1249"/>
      <c r="E126" s="1316"/>
    </row>
    <row r="127" spans="1:5" ht="12.75" customHeight="1" x14ac:dyDescent="0.25">
      <c r="A127" s="1250"/>
      <c r="B127" s="8">
        <v>2018</v>
      </c>
      <c r="C127" s="8">
        <v>2019</v>
      </c>
      <c r="D127" s="8">
        <v>2020</v>
      </c>
      <c r="E127" s="8">
        <v>2021</v>
      </c>
    </row>
    <row r="128" spans="1:5" ht="9" customHeight="1" thickBot="1" x14ac:dyDescent="0.3">
      <c r="A128" s="1251"/>
      <c r="B128" s="9" t="s">
        <v>10</v>
      </c>
      <c r="C128" s="9" t="s">
        <v>11</v>
      </c>
      <c r="D128" s="9" t="s">
        <v>11</v>
      </c>
      <c r="E128" s="9" t="s">
        <v>11</v>
      </c>
    </row>
    <row r="129" spans="1:9" ht="15.75" thickBot="1" x14ac:dyDescent="0.3">
      <c r="A129" s="5" t="s">
        <v>19</v>
      </c>
      <c r="B129" s="10">
        <v>1</v>
      </c>
      <c r="C129" s="10">
        <v>1</v>
      </c>
      <c r="D129" s="10">
        <v>1</v>
      </c>
      <c r="E129" s="10">
        <v>0</v>
      </c>
    </row>
    <row r="130" spans="1:9" ht="15.75" thickBot="1" x14ac:dyDescent="0.3">
      <c r="A130" s="5" t="s">
        <v>20</v>
      </c>
      <c r="B130" s="10">
        <v>10000</v>
      </c>
      <c r="C130" s="10">
        <v>15000</v>
      </c>
      <c r="D130" s="10">
        <v>20300</v>
      </c>
      <c r="E130" s="10">
        <v>0</v>
      </c>
    </row>
    <row r="131" spans="1:9" ht="15.75" thickBot="1" x14ac:dyDescent="0.3">
      <c r="A131" s="5" t="s">
        <v>21</v>
      </c>
      <c r="B131" s="10">
        <f>B130/B129</f>
        <v>10000</v>
      </c>
      <c r="C131" s="10">
        <f>C130/C129</f>
        <v>15000</v>
      </c>
      <c r="D131" s="10">
        <f>D130/D129</f>
        <v>20300</v>
      </c>
      <c r="E131" s="10" t="e">
        <f>E130/E129</f>
        <v>#DIV/0!</v>
      </c>
    </row>
    <row r="132" spans="1:9" ht="15.75" thickBot="1" x14ac:dyDescent="0.3">
      <c r="A132" s="5" t="s">
        <v>22</v>
      </c>
      <c r="B132" s="260" t="s">
        <v>23</v>
      </c>
      <c r="C132" s="11">
        <f t="shared" ref="C132:E134" si="4">C129/B129-1</f>
        <v>0</v>
      </c>
      <c r="D132" s="11">
        <f t="shared" si="4"/>
        <v>0</v>
      </c>
      <c r="E132" s="11">
        <f t="shared" si="4"/>
        <v>-1</v>
      </c>
      <c r="F132" s="12"/>
      <c r="G132" s="12"/>
      <c r="H132" s="12"/>
      <c r="I132" s="12"/>
    </row>
    <row r="133" spans="1:9" ht="15.75" thickBot="1" x14ac:dyDescent="0.3">
      <c r="A133" s="5" t="s">
        <v>24</v>
      </c>
      <c r="B133" s="260" t="s">
        <v>23</v>
      </c>
      <c r="C133" s="11">
        <f t="shared" si="4"/>
        <v>0.5</v>
      </c>
      <c r="D133" s="11">
        <f t="shared" si="4"/>
        <v>0.35333333333333328</v>
      </c>
      <c r="E133" s="11">
        <f t="shared" si="4"/>
        <v>-1</v>
      </c>
    </row>
    <row r="134" spans="1:9" ht="23.25" thickBot="1" x14ac:dyDescent="0.3">
      <c r="A134" s="5" t="s">
        <v>25</v>
      </c>
      <c r="B134" s="260" t="s">
        <v>23</v>
      </c>
      <c r="C134" s="11">
        <f t="shared" si="4"/>
        <v>0.5</v>
      </c>
      <c r="D134" s="11">
        <f t="shared" si="4"/>
        <v>0.35333333333333328</v>
      </c>
      <c r="E134" s="11" t="e">
        <f t="shared" si="4"/>
        <v>#DIV/0!</v>
      </c>
    </row>
    <row r="135" spans="1:9" ht="15.75" thickBot="1" x14ac:dyDescent="0.3">
      <c r="A135" s="1252" t="s">
        <v>633</v>
      </c>
      <c r="B135" s="1253"/>
      <c r="C135" s="1253"/>
      <c r="D135" s="1253"/>
      <c r="E135" s="1300"/>
    </row>
    <row r="136" spans="1:9" ht="12.75" customHeight="1" x14ac:dyDescent="0.25">
      <c r="A136" s="1250"/>
      <c r="B136" s="8">
        <v>2018</v>
      </c>
      <c r="C136" s="8">
        <v>2019</v>
      </c>
      <c r="D136" s="8">
        <v>2020</v>
      </c>
      <c r="E136" s="8">
        <v>2021</v>
      </c>
    </row>
    <row r="137" spans="1:9" ht="9" customHeight="1" thickBot="1" x14ac:dyDescent="0.3">
      <c r="A137" s="1251"/>
      <c r="B137" s="9" t="s">
        <v>10</v>
      </c>
      <c r="C137" s="9" t="s">
        <v>11</v>
      </c>
      <c r="D137" s="9" t="s">
        <v>11</v>
      </c>
      <c r="E137" s="9" t="s">
        <v>11</v>
      </c>
    </row>
    <row r="138" spans="1:9" ht="15.75" thickBot="1" x14ac:dyDescent="0.3">
      <c r="A138" s="13" t="s">
        <v>58</v>
      </c>
      <c r="B138" s="14"/>
      <c r="C138" s="14"/>
      <c r="D138" s="14"/>
      <c r="E138" s="14"/>
    </row>
    <row r="139" spans="1:9" ht="15.75" thickBot="1" x14ac:dyDescent="0.3">
      <c r="A139" s="13" t="s">
        <v>59</v>
      </c>
      <c r="B139" s="15">
        <v>10000</v>
      </c>
      <c r="C139" s="14">
        <v>15000</v>
      </c>
      <c r="D139" s="14">
        <v>20300</v>
      </c>
      <c r="E139" s="14"/>
    </row>
    <row r="140" spans="1:9" ht="15.75" thickBot="1" x14ac:dyDescent="0.3">
      <c r="A140" s="16" t="s">
        <v>40</v>
      </c>
      <c r="B140" s="15">
        <f>B139+B138</f>
        <v>10000</v>
      </c>
      <c r="C140" s="15">
        <f>C139+C138</f>
        <v>15000</v>
      </c>
      <c r="D140" s="15">
        <f>D139+D138</f>
        <v>20300</v>
      </c>
      <c r="E140" s="15">
        <f>E139+E138</f>
        <v>0</v>
      </c>
    </row>
    <row r="141" spans="1:9" ht="15.75" thickBot="1" x14ac:dyDescent="0.3">
      <c r="A141" s="136" t="s">
        <v>61</v>
      </c>
      <c r="B141" s="1241" t="s">
        <v>777</v>
      </c>
      <c r="C141" s="1242"/>
      <c r="D141" s="1242"/>
      <c r="E141" s="1318"/>
    </row>
    <row r="142" spans="1:9" ht="27" customHeight="1" thickBot="1" x14ac:dyDescent="0.3">
      <c r="A142" s="7" t="s">
        <v>42</v>
      </c>
      <c r="B142" s="1330" t="s">
        <v>778</v>
      </c>
      <c r="C142" s="1331"/>
      <c r="D142" s="1331"/>
      <c r="E142" s="1332"/>
    </row>
    <row r="143" spans="1:9" ht="44.25" customHeight="1" thickBot="1" x14ac:dyDescent="0.3">
      <c r="A143" s="5" t="s">
        <v>17</v>
      </c>
      <c r="B143" s="1245" t="s">
        <v>779</v>
      </c>
      <c r="C143" s="1246"/>
      <c r="D143" s="1246"/>
      <c r="E143" s="1298"/>
    </row>
    <row r="144" spans="1:9" ht="15.75" thickBot="1" x14ac:dyDescent="0.3">
      <c r="A144" s="5" t="s">
        <v>18</v>
      </c>
      <c r="B144" s="1248" t="s">
        <v>780</v>
      </c>
      <c r="C144" s="1249"/>
      <c r="D144" s="1249"/>
      <c r="E144" s="1316"/>
    </row>
    <row r="145" spans="1:9" ht="12.75" customHeight="1" x14ac:dyDescent="0.25">
      <c r="A145" s="1250"/>
      <c r="B145" s="8">
        <v>2018</v>
      </c>
      <c r="C145" s="8">
        <v>2019</v>
      </c>
      <c r="D145" s="8">
        <v>2020</v>
      </c>
      <c r="E145" s="8">
        <v>2021</v>
      </c>
    </row>
    <row r="146" spans="1:9" ht="9" customHeight="1" thickBot="1" x14ac:dyDescent="0.3">
      <c r="A146" s="1251"/>
      <c r="B146" s="9" t="s">
        <v>10</v>
      </c>
      <c r="C146" s="9" t="s">
        <v>11</v>
      </c>
      <c r="D146" s="9" t="s">
        <v>11</v>
      </c>
      <c r="E146" s="9" t="s">
        <v>11</v>
      </c>
    </row>
    <row r="147" spans="1:9" ht="15.75" thickBot="1" x14ac:dyDescent="0.3">
      <c r="A147" s="5" t="s">
        <v>19</v>
      </c>
      <c r="B147" s="10">
        <v>1</v>
      </c>
      <c r="C147" s="10">
        <v>1</v>
      </c>
      <c r="D147" s="10">
        <v>1</v>
      </c>
      <c r="E147" s="10"/>
    </row>
    <row r="148" spans="1:9" ht="15.75" thickBot="1" x14ac:dyDescent="0.3">
      <c r="A148" s="5" t="s">
        <v>20</v>
      </c>
      <c r="B148" s="10">
        <v>2000</v>
      </c>
      <c r="C148" s="10">
        <v>2000</v>
      </c>
      <c r="D148" s="10">
        <v>2000</v>
      </c>
      <c r="E148" s="10"/>
    </row>
    <row r="149" spans="1:9" ht="15.75" thickBot="1" x14ac:dyDescent="0.3">
      <c r="A149" s="5" t="s">
        <v>21</v>
      </c>
      <c r="B149" s="10">
        <f>B148/B147</f>
        <v>2000</v>
      </c>
      <c r="C149" s="10">
        <f>C148/C147</f>
        <v>2000</v>
      </c>
      <c r="D149" s="10">
        <f>D148/D147</f>
        <v>2000</v>
      </c>
      <c r="E149" s="10" t="e">
        <f>E148/E147</f>
        <v>#DIV/0!</v>
      </c>
    </row>
    <row r="150" spans="1:9" ht="15.75" thickBot="1" x14ac:dyDescent="0.3">
      <c r="A150" s="5" t="s">
        <v>22</v>
      </c>
      <c r="B150" s="260" t="s">
        <v>23</v>
      </c>
      <c r="C150" s="11">
        <f t="shared" ref="C150:E152" si="5">C147/B147-1</f>
        <v>0</v>
      </c>
      <c r="D150" s="11">
        <f t="shared" si="5"/>
        <v>0</v>
      </c>
      <c r="E150" s="11">
        <f t="shared" si="5"/>
        <v>-1</v>
      </c>
      <c r="F150" s="12"/>
      <c r="G150" s="12"/>
      <c r="H150" s="12"/>
      <c r="I150" s="12"/>
    </row>
    <row r="151" spans="1:9" ht="15.75" thickBot="1" x14ac:dyDescent="0.3">
      <c r="A151" s="5" t="s">
        <v>24</v>
      </c>
      <c r="B151" s="260" t="s">
        <v>23</v>
      </c>
      <c r="C151" s="11">
        <f t="shared" si="5"/>
        <v>0</v>
      </c>
      <c r="D151" s="11">
        <f t="shared" si="5"/>
        <v>0</v>
      </c>
      <c r="E151" s="11">
        <f t="shared" si="5"/>
        <v>-1</v>
      </c>
    </row>
    <row r="152" spans="1:9" ht="23.25" thickBot="1" x14ac:dyDescent="0.3">
      <c r="A152" s="5" t="s">
        <v>25</v>
      </c>
      <c r="B152" s="260" t="s">
        <v>23</v>
      </c>
      <c r="C152" s="11">
        <f t="shared" si="5"/>
        <v>0</v>
      </c>
      <c r="D152" s="11">
        <f t="shared" si="5"/>
        <v>0</v>
      </c>
      <c r="E152" s="11" t="e">
        <f t="shared" si="5"/>
        <v>#DIV/0!</v>
      </c>
    </row>
    <row r="153" spans="1:9" ht="15.75" thickBot="1" x14ac:dyDescent="0.3">
      <c r="A153" s="1252" t="s">
        <v>884</v>
      </c>
      <c r="B153" s="1253"/>
      <c r="C153" s="1253"/>
      <c r="D153" s="1253"/>
      <c r="E153" s="1300"/>
    </row>
    <row r="154" spans="1:9" ht="12.75" customHeight="1" x14ac:dyDescent="0.25">
      <c r="A154" s="1250"/>
      <c r="B154" s="8">
        <v>2018</v>
      </c>
      <c r="C154" s="8">
        <v>2019</v>
      </c>
      <c r="D154" s="8">
        <v>2020</v>
      </c>
      <c r="E154" s="8">
        <v>2021</v>
      </c>
    </row>
    <row r="155" spans="1:9" ht="9" customHeight="1" thickBot="1" x14ac:dyDescent="0.3">
      <c r="A155" s="1251"/>
      <c r="B155" s="9" t="s">
        <v>10</v>
      </c>
      <c r="C155" s="9" t="s">
        <v>11</v>
      </c>
      <c r="D155" s="9" t="s">
        <v>11</v>
      </c>
      <c r="E155" s="9" t="s">
        <v>11</v>
      </c>
    </row>
    <row r="156" spans="1:9" ht="15.75" thickBot="1" x14ac:dyDescent="0.3">
      <c r="A156" s="13" t="s">
        <v>58</v>
      </c>
      <c r="B156" s="14"/>
      <c r="C156" s="14"/>
      <c r="D156" s="14"/>
      <c r="E156" s="14"/>
    </row>
    <row r="157" spans="1:9" ht="15.75" thickBot="1" x14ac:dyDescent="0.3">
      <c r="A157" s="13" t="s">
        <v>59</v>
      </c>
      <c r="B157" s="10">
        <v>2000</v>
      </c>
      <c r="C157" s="10">
        <v>2000</v>
      </c>
      <c r="D157" s="10">
        <v>2000</v>
      </c>
      <c r="E157" s="14"/>
    </row>
    <row r="158" spans="1:9" ht="15.75" thickBot="1" x14ac:dyDescent="0.3">
      <c r="A158" s="16" t="s">
        <v>43</v>
      </c>
      <c r="B158" s="15">
        <f>B157+B156</f>
        <v>2000</v>
      </c>
      <c r="C158" s="15">
        <f>C157+C156</f>
        <v>2000</v>
      </c>
      <c r="D158" s="15">
        <f>D157+D156</f>
        <v>2000</v>
      </c>
      <c r="E158" s="15">
        <f>E157+E156</f>
        <v>0</v>
      </c>
    </row>
    <row r="159" spans="1:9" s="859" customFormat="1" ht="32.25" hidden="1" customHeight="1" thickBot="1" x14ac:dyDescent="0.3">
      <c r="A159" s="878" t="s">
        <v>12</v>
      </c>
      <c r="B159" s="2356" t="s">
        <v>765</v>
      </c>
      <c r="C159" s="2357"/>
      <c r="D159" s="2357"/>
      <c r="E159" s="2358"/>
    </row>
    <row r="160" spans="1:9" s="859" customFormat="1" ht="15.75" hidden="1" customHeight="1" thickBot="1" x14ac:dyDescent="0.3">
      <c r="A160" s="2339" t="s">
        <v>103</v>
      </c>
      <c r="B160" s="2340"/>
      <c r="C160" s="2340"/>
      <c r="D160" s="2340"/>
      <c r="E160" s="2341"/>
    </row>
    <row r="161" spans="1:5" s="859" customFormat="1" ht="15.75" hidden="1" customHeight="1" thickBot="1" x14ac:dyDescent="0.3">
      <c r="A161" s="876" t="s">
        <v>164</v>
      </c>
      <c r="B161" s="877" t="s">
        <v>112</v>
      </c>
      <c r="C161" s="877" t="s">
        <v>113</v>
      </c>
      <c r="D161" s="877" t="s">
        <v>113</v>
      </c>
      <c r="E161" s="877" t="s">
        <v>113</v>
      </c>
    </row>
    <row r="162" spans="1:5" s="859" customFormat="1" ht="15.75" hidden="1" customHeight="1" thickBot="1" x14ac:dyDescent="0.3">
      <c r="A162" s="868" t="s">
        <v>165</v>
      </c>
      <c r="B162" s="877" t="s">
        <v>112</v>
      </c>
      <c r="C162" s="877" t="s">
        <v>113</v>
      </c>
      <c r="D162" s="877" t="s">
        <v>113</v>
      </c>
      <c r="E162" s="877" t="s">
        <v>113</v>
      </c>
    </row>
    <row r="163" spans="1:5" s="859" customFormat="1" ht="23.25" hidden="1" customHeight="1" thickBot="1" x14ac:dyDescent="0.3">
      <c r="A163" s="868" t="s">
        <v>111</v>
      </c>
      <c r="B163" s="877" t="s">
        <v>112</v>
      </c>
      <c r="C163" s="877" t="s">
        <v>113</v>
      </c>
      <c r="D163" s="877" t="s">
        <v>113</v>
      </c>
      <c r="E163" s="877" t="s">
        <v>113</v>
      </c>
    </row>
    <row r="164" spans="1:5" s="859" customFormat="1" ht="23.25" hidden="1" customHeight="1" thickBot="1" x14ac:dyDescent="0.3">
      <c r="A164" s="2344" t="s">
        <v>14</v>
      </c>
      <c r="B164" s="2345"/>
      <c r="C164" s="2345"/>
      <c r="D164" s="2345"/>
      <c r="E164" s="2346"/>
    </row>
    <row r="165" spans="1:5" s="859" customFormat="1" ht="23.25" hidden="1" customHeight="1" thickBot="1" x14ac:dyDescent="0.3">
      <c r="A165" s="2359" t="s">
        <v>70</v>
      </c>
      <c r="B165" s="2360"/>
      <c r="C165" s="2360"/>
      <c r="D165" s="2360"/>
      <c r="E165" s="2361"/>
    </row>
    <row r="166" spans="1:5" s="859" customFormat="1" ht="12.75" hidden="1" customHeight="1" x14ac:dyDescent="0.25">
      <c r="A166" s="2342"/>
      <c r="B166" s="865">
        <v>2018</v>
      </c>
      <c r="C166" s="865">
        <v>2019</v>
      </c>
      <c r="D166" s="865">
        <v>2020</v>
      </c>
      <c r="E166" s="865">
        <v>2021</v>
      </c>
    </row>
    <row r="167" spans="1:5" s="859" customFormat="1" ht="9" hidden="1" customHeight="1" thickBot="1" x14ac:dyDescent="0.3">
      <c r="A167" s="2343"/>
      <c r="B167" s="864" t="s">
        <v>10</v>
      </c>
      <c r="C167" s="864" t="s">
        <v>11</v>
      </c>
      <c r="D167" s="864" t="s">
        <v>11</v>
      </c>
      <c r="E167" s="864" t="s">
        <v>11</v>
      </c>
    </row>
    <row r="168" spans="1:5" s="859" customFormat="1" ht="26.25" hidden="1" customHeight="1" thickBot="1" x14ac:dyDescent="0.3">
      <c r="A168" s="871" t="s">
        <v>42</v>
      </c>
      <c r="B168" s="2336" t="s">
        <v>777</v>
      </c>
      <c r="C168" s="2337"/>
      <c r="D168" s="2337"/>
      <c r="E168" s="2338"/>
    </row>
    <row r="169" spans="1:5" s="859" customFormat="1" ht="24" hidden="1" customHeight="1" thickBot="1" x14ac:dyDescent="0.3">
      <c r="A169" s="868" t="s">
        <v>17</v>
      </c>
      <c r="B169" s="2339" t="s">
        <v>778</v>
      </c>
      <c r="C169" s="2340"/>
      <c r="D169" s="2340"/>
      <c r="E169" s="2341"/>
    </row>
    <row r="170" spans="1:5" s="859" customFormat="1" ht="15.75" hidden="1" customHeight="1" thickBot="1" x14ac:dyDescent="0.3">
      <c r="A170" s="868" t="s">
        <v>18</v>
      </c>
      <c r="B170" s="2336" t="s">
        <v>781</v>
      </c>
      <c r="C170" s="2337"/>
      <c r="D170" s="2337"/>
      <c r="E170" s="2338"/>
    </row>
    <row r="171" spans="1:5" s="859" customFormat="1" ht="12.75" hidden="1" customHeight="1" x14ac:dyDescent="0.25">
      <c r="A171" s="2342"/>
      <c r="B171" s="865">
        <v>2018</v>
      </c>
      <c r="C171" s="865">
        <v>2019</v>
      </c>
      <c r="D171" s="865">
        <v>2020</v>
      </c>
      <c r="E171" s="865">
        <v>2021</v>
      </c>
    </row>
    <row r="172" spans="1:5" s="859" customFormat="1" ht="9" hidden="1" customHeight="1" thickBot="1" x14ac:dyDescent="0.3">
      <c r="A172" s="2343"/>
      <c r="B172" s="864" t="s">
        <v>10</v>
      </c>
      <c r="C172" s="864" t="s">
        <v>11</v>
      </c>
      <c r="D172" s="864" t="s">
        <v>11</v>
      </c>
      <c r="E172" s="864" t="s">
        <v>11</v>
      </c>
    </row>
    <row r="173" spans="1:5" s="859" customFormat="1" ht="15.75" hidden="1" customHeight="1" thickBot="1" x14ac:dyDescent="0.3">
      <c r="A173" s="868" t="s">
        <v>19</v>
      </c>
      <c r="B173" s="870"/>
      <c r="C173" s="870"/>
      <c r="D173" s="870"/>
      <c r="E173" s="870"/>
    </row>
    <row r="174" spans="1:5" s="859" customFormat="1" ht="15.75" hidden="1" customHeight="1" thickBot="1" x14ac:dyDescent="0.3">
      <c r="A174" s="868" t="s">
        <v>20</v>
      </c>
      <c r="B174" s="870"/>
      <c r="C174" s="870"/>
      <c r="D174" s="870"/>
      <c r="E174" s="870"/>
    </row>
    <row r="175" spans="1:5" s="859" customFormat="1" ht="15.75" hidden="1" customHeight="1" thickBot="1" x14ac:dyDescent="0.3">
      <c r="A175" s="868" t="s">
        <v>21</v>
      </c>
      <c r="B175" s="870" t="e">
        <f>B174/B173</f>
        <v>#DIV/0!</v>
      </c>
      <c r="C175" s="870" t="e">
        <f>C174/C173</f>
        <v>#DIV/0!</v>
      </c>
      <c r="D175" s="870" t="e">
        <f>D174/D173</f>
        <v>#DIV/0!</v>
      </c>
      <c r="E175" s="870" t="e">
        <f>E174/E173</f>
        <v>#DIV/0!</v>
      </c>
    </row>
    <row r="176" spans="1:5" s="859" customFormat="1" ht="15.75" hidden="1" customHeight="1" thickBot="1" x14ac:dyDescent="0.3">
      <c r="A176" s="868" t="s">
        <v>22</v>
      </c>
      <c r="B176" s="867"/>
      <c r="C176" s="866" t="e">
        <f t="shared" ref="C176:E178" si="6">C173/B173-1</f>
        <v>#DIV/0!</v>
      </c>
      <c r="D176" s="866" t="e">
        <f t="shared" si="6"/>
        <v>#DIV/0!</v>
      </c>
      <c r="E176" s="866" t="e">
        <f t="shared" si="6"/>
        <v>#DIV/0!</v>
      </c>
    </row>
    <row r="177" spans="1:8" s="859" customFormat="1" ht="15.75" hidden="1" customHeight="1" thickBot="1" x14ac:dyDescent="0.3">
      <c r="A177" s="868" t="s">
        <v>24</v>
      </c>
      <c r="B177" s="867"/>
      <c r="C177" s="866" t="e">
        <f t="shared" si="6"/>
        <v>#DIV/0!</v>
      </c>
      <c r="D177" s="866" t="e">
        <f t="shared" si="6"/>
        <v>#DIV/0!</v>
      </c>
      <c r="E177" s="866" t="e">
        <f t="shared" si="6"/>
        <v>#DIV/0!</v>
      </c>
    </row>
    <row r="178" spans="1:8" s="859" customFormat="1" ht="23.25" hidden="1" customHeight="1" thickBot="1" x14ac:dyDescent="0.3">
      <c r="A178" s="868" t="s">
        <v>25</v>
      </c>
      <c r="B178" s="867"/>
      <c r="C178" s="866" t="e">
        <f t="shared" si="6"/>
        <v>#DIV/0!</v>
      </c>
      <c r="D178" s="866" t="e">
        <f t="shared" si="6"/>
        <v>#DIV/0!</v>
      </c>
      <c r="E178" s="866" t="e">
        <f t="shared" si="6"/>
        <v>#DIV/0!</v>
      </c>
    </row>
    <row r="179" spans="1:8" s="859" customFormat="1" ht="12.75" hidden="1" customHeight="1" x14ac:dyDescent="0.25">
      <c r="A179" s="2342"/>
      <c r="B179" s="865">
        <v>2018</v>
      </c>
      <c r="C179" s="865">
        <v>2019</v>
      </c>
      <c r="D179" s="865">
        <v>2020</v>
      </c>
      <c r="E179" s="865">
        <v>2021</v>
      </c>
    </row>
    <row r="180" spans="1:8" s="859" customFormat="1" ht="9" hidden="1" customHeight="1" thickBot="1" x14ac:dyDescent="0.3">
      <c r="A180" s="2343"/>
      <c r="B180" s="864" t="s">
        <v>10</v>
      </c>
      <c r="C180" s="864" t="s">
        <v>11</v>
      </c>
      <c r="D180" s="864" t="s">
        <v>11</v>
      </c>
      <c r="E180" s="864" t="s">
        <v>11</v>
      </c>
    </row>
    <row r="181" spans="1:8" s="859" customFormat="1" ht="15.75" hidden="1" customHeight="1" thickBot="1" x14ac:dyDescent="0.3">
      <c r="A181" s="2344" t="s">
        <v>874</v>
      </c>
      <c r="B181" s="2345"/>
      <c r="C181" s="2345"/>
      <c r="D181" s="2345"/>
      <c r="E181" s="2346"/>
    </row>
    <row r="182" spans="1:8" s="859" customFormat="1" ht="12.75" hidden="1" customHeight="1" x14ac:dyDescent="0.25">
      <c r="A182" s="2342"/>
      <c r="B182" s="865">
        <v>2018</v>
      </c>
      <c r="C182" s="865">
        <v>2019</v>
      </c>
      <c r="D182" s="865">
        <v>2020</v>
      </c>
      <c r="E182" s="865">
        <v>2021</v>
      </c>
    </row>
    <row r="183" spans="1:8" s="859" customFormat="1" ht="9" hidden="1" customHeight="1" thickBot="1" x14ac:dyDescent="0.3">
      <c r="A183" s="2343"/>
      <c r="B183" s="864" t="s">
        <v>10</v>
      </c>
      <c r="C183" s="864" t="s">
        <v>11</v>
      </c>
      <c r="D183" s="864" t="s">
        <v>11</v>
      </c>
      <c r="E183" s="864" t="s">
        <v>11</v>
      </c>
    </row>
    <row r="184" spans="1:8" s="859" customFormat="1" ht="15.75" hidden="1" customHeight="1" thickBot="1" x14ac:dyDescent="0.3">
      <c r="A184" s="863" t="s">
        <v>26</v>
      </c>
      <c r="B184" s="862"/>
      <c r="C184" s="862"/>
      <c r="D184" s="862"/>
      <c r="E184" s="862"/>
      <c r="F184" s="859">
        <v>8450</v>
      </c>
      <c r="G184" s="859">
        <v>12054.5</v>
      </c>
      <c r="H184" s="859">
        <v>12054.5</v>
      </c>
    </row>
    <row r="185" spans="1:8" s="859" customFormat="1" ht="24.75" hidden="1" customHeight="1" thickBot="1" x14ac:dyDescent="0.3">
      <c r="A185" s="863" t="s">
        <v>28</v>
      </c>
      <c r="B185" s="862"/>
      <c r="C185" s="862"/>
      <c r="D185" s="862"/>
      <c r="E185" s="862"/>
      <c r="F185" s="859">
        <v>1200</v>
      </c>
      <c r="G185" s="859">
        <v>1800</v>
      </c>
      <c r="H185" s="859">
        <v>1800</v>
      </c>
    </row>
    <row r="186" spans="1:8" s="859" customFormat="1" ht="15.75" hidden="1" customHeight="1" thickBot="1" x14ac:dyDescent="0.3">
      <c r="A186" s="863" t="s">
        <v>30</v>
      </c>
      <c r="B186" s="860"/>
      <c r="C186" s="862"/>
      <c r="D186" s="862"/>
      <c r="E186" s="862"/>
      <c r="F186" s="859">
        <v>6750</v>
      </c>
      <c r="G186" s="859">
        <v>10000</v>
      </c>
      <c r="H186" s="859">
        <v>10000</v>
      </c>
    </row>
    <row r="187" spans="1:8" s="859" customFormat="1" ht="15.75" hidden="1" customHeight="1" thickBot="1" x14ac:dyDescent="0.3">
      <c r="A187" s="863" t="s">
        <v>32</v>
      </c>
      <c r="B187" s="860"/>
      <c r="C187" s="862"/>
      <c r="D187" s="862"/>
      <c r="E187" s="862"/>
    </row>
    <row r="188" spans="1:8" s="859" customFormat="1" ht="24.75" hidden="1" customHeight="1" thickBot="1" x14ac:dyDescent="0.3">
      <c r="A188" s="863" t="s">
        <v>34</v>
      </c>
      <c r="B188" s="860"/>
      <c r="C188" s="862"/>
      <c r="D188" s="862"/>
      <c r="E188" s="862"/>
    </row>
    <row r="189" spans="1:8" s="859" customFormat="1" ht="15.75" hidden="1" customHeight="1" thickBot="1" x14ac:dyDescent="0.3">
      <c r="A189" s="863" t="s">
        <v>36</v>
      </c>
      <c r="B189" s="860"/>
      <c r="C189" s="862"/>
      <c r="D189" s="862"/>
      <c r="E189" s="862"/>
    </row>
    <row r="190" spans="1:8" s="859" customFormat="1" ht="24.75" hidden="1" customHeight="1" thickBot="1" x14ac:dyDescent="0.3">
      <c r="A190" s="863" t="s">
        <v>38</v>
      </c>
      <c r="B190" s="860"/>
      <c r="C190" s="862"/>
      <c r="D190" s="862"/>
      <c r="E190" s="862"/>
    </row>
    <row r="191" spans="1:8" s="859" customFormat="1" ht="36.75" hidden="1" customHeight="1" thickBot="1" x14ac:dyDescent="0.3">
      <c r="A191" s="875" t="s">
        <v>71</v>
      </c>
      <c r="B191" s="872">
        <f>B190+B189+B188+B187+B186+B185+B184</f>
        <v>0</v>
      </c>
      <c r="C191" s="872">
        <f>C190+C189+C188+C187+C186+C185+C184</f>
        <v>0</v>
      </c>
      <c r="D191" s="872">
        <f>D190+D189+D188+D187+D186+D185+D184</f>
        <v>0</v>
      </c>
      <c r="E191" s="872">
        <f>E190+E189+E188+E187+E186+E185+E184</f>
        <v>0</v>
      </c>
    </row>
    <row r="192" spans="1:8" s="859" customFormat="1" ht="15.75" hidden="1" customHeight="1" thickBot="1" x14ac:dyDescent="0.3">
      <c r="A192" s="873" t="s">
        <v>41</v>
      </c>
      <c r="B192" s="872">
        <f>IF(B191-B174=0,0,"Error")</f>
        <v>0</v>
      </c>
      <c r="C192" s="872">
        <f>IF(C191-C174=0,0,"Error")</f>
        <v>0</v>
      </c>
      <c r="D192" s="872">
        <f>IF(D191-D174=0,0,"Error")</f>
        <v>0</v>
      </c>
      <c r="E192" s="872">
        <f>IF(E191-E174=0,0,"Error")</f>
        <v>0</v>
      </c>
    </row>
    <row r="193" spans="1:5" s="859" customFormat="1" ht="23.25" hidden="1" customHeight="1" thickBot="1" x14ac:dyDescent="0.3">
      <c r="A193" s="876" t="s">
        <v>637</v>
      </c>
      <c r="B193" s="2336" t="s">
        <v>106</v>
      </c>
      <c r="C193" s="2337"/>
      <c r="D193" s="2337"/>
      <c r="E193" s="2338"/>
    </row>
    <row r="194" spans="1:5" s="859" customFormat="1" ht="15.75" hidden="1" customHeight="1" thickBot="1" x14ac:dyDescent="0.3">
      <c r="A194" s="868" t="s">
        <v>17</v>
      </c>
      <c r="B194" s="2339" t="s">
        <v>106</v>
      </c>
      <c r="C194" s="2340"/>
      <c r="D194" s="2340"/>
      <c r="E194" s="2341"/>
    </row>
    <row r="195" spans="1:5" s="859" customFormat="1" ht="15.75" hidden="1" customHeight="1" thickBot="1" x14ac:dyDescent="0.3">
      <c r="A195" s="868" t="s">
        <v>18</v>
      </c>
      <c r="B195" s="2336" t="s">
        <v>106</v>
      </c>
      <c r="C195" s="2337"/>
      <c r="D195" s="2337"/>
      <c r="E195" s="2338"/>
    </row>
    <row r="196" spans="1:5" s="859" customFormat="1" ht="12.75" hidden="1" customHeight="1" x14ac:dyDescent="0.25">
      <c r="A196" s="2342"/>
      <c r="B196" s="865">
        <v>2018</v>
      </c>
      <c r="C196" s="865">
        <v>2019</v>
      </c>
      <c r="D196" s="865">
        <v>2020</v>
      </c>
      <c r="E196" s="865">
        <v>2021</v>
      </c>
    </row>
    <row r="197" spans="1:5" s="859" customFormat="1" ht="9" hidden="1" customHeight="1" thickBot="1" x14ac:dyDescent="0.3">
      <c r="A197" s="2343"/>
      <c r="B197" s="864" t="s">
        <v>10</v>
      </c>
      <c r="C197" s="864" t="s">
        <v>11</v>
      </c>
      <c r="D197" s="864" t="s">
        <v>11</v>
      </c>
      <c r="E197" s="864" t="s">
        <v>11</v>
      </c>
    </row>
    <row r="198" spans="1:5" s="859" customFormat="1" ht="15.75" hidden="1" customHeight="1" thickBot="1" x14ac:dyDescent="0.3">
      <c r="A198" s="868" t="s">
        <v>19</v>
      </c>
      <c r="B198" s="870"/>
      <c r="C198" s="870"/>
      <c r="D198" s="870"/>
      <c r="E198" s="870"/>
    </row>
    <row r="199" spans="1:5" s="859" customFormat="1" ht="15.75" hidden="1" customHeight="1" thickBot="1" x14ac:dyDescent="0.3">
      <c r="A199" s="868" t="s">
        <v>20</v>
      </c>
      <c r="B199" s="870"/>
      <c r="C199" s="870"/>
      <c r="D199" s="870"/>
      <c r="E199" s="870"/>
    </row>
    <row r="200" spans="1:5" s="859" customFormat="1" ht="15.75" hidden="1" customHeight="1" thickBot="1" x14ac:dyDescent="0.3">
      <c r="A200" s="868" t="s">
        <v>21</v>
      </c>
      <c r="B200" s="870" t="e">
        <f>B199/B198</f>
        <v>#DIV/0!</v>
      </c>
      <c r="C200" s="870" t="e">
        <f>C199/C198</f>
        <v>#DIV/0!</v>
      </c>
      <c r="D200" s="870" t="e">
        <f>D199/D198</f>
        <v>#DIV/0!</v>
      </c>
      <c r="E200" s="870" t="e">
        <f>E199/E198</f>
        <v>#DIV/0!</v>
      </c>
    </row>
    <row r="201" spans="1:5" s="859" customFormat="1" ht="15.75" hidden="1" customHeight="1" thickBot="1" x14ac:dyDescent="0.3">
      <c r="A201" s="868" t="s">
        <v>22</v>
      </c>
      <c r="B201" s="867"/>
      <c r="C201" s="866" t="e">
        <f t="shared" ref="C201:E203" si="7">C198/B198-1</f>
        <v>#DIV/0!</v>
      </c>
      <c r="D201" s="866" t="e">
        <f t="shared" si="7"/>
        <v>#DIV/0!</v>
      </c>
      <c r="E201" s="866" t="e">
        <f t="shared" si="7"/>
        <v>#DIV/0!</v>
      </c>
    </row>
    <row r="202" spans="1:5" s="859" customFormat="1" ht="15.75" hidden="1" customHeight="1" thickBot="1" x14ac:dyDescent="0.3">
      <c r="A202" s="868" t="s">
        <v>24</v>
      </c>
      <c r="B202" s="867"/>
      <c r="C202" s="866" t="e">
        <f t="shared" si="7"/>
        <v>#DIV/0!</v>
      </c>
      <c r="D202" s="866" t="e">
        <f t="shared" si="7"/>
        <v>#DIV/0!</v>
      </c>
      <c r="E202" s="866" t="e">
        <f t="shared" si="7"/>
        <v>#DIV/0!</v>
      </c>
    </row>
    <row r="203" spans="1:5" s="859" customFormat="1" ht="23.25" hidden="1" customHeight="1" thickBot="1" x14ac:dyDescent="0.3">
      <c r="A203" s="868" t="s">
        <v>25</v>
      </c>
      <c r="B203" s="867"/>
      <c r="C203" s="866" t="e">
        <f t="shared" si="7"/>
        <v>#DIV/0!</v>
      </c>
      <c r="D203" s="866" t="e">
        <f t="shared" si="7"/>
        <v>#DIV/0!</v>
      </c>
      <c r="E203" s="866" t="e">
        <f t="shared" si="7"/>
        <v>#DIV/0!</v>
      </c>
    </row>
    <row r="204" spans="1:5" s="859" customFormat="1" ht="15.75" hidden="1" customHeight="1" thickBot="1" x14ac:dyDescent="0.3">
      <c r="A204" s="2344" t="s">
        <v>635</v>
      </c>
      <c r="B204" s="2345"/>
      <c r="C204" s="2345"/>
      <c r="D204" s="2345"/>
      <c r="E204" s="2346"/>
    </row>
    <row r="205" spans="1:5" s="859" customFormat="1" ht="12.75" hidden="1" customHeight="1" x14ac:dyDescent="0.25">
      <c r="A205" s="2342"/>
      <c r="B205" s="865">
        <v>2018</v>
      </c>
      <c r="C205" s="865">
        <v>2019</v>
      </c>
      <c r="D205" s="865">
        <v>2020</v>
      </c>
      <c r="E205" s="865">
        <v>2021</v>
      </c>
    </row>
    <row r="206" spans="1:5" s="859" customFormat="1" ht="9" hidden="1" customHeight="1" thickBot="1" x14ac:dyDescent="0.3">
      <c r="A206" s="2343"/>
      <c r="B206" s="864" t="s">
        <v>10</v>
      </c>
      <c r="C206" s="864" t="s">
        <v>11</v>
      </c>
      <c r="D206" s="864" t="s">
        <v>11</v>
      </c>
      <c r="E206" s="864" t="s">
        <v>11</v>
      </c>
    </row>
    <row r="207" spans="1:5" s="859" customFormat="1" ht="15.75" hidden="1" customHeight="1" thickBot="1" x14ac:dyDescent="0.3">
      <c r="A207" s="863" t="s">
        <v>26</v>
      </c>
      <c r="B207" s="862"/>
      <c r="C207" s="862"/>
      <c r="D207" s="862"/>
      <c r="E207" s="862"/>
    </row>
    <row r="208" spans="1:5" s="859" customFormat="1" ht="24.75" hidden="1" customHeight="1" thickBot="1" x14ac:dyDescent="0.3">
      <c r="A208" s="863" t="s">
        <v>28</v>
      </c>
      <c r="B208" s="862"/>
      <c r="C208" s="862"/>
      <c r="D208" s="862"/>
      <c r="E208" s="862"/>
    </row>
    <row r="209" spans="1:8" s="859" customFormat="1" ht="15.75" hidden="1" customHeight="1" thickBot="1" x14ac:dyDescent="0.3">
      <c r="A209" s="863" t="s">
        <v>30</v>
      </c>
      <c r="B209" s="860"/>
      <c r="C209" s="862"/>
      <c r="D209" s="862"/>
      <c r="E209" s="862"/>
    </row>
    <row r="210" spans="1:8" s="859" customFormat="1" ht="15.75" hidden="1" customHeight="1" thickBot="1" x14ac:dyDescent="0.3">
      <c r="A210" s="863" t="s">
        <v>32</v>
      </c>
      <c r="B210" s="860"/>
      <c r="C210" s="862"/>
      <c r="D210" s="862"/>
      <c r="E210" s="862"/>
    </row>
    <row r="211" spans="1:8" s="859" customFormat="1" ht="24.75" hidden="1" customHeight="1" thickBot="1" x14ac:dyDescent="0.3">
      <c r="A211" s="863" t="s">
        <v>34</v>
      </c>
      <c r="B211" s="860"/>
      <c r="C211" s="862"/>
      <c r="D211" s="862"/>
      <c r="E211" s="862"/>
    </row>
    <row r="212" spans="1:8" s="859" customFormat="1" ht="15.75" hidden="1" customHeight="1" thickBot="1" x14ac:dyDescent="0.3">
      <c r="A212" s="863" t="s">
        <v>36</v>
      </c>
      <c r="B212" s="860"/>
      <c r="C212" s="862"/>
      <c r="D212" s="862"/>
      <c r="E212" s="862"/>
    </row>
    <row r="213" spans="1:8" s="859" customFormat="1" ht="24.75" hidden="1" customHeight="1" thickBot="1" x14ac:dyDescent="0.3">
      <c r="A213" s="863" t="s">
        <v>38</v>
      </c>
      <c r="B213" s="860"/>
      <c r="C213" s="862"/>
      <c r="D213" s="862"/>
      <c r="E213" s="862"/>
    </row>
    <row r="214" spans="1:8" s="859" customFormat="1" ht="36.75" hidden="1" customHeight="1" thickBot="1" x14ac:dyDescent="0.3">
      <c r="A214" s="875" t="s">
        <v>71</v>
      </c>
      <c r="B214" s="874">
        <f>B213+B211+B212+B210+B209+B208+B207</f>
        <v>0</v>
      </c>
      <c r="C214" s="874">
        <f>C213+C211+C212+C210+C209+C208+C207</f>
        <v>0</v>
      </c>
      <c r="D214" s="874">
        <f>D213+D211+D212+D210+D209+D208+D207</f>
        <v>0</v>
      </c>
      <c r="E214" s="874">
        <f>E213+E211+E212+E210+E209+E208+E207</f>
        <v>0</v>
      </c>
    </row>
    <row r="215" spans="1:8" s="859" customFormat="1" ht="15.75" hidden="1" customHeight="1" thickBot="1" x14ac:dyDescent="0.3">
      <c r="A215" s="873" t="s">
        <v>41</v>
      </c>
      <c r="B215" s="872">
        <f>IF(B214-B199=0,0,"Error")</f>
        <v>0</v>
      </c>
      <c r="C215" s="872">
        <f>IF(C214-C199=0,0,"Error")</f>
        <v>0</v>
      </c>
      <c r="D215" s="872">
        <f>IF(D214-D199=0,0,"Error")</f>
        <v>0</v>
      </c>
      <c r="E215" s="872">
        <f>IF(E214-E199=0,0,"Error")</f>
        <v>0</v>
      </c>
    </row>
    <row r="216" spans="1:8" s="859" customFormat="1" ht="15.75" hidden="1" customHeight="1" thickBot="1" x14ac:dyDescent="0.3">
      <c r="A216" s="2347" t="s">
        <v>63</v>
      </c>
      <c r="B216" s="2348"/>
      <c r="C216" s="2348"/>
      <c r="D216" s="2348"/>
      <c r="E216" s="2349"/>
    </row>
    <row r="217" spans="1:8" s="859" customFormat="1" ht="15.75" hidden="1" customHeight="1" thickBot="1" x14ac:dyDescent="0.3">
      <c r="A217" s="2347" t="s">
        <v>56</v>
      </c>
      <c r="B217" s="2348"/>
      <c r="C217" s="2348"/>
      <c r="D217" s="2348"/>
      <c r="E217" s="2349"/>
    </row>
    <row r="218" spans="1:8" s="859" customFormat="1" ht="23.25" hidden="1" customHeight="1" thickBot="1" x14ac:dyDescent="0.3">
      <c r="A218" s="868" t="s">
        <v>79</v>
      </c>
      <c r="B218" s="2350"/>
      <c r="C218" s="2351"/>
      <c r="D218" s="2351"/>
      <c r="E218" s="2352"/>
    </row>
    <row r="219" spans="1:8" s="859" customFormat="1" ht="15.75" hidden="1" customHeight="1" thickBot="1" x14ac:dyDescent="0.3">
      <c r="A219" s="871" t="s">
        <v>16</v>
      </c>
      <c r="B219" s="2336"/>
      <c r="C219" s="2337"/>
      <c r="D219" s="2337"/>
      <c r="E219" s="2338"/>
    </row>
    <row r="220" spans="1:8" s="859" customFormat="1" ht="17.25" hidden="1" customHeight="1" thickBot="1" x14ac:dyDescent="0.3">
      <c r="A220" s="868" t="s">
        <v>17</v>
      </c>
      <c r="B220" s="2339"/>
      <c r="C220" s="2340"/>
      <c r="D220" s="2340"/>
      <c r="E220" s="2341"/>
    </row>
    <row r="221" spans="1:8" s="859" customFormat="1" ht="15.75" hidden="1" customHeight="1" thickBot="1" x14ac:dyDescent="0.3">
      <c r="A221" s="868" t="s">
        <v>18</v>
      </c>
      <c r="B221" s="2336"/>
      <c r="C221" s="2337"/>
      <c r="D221" s="2337"/>
      <c r="E221" s="2338"/>
    </row>
    <row r="222" spans="1:8" s="859" customFormat="1" ht="12.75" hidden="1" customHeight="1" x14ac:dyDescent="0.25">
      <c r="A222" s="2342"/>
      <c r="B222" s="865">
        <v>2018</v>
      </c>
      <c r="C222" s="865">
        <v>2019</v>
      </c>
      <c r="D222" s="865">
        <v>2020</v>
      </c>
      <c r="E222" s="865">
        <v>2021</v>
      </c>
    </row>
    <row r="223" spans="1:8" s="859" customFormat="1" ht="9" hidden="1" customHeight="1" thickBot="1" x14ac:dyDescent="0.3">
      <c r="A223" s="2343"/>
      <c r="B223" s="864" t="s">
        <v>10</v>
      </c>
      <c r="C223" s="864" t="s">
        <v>11</v>
      </c>
      <c r="D223" s="864" t="s">
        <v>11</v>
      </c>
      <c r="E223" s="864" t="s">
        <v>11</v>
      </c>
      <c r="F223" s="869"/>
      <c r="G223" s="869"/>
      <c r="H223" s="869"/>
    </row>
    <row r="224" spans="1:8" s="859" customFormat="1" ht="15.75" hidden="1" customHeight="1" thickBot="1" x14ac:dyDescent="0.3">
      <c r="A224" s="868" t="s">
        <v>19</v>
      </c>
      <c r="B224" s="870"/>
      <c r="C224" s="870">
        <v>0</v>
      </c>
      <c r="D224" s="870">
        <v>0</v>
      </c>
      <c r="E224" s="870">
        <v>0</v>
      </c>
    </row>
    <row r="225" spans="1:9" s="859" customFormat="1" ht="15.75" hidden="1" customHeight="1" thickBot="1" x14ac:dyDescent="0.3">
      <c r="A225" s="868" t="s">
        <v>20</v>
      </c>
      <c r="B225" s="870"/>
      <c r="C225" s="870">
        <v>0</v>
      </c>
      <c r="D225" s="870">
        <v>0</v>
      </c>
      <c r="E225" s="870">
        <v>0</v>
      </c>
    </row>
    <row r="226" spans="1:9" s="859" customFormat="1" ht="15.75" hidden="1" customHeight="1" thickBot="1" x14ac:dyDescent="0.3">
      <c r="A226" s="868" t="s">
        <v>21</v>
      </c>
      <c r="B226" s="870" t="e">
        <f>B225/B224</f>
        <v>#DIV/0!</v>
      </c>
      <c r="C226" s="870" t="e">
        <f>C225/C224</f>
        <v>#DIV/0!</v>
      </c>
      <c r="D226" s="870" t="e">
        <f>D225/D224</f>
        <v>#DIV/0!</v>
      </c>
      <c r="E226" s="870" t="e">
        <f>E225/E224</f>
        <v>#DIV/0!</v>
      </c>
    </row>
    <row r="227" spans="1:9" s="859" customFormat="1" ht="15.75" hidden="1" customHeight="1" thickBot="1" x14ac:dyDescent="0.3">
      <c r="A227" s="868" t="s">
        <v>22</v>
      </c>
      <c r="B227" s="867" t="s">
        <v>23</v>
      </c>
      <c r="C227" s="866" t="e">
        <f t="shared" ref="C227:E229" si="8">C224/B224-1</f>
        <v>#DIV/0!</v>
      </c>
      <c r="D227" s="866" t="e">
        <f t="shared" si="8"/>
        <v>#DIV/0!</v>
      </c>
      <c r="E227" s="866" t="e">
        <f t="shared" si="8"/>
        <v>#DIV/0!</v>
      </c>
      <c r="I227" s="869"/>
    </row>
    <row r="228" spans="1:9" s="859" customFormat="1" ht="15.75" hidden="1" customHeight="1" thickBot="1" x14ac:dyDescent="0.3">
      <c r="A228" s="868" t="s">
        <v>24</v>
      </c>
      <c r="B228" s="867" t="s">
        <v>23</v>
      </c>
      <c r="C228" s="866" t="e">
        <f t="shared" si="8"/>
        <v>#DIV/0!</v>
      </c>
      <c r="D228" s="866" t="e">
        <f t="shared" si="8"/>
        <v>#DIV/0!</v>
      </c>
      <c r="E228" s="866" t="e">
        <f t="shared" si="8"/>
        <v>#DIV/0!</v>
      </c>
    </row>
    <row r="229" spans="1:9" s="859" customFormat="1" ht="23.25" hidden="1" customHeight="1" thickBot="1" x14ac:dyDescent="0.3">
      <c r="A229" s="868" t="s">
        <v>25</v>
      </c>
      <c r="B229" s="867" t="s">
        <v>23</v>
      </c>
      <c r="C229" s="866" t="e">
        <f t="shared" si="8"/>
        <v>#DIV/0!</v>
      </c>
      <c r="D229" s="866" t="e">
        <f t="shared" si="8"/>
        <v>#DIV/0!</v>
      </c>
      <c r="E229" s="866" t="e">
        <f t="shared" si="8"/>
        <v>#DIV/0!</v>
      </c>
    </row>
    <row r="230" spans="1:9" s="859" customFormat="1" ht="15.75" hidden="1" customHeight="1" thickBot="1" x14ac:dyDescent="0.3">
      <c r="A230" s="2344" t="s">
        <v>884</v>
      </c>
      <c r="B230" s="2345"/>
      <c r="C230" s="2345"/>
      <c r="D230" s="2345"/>
      <c r="E230" s="2346"/>
    </row>
    <row r="231" spans="1:9" s="859" customFormat="1" ht="12.75" hidden="1" customHeight="1" x14ac:dyDescent="0.25">
      <c r="A231" s="2342"/>
      <c r="B231" s="865">
        <v>2018</v>
      </c>
      <c r="C231" s="865">
        <v>2019</v>
      </c>
      <c r="D231" s="865">
        <v>2020</v>
      </c>
      <c r="E231" s="865">
        <v>2021</v>
      </c>
    </row>
    <row r="232" spans="1:9" s="859" customFormat="1" ht="9" hidden="1" customHeight="1" thickBot="1" x14ac:dyDescent="0.3">
      <c r="A232" s="2343"/>
      <c r="B232" s="864" t="s">
        <v>10</v>
      </c>
      <c r="C232" s="864" t="s">
        <v>11</v>
      </c>
      <c r="D232" s="864" t="s">
        <v>11</v>
      </c>
      <c r="E232" s="864" t="s">
        <v>11</v>
      </c>
    </row>
    <row r="233" spans="1:9" s="859" customFormat="1" ht="15.75" hidden="1" customHeight="1" thickBot="1" x14ac:dyDescent="0.3">
      <c r="A233" s="863" t="s">
        <v>58</v>
      </c>
      <c r="B233" s="862"/>
      <c r="C233" s="862"/>
      <c r="D233" s="862"/>
      <c r="E233" s="862"/>
    </row>
    <row r="234" spans="1:9" s="859" customFormat="1" ht="15.75" hidden="1" customHeight="1" thickBot="1" x14ac:dyDescent="0.3">
      <c r="A234" s="863" t="s">
        <v>59</v>
      </c>
      <c r="B234" s="860"/>
      <c r="C234" s="862"/>
      <c r="D234" s="862"/>
      <c r="E234" s="862"/>
    </row>
    <row r="235" spans="1:9" s="859" customFormat="1" ht="24.75" hidden="1" customHeight="1" thickBot="1" x14ac:dyDescent="0.3">
      <c r="A235" s="861" t="s">
        <v>40</v>
      </c>
      <c r="B235" s="860">
        <f>B234+B233</f>
        <v>0</v>
      </c>
      <c r="C235" s="860">
        <f>C234+C233</f>
        <v>0</v>
      </c>
      <c r="D235" s="860">
        <f>D234+D233</f>
        <v>0</v>
      </c>
      <c r="E235" s="860">
        <f>E234+E233</f>
        <v>0</v>
      </c>
    </row>
    <row r="236" spans="1:9" s="859" customFormat="1" ht="15.75" hidden="1" customHeight="1" thickBot="1" x14ac:dyDescent="0.3">
      <c r="A236" s="868" t="s">
        <v>61</v>
      </c>
      <c r="B236" s="2353"/>
      <c r="C236" s="2354"/>
      <c r="D236" s="2354"/>
      <c r="E236" s="2355"/>
    </row>
    <row r="237" spans="1:9" s="859" customFormat="1" ht="23.25" hidden="1" customHeight="1" thickBot="1" x14ac:dyDescent="0.3">
      <c r="A237" s="871" t="s">
        <v>123</v>
      </c>
      <c r="B237" s="2336"/>
      <c r="C237" s="2337"/>
      <c r="D237" s="2337"/>
      <c r="E237" s="2338"/>
    </row>
    <row r="238" spans="1:9" s="859" customFormat="1" ht="17.25" hidden="1" customHeight="1" thickBot="1" x14ac:dyDescent="0.3">
      <c r="A238" s="868" t="s">
        <v>17</v>
      </c>
      <c r="B238" s="2339"/>
      <c r="C238" s="2340"/>
      <c r="D238" s="2340"/>
      <c r="E238" s="2341"/>
    </row>
    <row r="239" spans="1:9" s="859" customFormat="1" ht="15.75" hidden="1" customHeight="1" thickBot="1" x14ac:dyDescent="0.3">
      <c r="A239" s="868" t="s">
        <v>18</v>
      </c>
      <c r="B239" s="2336"/>
      <c r="C239" s="2337"/>
      <c r="D239" s="2337"/>
      <c r="E239" s="2338"/>
    </row>
    <row r="240" spans="1:9" s="859" customFormat="1" ht="12.75" hidden="1" customHeight="1" x14ac:dyDescent="0.25">
      <c r="A240" s="2342"/>
      <c r="B240" s="865">
        <v>2018</v>
      </c>
      <c r="C240" s="865">
        <v>2019</v>
      </c>
      <c r="D240" s="865">
        <v>2020</v>
      </c>
      <c r="E240" s="865">
        <v>2021</v>
      </c>
    </row>
    <row r="241" spans="1:9" s="859" customFormat="1" ht="9" hidden="1" customHeight="1" thickBot="1" x14ac:dyDescent="0.3">
      <c r="A241" s="2343"/>
      <c r="B241" s="864" t="s">
        <v>10</v>
      </c>
      <c r="C241" s="864" t="s">
        <v>11</v>
      </c>
      <c r="D241" s="864" t="s">
        <v>11</v>
      </c>
      <c r="E241" s="864" t="s">
        <v>11</v>
      </c>
      <c r="F241" s="869"/>
      <c r="G241" s="869"/>
      <c r="H241" s="869"/>
    </row>
    <row r="242" spans="1:9" s="859" customFormat="1" ht="15.75" hidden="1" customHeight="1" thickBot="1" x14ac:dyDescent="0.3">
      <c r="A242" s="868" t="s">
        <v>19</v>
      </c>
      <c r="B242" s="870"/>
      <c r="C242" s="870">
        <v>0</v>
      </c>
      <c r="D242" s="870">
        <v>0</v>
      </c>
      <c r="E242" s="870">
        <v>0</v>
      </c>
    </row>
    <row r="243" spans="1:9" s="859" customFormat="1" ht="15.75" hidden="1" customHeight="1" thickBot="1" x14ac:dyDescent="0.3">
      <c r="A243" s="868" t="s">
        <v>20</v>
      </c>
      <c r="B243" s="870"/>
      <c r="C243" s="870">
        <v>0</v>
      </c>
      <c r="D243" s="870">
        <v>0</v>
      </c>
      <c r="E243" s="870">
        <v>0</v>
      </c>
    </row>
    <row r="244" spans="1:9" s="859" customFormat="1" ht="15.75" hidden="1" customHeight="1" thickBot="1" x14ac:dyDescent="0.3">
      <c r="A244" s="868" t="s">
        <v>21</v>
      </c>
      <c r="B244" s="870" t="e">
        <f>B243/B242</f>
        <v>#DIV/0!</v>
      </c>
      <c r="C244" s="870" t="e">
        <f>C243/C242</f>
        <v>#DIV/0!</v>
      </c>
      <c r="D244" s="870" t="e">
        <f>D243/D242</f>
        <v>#DIV/0!</v>
      </c>
      <c r="E244" s="870" t="e">
        <f>E243/E242</f>
        <v>#DIV/0!</v>
      </c>
    </row>
    <row r="245" spans="1:9" s="859" customFormat="1" ht="15.75" hidden="1" customHeight="1" thickBot="1" x14ac:dyDescent="0.3">
      <c r="A245" s="868" t="s">
        <v>22</v>
      </c>
      <c r="B245" s="867" t="s">
        <v>23</v>
      </c>
      <c r="C245" s="866" t="e">
        <f t="shared" ref="C245:E247" si="9">C242/B242-1</f>
        <v>#DIV/0!</v>
      </c>
      <c r="D245" s="866" t="e">
        <f t="shared" si="9"/>
        <v>#DIV/0!</v>
      </c>
      <c r="E245" s="866" t="e">
        <f t="shared" si="9"/>
        <v>#DIV/0!</v>
      </c>
      <c r="I245" s="869"/>
    </row>
    <row r="246" spans="1:9" s="859" customFormat="1" ht="15.75" hidden="1" customHeight="1" thickBot="1" x14ac:dyDescent="0.3">
      <c r="A246" s="868" t="s">
        <v>24</v>
      </c>
      <c r="B246" s="867" t="s">
        <v>23</v>
      </c>
      <c r="C246" s="866" t="e">
        <f t="shared" si="9"/>
        <v>#DIV/0!</v>
      </c>
      <c r="D246" s="866" t="e">
        <f t="shared" si="9"/>
        <v>#DIV/0!</v>
      </c>
      <c r="E246" s="866" t="e">
        <f t="shared" si="9"/>
        <v>#DIV/0!</v>
      </c>
    </row>
    <row r="247" spans="1:9" s="859" customFormat="1" ht="23.25" hidden="1" customHeight="1" thickBot="1" x14ac:dyDescent="0.3">
      <c r="A247" s="868" t="s">
        <v>25</v>
      </c>
      <c r="B247" s="867" t="s">
        <v>23</v>
      </c>
      <c r="C247" s="866" t="e">
        <f t="shared" si="9"/>
        <v>#DIV/0!</v>
      </c>
      <c r="D247" s="866" t="e">
        <f t="shared" si="9"/>
        <v>#DIV/0!</v>
      </c>
      <c r="E247" s="866" t="e">
        <f t="shared" si="9"/>
        <v>#DIV/0!</v>
      </c>
    </row>
    <row r="248" spans="1:9" s="859" customFormat="1" ht="15.75" hidden="1" customHeight="1" thickBot="1" x14ac:dyDescent="0.3">
      <c r="A248" s="2344" t="s">
        <v>635</v>
      </c>
      <c r="B248" s="2345"/>
      <c r="C248" s="2345"/>
      <c r="D248" s="2345"/>
      <c r="E248" s="2346"/>
    </row>
    <row r="249" spans="1:9" s="859" customFormat="1" ht="12.75" hidden="1" customHeight="1" x14ac:dyDescent="0.25">
      <c r="A249" s="2342"/>
      <c r="B249" s="865">
        <v>2018</v>
      </c>
      <c r="C249" s="865">
        <v>2019</v>
      </c>
      <c r="D249" s="865">
        <v>2020</v>
      </c>
      <c r="E249" s="865">
        <v>2021</v>
      </c>
    </row>
    <row r="250" spans="1:9" s="859" customFormat="1" ht="9" hidden="1" customHeight="1" thickBot="1" x14ac:dyDescent="0.3">
      <c r="A250" s="2343"/>
      <c r="B250" s="864" t="s">
        <v>10</v>
      </c>
      <c r="C250" s="864" t="s">
        <v>11</v>
      </c>
      <c r="D250" s="864" t="s">
        <v>11</v>
      </c>
      <c r="E250" s="864" t="s">
        <v>11</v>
      </c>
    </row>
    <row r="251" spans="1:9" s="859" customFormat="1" ht="15.75" hidden="1" customHeight="1" thickBot="1" x14ac:dyDescent="0.3">
      <c r="A251" s="863" t="s">
        <v>58</v>
      </c>
      <c r="B251" s="862"/>
      <c r="C251" s="862"/>
      <c r="D251" s="862"/>
      <c r="E251" s="862"/>
    </row>
    <row r="252" spans="1:9" s="859" customFormat="1" ht="15.75" hidden="1" customHeight="1" thickBot="1" x14ac:dyDescent="0.3">
      <c r="A252" s="863" t="s">
        <v>59</v>
      </c>
      <c r="B252" s="860"/>
      <c r="C252" s="862"/>
      <c r="D252" s="862"/>
      <c r="E252" s="862"/>
    </row>
    <row r="253" spans="1:9" s="859" customFormat="1" ht="24.75" hidden="1" customHeight="1" thickBot="1" x14ac:dyDescent="0.3">
      <c r="A253" s="861" t="s">
        <v>74</v>
      </c>
      <c r="B253" s="860">
        <f>B252+B251</f>
        <v>0</v>
      </c>
      <c r="C253" s="860">
        <f>C252+C251</f>
        <v>0</v>
      </c>
      <c r="D253" s="860">
        <f>D252+D251</f>
        <v>0</v>
      </c>
      <c r="E253" s="860">
        <f>E252+E251</f>
        <v>0</v>
      </c>
    </row>
    <row r="254" spans="1:9" s="859" customFormat="1" ht="15.75" hidden="1" customHeight="1" thickBot="1" x14ac:dyDescent="0.3">
      <c r="A254" s="2347" t="s">
        <v>63</v>
      </c>
      <c r="B254" s="2348"/>
      <c r="C254" s="2348"/>
      <c r="D254" s="2348"/>
      <c r="E254" s="2349"/>
    </row>
    <row r="255" spans="1:9" s="859" customFormat="1" ht="15.75" hidden="1" customHeight="1" thickBot="1" x14ac:dyDescent="0.3">
      <c r="A255" s="2347" t="s">
        <v>64</v>
      </c>
      <c r="B255" s="2348"/>
      <c r="C255" s="2348"/>
      <c r="D255" s="2348"/>
      <c r="E255" s="2349"/>
    </row>
    <row r="256" spans="1:9" ht="15.75" thickBot="1" x14ac:dyDescent="0.3">
      <c r="A256" s="20" t="s">
        <v>61</v>
      </c>
      <c r="B256" s="1241"/>
      <c r="C256" s="1242"/>
      <c r="D256" s="1242"/>
      <c r="E256" s="1318"/>
    </row>
    <row r="257" spans="1:9" ht="15.75" thickBot="1" x14ac:dyDescent="0.3">
      <c r="A257" s="7" t="s">
        <v>44</v>
      </c>
      <c r="B257" s="1243" t="s">
        <v>782</v>
      </c>
      <c r="C257" s="1244"/>
      <c r="D257" s="1244"/>
      <c r="E257" s="1315"/>
    </row>
    <row r="258" spans="1:9" ht="17.25" customHeight="1" thickBot="1" x14ac:dyDescent="0.3">
      <c r="A258" s="5" t="s">
        <v>17</v>
      </c>
      <c r="B258" s="1245" t="s">
        <v>783</v>
      </c>
      <c r="C258" s="1246"/>
      <c r="D258" s="1246"/>
      <c r="E258" s="1298"/>
    </row>
    <row r="259" spans="1:9" ht="15.75" thickBot="1" x14ac:dyDescent="0.3">
      <c r="A259" s="5" t="s">
        <v>18</v>
      </c>
      <c r="B259" s="1248" t="s">
        <v>776</v>
      </c>
      <c r="C259" s="1249"/>
      <c r="D259" s="1249"/>
      <c r="E259" s="1316"/>
    </row>
    <row r="260" spans="1:9" ht="12.75" customHeight="1" x14ac:dyDescent="0.25">
      <c r="A260" s="1250"/>
      <c r="B260" s="8">
        <v>2018</v>
      </c>
      <c r="C260" s="8">
        <v>2019</v>
      </c>
      <c r="D260" s="8">
        <v>2020</v>
      </c>
      <c r="E260" s="8">
        <v>2021</v>
      </c>
    </row>
    <row r="261" spans="1:9" ht="9" customHeight="1" thickBot="1" x14ac:dyDescent="0.3">
      <c r="A261" s="1251"/>
      <c r="B261" s="9" t="s">
        <v>10</v>
      </c>
      <c r="C261" s="9" t="s">
        <v>11</v>
      </c>
      <c r="D261" s="9" t="s">
        <v>11</v>
      </c>
      <c r="E261" s="9" t="s">
        <v>11</v>
      </c>
      <c r="F261" s="12"/>
      <c r="G261" s="12"/>
      <c r="H261" s="12"/>
    </row>
    <row r="262" spans="1:9" ht="15.75" thickBot="1" x14ac:dyDescent="0.3">
      <c r="A262" s="5" t="s">
        <v>19</v>
      </c>
      <c r="B262" s="10"/>
      <c r="C262" s="10">
        <v>1</v>
      </c>
      <c r="D262" s="10">
        <v>1</v>
      </c>
      <c r="E262" s="10">
        <v>0</v>
      </c>
    </row>
    <row r="263" spans="1:9" ht="15.75" thickBot="1" x14ac:dyDescent="0.3">
      <c r="A263" s="5" t="s">
        <v>20</v>
      </c>
      <c r="B263" s="10"/>
      <c r="C263" s="10">
        <v>30000</v>
      </c>
      <c r="D263" s="10">
        <v>22500</v>
      </c>
      <c r="E263" s="10">
        <v>0</v>
      </c>
    </row>
    <row r="264" spans="1:9" ht="15.75" thickBot="1" x14ac:dyDescent="0.3">
      <c r="A264" s="5" t="s">
        <v>21</v>
      </c>
      <c r="B264" s="10" t="e">
        <f>B263/B262</f>
        <v>#DIV/0!</v>
      </c>
      <c r="C264" s="10">
        <f>C263/C262</f>
        <v>30000</v>
      </c>
      <c r="D264" s="10">
        <f>D263/D262</f>
        <v>22500</v>
      </c>
      <c r="E264" s="10" t="e">
        <f>E263/E262</f>
        <v>#DIV/0!</v>
      </c>
    </row>
    <row r="265" spans="1:9" ht="15.75" thickBot="1" x14ac:dyDescent="0.3">
      <c r="A265" s="5" t="s">
        <v>22</v>
      </c>
      <c r="B265" s="260" t="s">
        <v>23</v>
      </c>
      <c r="C265" s="11" t="e">
        <f t="shared" ref="C265:E267" si="10">C262/B262-1</f>
        <v>#DIV/0!</v>
      </c>
      <c r="D265" s="11">
        <f t="shared" si="10"/>
        <v>0</v>
      </c>
      <c r="E265" s="11">
        <f t="shared" si="10"/>
        <v>-1</v>
      </c>
      <c r="I265" s="12"/>
    </row>
    <row r="266" spans="1:9" ht="15.75" thickBot="1" x14ac:dyDescent="0.3">
      <c r="A266" s="5" t="s">
        <v>24</v>
      </c>
      <c r="B266" s="260" t="s">
        <v>23</v>
      </c>
      <c r="C266" s="11" t="e">
        <f t="shared" si="10"/>
        <v>#DIV/0!</v>
      </c>
      <c r="D266" s="11">
        <f t="shared" si="10"/>
        <v>-0.25</v>
      </c>
      <c r="E266" s="11">
        <f t="shared" si="10"/>
        <v>-1</v>
      </c>
    </row>
    <row r="267" spans="1:9" ht="23.25" thickBot="1" x14ac:dyDescent="0.3">
      <c r="A267" s="5" t="s">
        <v>25</v>
      </c>
      <c r="B267" s="260" t="s">
        <v>23</v>
      </c>
      <c r="C267" s="11" t="e">
        <f t="shared" si="10"/>
        <v>#DIV/0!</v>
      </c>
      <c r="D267" s="11">
        <f t="shared" si="10"/>
        <v>-0.25</v>
      </c>
      <c r="E267" s="11" t="e">
        <f t="shared" si="10"/>
        <v>#DIV/0!</v>
      </c>
    </row>
    <row r="268" spans="1:9" ht="15.75" thickBot="1" x14ac:dyDescent="0.3">
      <c r="A268" s="1252" t="s">
        <v>872</v>
      </c>
      <c r="B268" s="1253"/>
      <c r="C268" s="1253"/>
      <c r="D268" s="1253"/>
      <c r="E268" s="1300"/>
    </row>
    <row r="269" spans="1:9" ht="12.75" customHeight="1" x14ac:dyDescent="0.25">
      <c r="A269" s="1250"/>
      <c r="B269" s="8">
        <v>2018</v>
      </c>
      <c r="C269" s="8">
        <v>2019</v>
      </c>
      <c r="D269" s="8">
        <v>2020</v>
      </c>
      <c r="E269" s="8">
        <v>2021</v>
      </c>
    </row>
    <row r="270" spans="1:9" ht="9" customHeight="1" thickBot="1" x14ac:dyDescent="0.3">
      <c r="A270" s="1251"/>
      <c r="B270" s="9" t="s">
        <v>10</v>
      </c>
      <c r="C270" s="9" t="s">
        <v>11</v>
      </c>
      <c r="D270" s="9" t="s">
        <v>11</v>
      </c>
      <c r="E270" s="9" t="s">
        <v>11</v>
      </c>
    </row>
    <row r="271" spans="1:9" ht="15.75" thickBot="1" x14ac:dyDescent="0.3">
      <c r="A271" s="13" t="s">
        <v>58</v>
      </c>
      <c r="B271" s="14"/>
      <c r="C271" s="14"/>
      <c r="D271" s="14"/>
      <c r="E271" s="14"/>
    </row>
    <row r="272" spans="1:9" ht="15.75" thickBot="1" x14ac:dyDescent="0.3">
      <c r="A272" s="13" t="s">
        <v>59</v>
      </c>
      <c r="B272" s="10"/>
      <c r="C272" s="10">
        <v>30000</v>
      </c>
      <c r="D272" s="10">
        <v>22500</v>
      </c>
      <c r="E272" s="14"/>
    </row>
    <row r="273" spans="1:9" ht="15.75" thickBot="1" x14ac:dyDescent="0.3">
      <c r="A273" s="16" t="s">
        <v>52</v>
      </c>
      <c r="B273" s="15">
        <f>B272+B271</f>
        <v>0</v>
      </c>
      <c r="C273" s="15">
        <f>C272+C271</f>
        <v>30000</v>
      </c>
      <c r="D273" s="15">
        <f>D272+D271</f>
        <v>22500</v>
      </c>
      <c r="E273" s="15">
        <f>E272+E271</f>
        <v>0</v>
      </c>
    </row>
    <row r="274" spans="1:9" ht="15.75" hidden="1" customHeight="1" thickBot="1" x14ac:dyDescent="0.3">
      <c r="A274" s="20" t="s">
        <v>61</v>
      </c>
      <c r="B274" s="1241" t="s">
        <v>124</v>
      </c>
      <c r="C274" s="1242"/>
      <c r="D274" s="1242"/>
      <c r="E274" s="1318"/>
    </row>
    <row r="275" spans="1:9" ht="23.25" hidden="1" customHeight="1" thickBot="1" x14ac:dyDescent="0.3">
      <c r="A275" s="7" t="s">
        <v>123</v>
      </c>
      <c r="B275" s="1243" t="s">
        <v>106</v>
      </c>
      <c r="C275" s="1244"/>
      <c r="D275" s="1244"/>
      <c r="E275" s="1315"/>
    </row>
    <row r="276" spans="1:9" ht="17.25" hidden="1" customHeight="1" thickBot="1" x14ac:dyDescent="0.3">
      <c r="A276" s="5" t="s">
        <v>17</v>
      </c>
      <c r="B276" s="1245" t="s">
        <v>106</v>
      </c>
      <c r="C276" s="1246"/>
      <c r="D276" s="1246"/>
      <c r="E276" s="1298"/>
    </row>
    <row r="277" spans="1:9" ht="15.75" hidden="1" customHeight="1" thickBot="1" x14ac:dyDescent="0.3">
      <c r="A277" s="5" t="s">
        <v>18</v>
      </c>
      <c r="B277" s="1248" t="s">
        <v>106</v>
      </c>
      <c r="C277" s="1249"/>
      <c r="D277" s="1249"/>
      <c r="E277" s="1316"/>
    </row>
    <row r="278" spans="1:9" ht="12.75" hidden="1" customHeight="1" x14ac:dyDescent="0.25">
      <c r="A278" s="1250"/>
      <c r="B278" s="8">
        <v>2018</v>
      </c>
      <c r="C278" s="8">
        <v>2019</v>
      </c>
      <c r="D278" s="8">
        <v>2020</v>
      </c>
      <c r="E278" s="8">
        <v>2021</v>
      </c>
    </row>
    <row r="279" spans="1:9" ht="9" hidden="1" customHeight="1" thickBot="1" x14ac:dyDescent="0.3">
      <c r="A279" s="1251"/>
      <c r="B279" s="9" t="s">
        <v>10</v>
      </c>
      <c r="C279" s="9" t="s">
        <v>11</v>
      </c>
      <c r="D279" s="9" t="s">
        <v>11</v>
      </c>
      <c r="E279" s="9" t="s">
        <v>11</v>
      </c>
      <c r="F279" s="12"/>
      <c r="G279" s="12"/>
      <c r="H279" s="12"/>
    </row>
    <row r="280" spans="1:9" ht="15.75" hidden="1" customHeight="1" thickBot="1" x14ac:dyDescent="0.3">
      <c r="A280" s="5" t="s">
        <v>19</v>
      </c>
      <c r="B280" s="10"/>
      <c r="C280" s="10"/>
      <c r="D280" s="10"/>
      <c r="E280" s="10"/>
    </row>
    <row r="281" spans="1:9" ht="15.75" hidden="1" customHeight="1" thickBot="1" x14ac:dyDescent="0.3">
      <c r="A281" s="5" t="s">
        <v>20</v>
      </c>
      <c r="B281" s="10"/>
      <c r="C281" s="10"/>
      <c r="D281" s="10"/>
      <c r="E281" s="10"/>
    </row>
    <row r="282" spans="1:9" ht="15.75" hidden="1" customHeight="1" thickBot="1" x14ac:dyDescent="0.3">
      <c r="A282" s="5" t="s">
        <v>21</v>
      </c>
      <c r="B282" s="10" t="e">
        <f>B281/B280</f>
        <v>#DIV/0!</v>
      </c>
      <c r="C282" s="10" t="e">
        <f>C281/C280</f>
        <v>#DIV/0!</v>
      </c>
      <c r="D282" s="10" t="e">
        <f>D281/D280</f>
        <v>#DIV/0!</v>
      </c>
      <c r="E282" s="10" t="e">
        <f>E281/E280</f>
        <v>#DIV/0!</v>
      </c>
    </row>
    <row r="283" spans="1:9" ht="15.75" hidden="1" customHeight="1" thickBot="1" x14ac:dyDescent="0.3">
      <c r="A283" s="5" t="s">
        <v>22</v>
      </c>
      <c r="B283" s="260" t="s">
        <v>23</v>
      </c>
      <c r="C283" s="11" t="e">
        <f t="shared" ref="C283:E285" si="11">C280/B280-1</f>
        <v>#DIV/0!</v>
      </c>
      <c r="D283" s="11" t="e">
        <f t="shared" si="11"/>
        <v>#DIV/0!</v>
      </c>
      <c r="E283" s="11" t="e">
        <f t="shared" si="11"/>
        <v>#DIV/0!</v>
      </c>
      <c r="I283" s="12"/>
    </row>
    <row r="284" spans="1:9" ht="15.75" hidden="1" customHeight="1" thickBot="1" x14ac:dyDescent="0.3">
      <c r="A284" s="5" t="s">
        <v>24</v>
      </c>
      <c r="B284" s="260" t="s">
        <v>23</v>
      </c>
      <c r="C284" s="11" t="e">
        <f t="shared" si="11"/>
        <v>#DIV/0!</v>
      </c>
      <c r="D284" s="11" t="e">
        <f t="shared" si="11"/>
        <v>#DIV/0!</v>
      </c>
      <c r="E284" s="11" t="e">
        <f t="shared" si="11"/>
        <v>#DIV/0!</v>
      </c>
    </row>
    <row r="285" spans="1:9" ht="23.25" hidden="1" customHeight="1" thickBot="1" x14ac:dyDescent="0.3">
      <c r="A285" s="5" t="s">
        <v>25</v>
      </c>
      <c r="B285" s="260" t="s">
        <v>23</v>
      </c>
      <c r="C285" s="11" t="e">
        <f t="shared" si="11"/>
        <v>#DIV/0!</v>
      </c>
      <c r="D285" s="11" t="e">
        <f t="shared" si="11"/>
        <v>#DIV/0!</v>
      </c>
      <c r="E285" s="11" t="e">
        <f t="shared" si="11"/>
        <v>#DIV/0!</v>
      </c>
    </row>
    <row r="286" spans="1:9" ht="15.75" hidden="1" customHeight="1" thickBot="1" x14ac:dyDescent="0.3">
      <c r="A286" s="1252" t="s">
        <v>635</v>
      </c>
      <c r="B286" s="1253"/>
      <c r="C286" s="1253"/>
      <c r="D286" s="1253"/>
      <c r="E286" s="1300"/>
    </row>
    <row r="287" spans="1:9" ht="12.75" hidden="1" customHeight="1" x14ac:dyDescent="0.25">
      <c r="A287" s="1250"/>
      <c r="B287" s="8">
        <v>2018</v>
      </c>
      <c r="C287" s="8">
        <v>2019</v>
      </c>
      <c r="D287" s="8">
        <v>2020</v>
      </c>
      <c r="E287" s="8">
        <v>2021</v>
      </c>
    </row>
    <row r="288" spans="1:9" ht="9" hidden="1" customHeight="1" thickBot="1" x14ac:dyDescent="0.3">
      <c r="A288" s="1251"/>
      <c r="B288" s="9" t="s">
        <v>10</v>
      </c>
      <c r="C288" s="9" t="s">
        <v>11</v>
      </c>
      <c r="D288" s="9" t="s">
        <v>11</v>
      </c>
      <c r="E288" s="9" t="s">
        <v>11</v>
      </c>
    </row>
    <row r="289" spans="1:5" ht="15.75" hidden="1" customHeight="1" thickBot="1" x14ac:dyDescent="0.3">
      <c r="A289" s="13" t="s">
        <v>58</v>
      </c>
      <c r="B289" s="14"/>
      <c r="C289" s="14"/>
      <c r="D289" s="14"/>
      <c r="E289" s="14"/>
    </row>
    <row r="290" spans="1:5" ht="15.75" hidden="1" customHeight="1" thickBot="1" x14ac:dyDescent="0.3">
      <c r="A290" s="13" t="s">
        <v>59</v>
      </c>
      <c r="B290" s="15"/>
      <c r="C290" s="14"/>
      <c r="D290" s="14"/>
      <c r="E290" s="14"/>
    </row>
    <row r="291" spans="1:5" ht="24.75" hidden="1" customHeight="1" thickBot="1" x14ac:dyDescent="0.3">
      <c r="A291" s="16" t="s">
        <v>74</v>
      </c>
      <c r="B291" s="15">
        <f>B290+B289</f>
        <v>0</v>
      </c>
      <c r="C291" s="15">
        <f>C290+C289</f>
        <v>0</v>
      </c>
      <c r="D291" s="15">
        <f>D290+D289</f>
        <v>0</v>
      </c>
      <c r="E291" s="15">
        <f>E290+E289</f>
        <v>0</v>
      </c>
    </row>
    <row r="292" spans="1:5" ht="15.75" thickBot="1" x14ac:dyDescent="0.3">
      <c r="A292" s="22"/>
      <c r="B292" s="23"/>
      <c r="C292" s="23"/>
      <c r="D292" s="23"/>
      <c r="E292" s="23"/>
    </row>
    <row r="293" spans="1:5" ht="39.75" customHeight="1" thickBot="1" x14ac:dyDescent="0.3">
      <c r="A293" s="6" t="s">
        <v>82</v>
      </c>
      <c r="B293" s="24">
        <f>B281+B263+B243+B225+B199+B174+B148+B130+B110+B89+B63+B40</f>
        <v>50800</v>
      </c>
      <c r="C293" s="24">
        <f>C281+C263+C243+C225+C199+C174+C148+C130+C110+C89+C63+C40</f>
        <v>95415</v>
      </c>
      <c r="D293" s="24">
        <f>D281+D263+D243+D225+D199+D174+D148+D130+D110+D89+D63+D40</f>
        <v>93215</v>
      </c>
      <c r="E293" s="24">
        <f>E281+E263+E243+E225+E199+E174+E148+E130+E110+E89+E63+E40</f>
        <v>48415</v>
      </c>
    </row>
    <row r="294" spans="1:5" ht="36.75" thickBot="1" x14ac:dyDescent="0.3">
      <c r="A294" s="6" t="s">
        <v>83</v>
      </c>
      <c r="B294" s="24">
        <f>B296+B298+B300+B302+B304+B306+B308+B310+B312</f>
        <v>50800</v>
      </c>
      <c r="C294" s="24">
        <f>C296+C298+C300+C302+C304+C306+C308+C310+C312</f>
        <v>95415</v>
      </c>
      <c r="D294" s="24">
        <f>D296+D298+D300+D302+D304+D306+D308+D310+D312</f>
        <v>93215</v>
      </c>
      <c r="E294" s="24">
        <f>E296+E298+E300+E302+E304+E306+E308+E310+E312</f>
        <v>48415</v>
      </c>
    </row>
    <row r="295" spans="1:5" ht="36.75" thickBot="1" x14ac:dyDescent="0.3">
      <c r="A295" s="25" t="s">
        <v>84</v>
      </c>
      <c r="B295" s="26"/>
      <c r="C295" s="27">
        <f>C294/B294-1</f>
        <v>0.87824803149606301</v>
      </c>
      <c r="D295" s="27">
        <f>D294/C294-1</f>
        <v>-2.3057171304302293E-2</v>
      </c>
      <c r="E295" s="27">
        <f>E294/D294-1</f>
        <v>-0.48060934398970123</v>
      </c>
    </row>
    <row r="296" spans="1:5" ht="15.75" thickBot="1" x14ac:dyDescent="0.3">
      <c r="A296" s="13" t="s">
        <v>26</v>
      </c>
      <c r="B296" s="14">
        <f>B207+B184+B71+B48</f>
        <v>16900</v>
      </c>
      <c r="C296" s="14">
        <f>C207+C184+C71+C48</f>
        <v>24349</v>
      </c>
      <c r="D296" s="14">
        <f>D207+D184+D71+D48</f>
        <v>24349</v>
      </c>
      <c r="E296" s="14">
        <f>E207+E184+E71+E48</f>
        <v>24349</v>
      </c>
    </row>
    <row r="297" spans="1:5" ht="15.75" thickBot="1" x14ac:dyDescent="0.3">
      <c r="A297" s="28" t="s">
        <v>85</v>
      </c>
      <c r="B297" s="15"/>
      <c r="C297" s="29">
        <f>C296/B296-1</f>
        <v>0.4407692307692308</v>
      </c>
      <c r="D297" s="29">
        <f>D296/C296-1</f>
        <v>0</v>
      </c>
      <c r="E297" s="29">
        <f>E296/D296-1</f>
        <v>0</v>
      </c>
    </row>
    <row r="298" spans="1:5" ht="24.75" thickBot="1" x14ac:dyDescent="0.3">
      <c r="A298" s="13" t="s">
        <v>28</v>
      </c>
      <c r="B298" s="14">
        <f>B208+B185+B72+B49</f>
        <v>2400</v>
      </c>
      <c r="C298" s="14">
        <f>C208+C185+C72+C49</f>
        <v>4066</v>
      </c>
      <c r="D298" s="14">
        <f>D208+D185+D72+D49</f>
        <v>4066</v>
      </c>
      <c r="E298" s="14">
        <f>E208+E185+E72+E49</f>
        <v>4066</v>
      </c>
    </row>
    <row r="299" spans="1:5" ht="24.75" thickBot="1" x14ac:dyDescent="0.3">
      <c r="A299" s="28" t="s">
        <v>86</v>
      </c>
      <c r="B299" s="15"/>
      <c r="C299" s="29">
        <f>C298/B298-1</f>
        <v>0.6941666666666666</v>
      </c>
      <c r="D299" s="29">
        <f>D298/C298-1</f>
        <v>0</v>
      </c>
      <c r="E299" s="29">
        <f>E298/D298-1</f>
        <v>0</v>
      </c>
    </row>
    <row r="300" spans="1:5" ht="15.75" thickBot="1" x14ac:dyDescent="0.3">
      <c r="A300" s="13" t="s">
        <v>30</v>
      </c>
      <c r="B300" s="14">
        <f>B209+B186+B73+B50</f>
        <v>13500</v>
      </c>
      <c r="C300" s="14">
        <f>C209+C186+C73+C50</f>
        <v>20000</v>
      </c>
      <c r="D300" s="14">
        <f>D209+D186+D73+D50</f>
        <v>20000</v>
      </c>
      <c r="E300" s="14">
        <f>E209+E186+E73+E50</f>
        <v>20000</v>
      </c>
    </row>
    <row r="301" spans="1:5" ht="24.75" thickBot="1" x14ac:dyDescent="0.3">
      <c r="A301" s="28" t="s">
        <v>87</v>
      </c>
      <c r="B301" s="15"/>
      <c r="C301" s="29">
        <f>C300/B300-1</f>
        <v>0.4814814814814814</v>
      </c>
      <c r="D301" s="29">
        <f>D300/C300-1</f>
        <v>0</v>
      </c>
      <c r="E301" s="29">
        <f>E300/D300-1</f>
        <v>0</v>
      </c>
    </row>
    <row r="302" spans="1:5" ht="15.75" thickBot="1" x14ac:dyDescent="0.3">
      <c r="A302" s="13" t="s">
        <v>32</v>
      </c>
      <c r="B302" s="14">
        <f>B210+B187+B74+B51</f>
        <v>0</v>
      </c>
      <c r="C302" s="14">
        <f>C210+C187+C74+C51</f>
        <v>0</v>
      </c>
      <c r="D302" s="14">
        <f>D210+D187+D74+D51</f>
        <v>0</v>
      </c>
      <c r="E302" s="14">
        <f>E210+E187+E74+E51</f>
        <v>0</v>
      </c>
    </row>
    <row r="303" spans="1:5" ht="24.75" thickBot="1" x14ac:dyDescent="0.3">
      <c r="A303" s="28" t="s">
        <v>88</v>
      </c>
      <c r="B303" s="15"/>
      <c r="C303" s="29" t="e">
        <f>C302/B302-1</f>
        <v>#DIV/0!</v>
      </c>
      <c r="D303" s="29" t="e">
        <f>D302/C302-1</f>
        <v>#DIV/0!</v>
      </c>
      <c r="E303" s="29" t="e">
        <f>E302/D302-1</f>
        <v>#DIV/0!</v>
      </c>
    </row>
    <row r="304" spans="1:5" ht="24.75" thickBot="1" x14ac:dyDescent="0.3">
      <c r="A304" s="13" t="s">
        <v>34</v>
      </c>
      <c r="B304" s="14">
        <f>B211+B188+B75+B52</f>
        <v>0</v>
      </c>
      <c r="C304" s="14">
        <f>C211+C188+C75+C52</f>
        <v>0</v>
      </c>
      <c r="D304" s="14">
        <f>D211+D188+D75+D52</f>
        <v>0</v>
      </c>
      <c r="E304" s="14">
        <f>E211+E188+E75+E52</f>
        <v>0</v>
      </c>
    </row>
    <row r="305" spans="1:5" ht="24.75" thickBot="1" x14ac:dyDescent="0.3">
      <c r="A305" s="28" t="s">
        <v>89</v>
      </c>
      <c r="B305" s="15"/>
      <c r="C305" s="29" t="e">
        <f>C304/B304-1</f>
        <v>#DIV/0!</v>
      </c>
      <c r="D305" s="29" t="e">
        <f>D304/C304-1</f>
        <v>#DIV/0!</v>
      </c>
      <c r="E305" s="29" t="e">
        <f>E304/D304-1</f>
        <v>#DIV/0!</v>
      </c>
    </row>
    <row r="306" spans="1:5" ht="15.75" thickBot="1" x14ac:dyDescent="0.3">
      <c r="A306" s="13" t="s">
        <v>36</v>
      </c>
      <c r="B306" s="14">
        <f>B212+B189+B76+B53</f>
        <v>0</v>
      </c>
      <c r="C306" s="14">
        <f>C212+C189+C76+C53</f>
        <v>0</v>
      </c>
      <c r="D306" s="14">
        <f>D212+D189+D76+D53</f>
        <v>0</v>
      </c>
      <c r="E306" s="14">
        <f>E212+E189+E76+E53</f>
        <v>0</v>
      </c>
    </row>
    <row r="307" spans="1:5" ht="24.75" thickBot="1" x14ac:dyDescent="0.3">
      <c r="A307" s="28" t="s">
        <v>90</v>
      </c>
      <c r="B307" s="15"/>
      <c r="C307" s="29" t="e">
        <f>C306/B306-1</f>
        <v>#DIV/0!</v>
      </c>
      <c r="D307" s="29" t="e">
        <f>D306/C306-1</f>
        <v>#DIV/0!</v>
      </c>
      <c r="E307" s="29" t="e">
        <f>E306/D306-1</f>
        <v>#DIV/0!</v>
      </c>
    </row>
    <row r="308" spans="1:5" ht="24.75" thickBot="1" x14ac:dyDescent="0.3">
      <c r="A308" s="13" t="s">
        <v>38</v>
      </c>
      <c r="B308" s="14">
        <f>B213+B190+B77+B54</f>
        <v>0</v>
      </c>
      <c r="C308" s="14">
        <f>C213+C190+C77+C54</f>
        <v>0</v>
      </c>
      <c r="D308" s="14">
        <f>D213+D190+D77+D54</f>
        <v>0</v>
      </c>
      <c r="E308" s="14">
        <f>E213+E190+E77+E54</f>
        <v>0</v>
      </c>
    </row>
    <row r="309" spans="1:5" ht="24.75" thickBot="1" x14ac:dyDescent="0.3">
      <c r="A309" s="28" t="s">
        <v>91</v>
      </c>
      <c r="B309" s="15"/>
      <c r="C309" s="29" t="e">
        <f>C308/B308-1</f>
        <v>#DIV/0!</v>
      </c>
      <c r="D309" s="29" t="e">
        <f>D308/C308-1</f>
        <v>#DIV/0!</v>
      </c>
      <c r="E309" s="29" t="e">
        <f>E308/D308-1</f>
        <v>#DIV/0!</v>
      </c>
    </row>
    <row r="310" spans="1:5" ht="15.75" thickBot="1" x14ac:dyDescent="0.3">
      <c r="A310" s="13" t="s">
        <v>92</v>
      </c>
      <c r="B310" s="14">
        <f>B97+B118+B138+B156+B233+B251+B271+B289</f>
        <v>0</v>
      </c>
      <c r="C310" s="14">
        <f>C97+C118+C138+C156+C233+C251+C271+C289</f>
        <v>0</v>
      </c>
      <c r="D310" s="14">
        <f>D97+D118+D138+D156+D233+D251+D271+D289</f>
        <v>0</v>
      </c>
      <c r="E310" s="14">
        <f>E97+E118+E138+E156+E233+E251+E271+E289</f>
        <v>0</v>
      </c>
    </row>
    <row r="311" spans="1:5" ht="24.75" thickBot="1" x14ac:dyDescent="0.3">
      <c r="A311" s="28" t="s">
        <v>93</v>
      </c>
      <c r="B311" s="15"/>
      <c r="C311" s="29" t="e">
        <f>C310/B310-1</f>
        <v>#DIV/0!</v>
      </c>
      <c r="D311" s="29" t="e">
        <f>D310/C310-1</f>
        <v>#DIV/0!</v>
      </c>
      <c r="E311" s="29" t="e">
        <f>E310/D310-1</f>
        <v>#DIV/0!</v>
      </c>
    </row>
    <row r="312" spans="1:5" ht="15.75" thickBot="1" x14ac:dyDescent="0.3">
      <c r="A312" s="13" t="s">
        <v>94</v>
      </c>
      <c r="B312" s="14">
        <f>B98+B119+B139+B157+B234+B252+B272+B290</f>
        <v>18000</v>
      </c>
      <c r="C312" s="14">
        <f>C98+C119+C139+C157+C234+C252+C272+C290</f>
        <v>47000</v>
      </c>
      <c r="D312" s="14">
        <f>D98+D119+D139+D157+D234+D252+D272+D290</f>
        <v>44800</v>
      </c>
      <c r="E312" s="14">
        <f>E98+E119+E139+E157+E234+E252+E272+E290</f>
        <v>0</v>
      </c>
    </row>
    <row r="313" spans="1:5" ht="24.75" thickBot="1" x14ac:dyDescent="0.3">
      <c r="A313" s="28" t="s">
        <v>95</v>
      </c>
      <c r="B313" s="15"/>
      <c r="C313" s="29">
        <f>C312/B312-1</f>
        <v>1.6111111111111112</v>
      </c>
      <c r="D313" s="29">
        <f>D312/C312-1</f>
        <v>-4.6808510638297829E-2</v>
      </c>
      <c r="E313" s="29">
        <f>E312/D312-1</f>
        <v>-1</v>
      </c>
    </row>
    <row r="314" spans="1:5" ht="15.75" thickBot="1" x14ac:dyDescent="0.3">
      <c r="A314" s="17" t="s">
        <v>41</v>
      </c>
      <c r="B314" s="18">
        <f>IF(B294-B293=0,0,"Error")</f>
        <v>0</v>
      </c>
      <c r="C314" s="18">
        <f>IF(C294-C293=0,0,"Error")</f>
        <v>0</v>
      </c>
      <c r="D314" s="18">
        <f>IF(D294-D293=0,0,"Error")</f>
        <v>0</v>
      </c>
      <c r="E314" s="18">
        <f>IF(E294-E293=0,0,"Error")</f>
        <v>0</v>
      </c>
    </row>
    <row r="315" spans="1:5" ht="36.75" thickBot="1" x14ac:dyDescent="0.3">
      <c r="A315" s="30" t="s">
        <v>96</v>
      </c>
      <c r="B315" s="14">
        <v>17</v>
      </c>
      <c r="C315" s="14">
        <v>19</v>
      </c>
      <c r="D315" s="14">
        <v>19</v>
      </c>
      <c r="E315" s="14">
        <v>19</v>
      </c>
    </row>
    <row r="316" spans="1:5" ht="36.75" thickBot="1" x14ac:dyDescent="0.3">
      <c r="A316" s="30" t="s">
        <v>97</v>
      </c>
      <c r="B316" s="14">
        <v>0</v>
      </c>
      <c r="C316" s="14">
        <v>0</v>
      </c>
      <c r="D316" s="14">
        <v>0</v>
      </c>
      <c r="E316" s="14">
        <v>0</v>
      </c>
    </row>
  </sheetData>
  <mergeCells count="115">
    <mergeCell ref="B5:E5"/>
    <mergeCell ref="B6:E6"/>
    <mergeCell ref="B7:E7"/>
    <mergeCell ref="C8:E8"/>
    <mergeCell ref="C9:E9"/>
    <mergeCell ref="C10:E10"/>
    <mergeCell ref="B59:E59"/>
    <mergeCell ref="A61:A62"/>
    <mergeCell ref="A68:E68"/>
    <mergeCell ref="A11:E11"/>
    <mergeCell ref="A12:E12"/>
    <mergeCell ref="B14:E14"/>
    <mergeCell ref="B15:E15"/>
    <mergeCell ref="B16:E16"/>
    <mergeCell ref="A17:E17"/>
    <mergeCell ref="A18:E20"/>
    <mergeCell ref="B21:E21"/>
    <mergeCell ref="A22:A23"/>
    <mergeCell ref="B27:E27"/>
    <mergeCell ref="A28:E28"/>
    <mergeCell ref="A32:E32"/>
    <mergeCell ref="A33:E33"/>
    <mergeCell ref="B34:E34"/>
    <mergeCell ref="B35:E35"/>
    <mergeCell ref="B36:E36"/>
    <mergeCell ref="A37:A38"/>
    <mergeCell ref="A45:E45"/>
    <mergeCell ref="A46:A47"/>
    <mergeCell ref="B57:E57"/>
    <mergeCell ref="B58:E58"/>
    <mergeCell ref="B123:E123"/>
    <mergeCell ref="B124:E124"/>
    <mergeCell ref="B125:E125"/>
    <mergeCell ref="A69:A70"/>
    <mergeCell ref="A80:E80"/>
    <mergeCell ref="A81:E81"/>
    <mergeCell ref="B82:E82"/>
    <mergeCell ref="B83:E83"/>
    <mergeCell ref="B84:E84"/>
    <mergeCell ref="B85:E85"/>
    <mergeCell ref="A86:A87"/>
    <mergeCell ref="A94:E94"/>
    <mergeCell ref="A95:A96"/>
    <mergeCell ref="A100:A102"/>
    <mergeCell ref="B100:E102"/>
    <mergeCell ref="B103:E103"/>
    <mergeCell ref="B104:E104"/>
    <mergeCell ref="B105:E105"/>
    <mergeCell ref="B106:E106"/>
    <mergeCell ref="A107:A108"/>
    <mergeCell ref="A115:E115"/>
    <mergeCell ref="A116:A117"/>
    <mergeCell ref="A121:E121"/>
    <mergeCell ref="A122:E122"/>
    <mergeCell ref="A181:E181"/>
    <mergeCell ref="A182:A183"/>
    <mergeCell ref="B193:E193"/>
    <mergeCell ref="B126:E126"/>
    <mergeCell ref="A127:A128"/>
    <mergeCell ref="A135:E135"/>
    <mergeCell ref="A136:A137"/>
    <mergeCell ref="B141:E141"/>
    <mergeCell ref="B142:E142"/>
    <mergeCell ref="B143:E143"/>
    <mergeCell ref="B144:E144"/>
    <mergeCell ref="A145:A146"/>
    <mergeCell ref="A153:E153"/>
    <mergeCell ref="A154:A155"/>
    <mergeCell ref="B159:E159"/>
    <mergeCell ref="A160:E160"/>
    <mergeCell ref="A164:E164"/>
    <mergeCell ref="A165:E165"/>
    <mergeCell ref="A166:A167"/>
    <mergeCell ref="B168:E168"/>
    <mergeCell ref="B169:E169"/>
    <mergeCell ref="B170:E170"/>
    <mergeCell ref="A171:A172"/>
    <mergeCell ref="A179:A180"/>
    <mergeCell ref="A254:E254"/>
    <mergeCell ref="A255:E255"/>
    <mergeCell ref="B256:E256"/>
    <mergeCell ref="B194:E194"/>
    <mergeCell ref="B195:E195"/>
    <mergeCell ref="A196:A197"/>
    <mergeCell ref="A204:E204"/>
    <mergeCell ref="A205:A206"/>
    <mergeCell ref="A216:E216"/>
    <mergeCell ref="A217:E217"/>
    <mergeCell ref="B218:E218"/>
    <mergeCell ref="B219:E219"/>
    <mergeCell ref="B220:E220"/>
    <mergeCell ref="B221:E221"/>
    <mergeCell ref="A222:A223"/>
    <mergeCell ref="A230:E230"/>
    <mergeCell ref="A231:A232"/>
    <mergeCell ref="B236:E236"/>
    <mergeCell ref="B237:E237"/>
    <mergeCell ref="B238:E238"/>
    <mergeCell ref="B239:E239"/>
    <mergeCell ref="A240:A241"/>
    <mergeCell ref="A248:E248"/>
    <mergeCell ref="A249:A250"/>
    <mergeCell ref="A287:A288"/>
    <mergeCell ref="B257:E257"/>
    <mergeCell ref="B258:E258"/>
    <mergeCell ref="B259:E259"/>
    <mergeCell ref="A260:A261"/>
    <mergeCell ref="A268:E268"/>
    <mergeCell ref="A269:A270"/>
    <mergeCell ref="B274:E274"/>
    <mergeCell ref="B275:E275"/>
    <mergeCell ref="B276:E276"/>
    <mergeCell ref="B277:E277"/>
    <mergeCell ref="A278:A279"/>
    <mergeCell ref="A286:E286"/>
  </mergeCells>
  <printOptions horizontalCentered="1" verticalCentered="1"/>
  <pageMargins left="0.7" right="0.7" top="0.75" bottom="0.75" header="0.3" footer="0.3"/>
  <pageSetup scale="40" fitToHeight="0" orientation="portrait" r:id="rId1"/>
  <rowBreaks count="4" manualBreakCount="4">
    <brk id="79" max="16383" man="1"/>
    <brk id="134" max="16383" man="1"/>
    <brk id="203" max="16383" man="1"/>
    <brk id="27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2:H390"/>
  <sheetViews>
    <sheetView view="pageBreakPreview" topLeftCell="A364" zoomScale="60" zoomScaleNormal="130" workbookViewId="0">
      <selection activeCell="P401" sqref="P401"/>
    </sheetView>
  </sheetViews>
  <sheetFormatPr defaultRowHeight="15" x14ac:dyDescent="0.25"/>
  <cols>
    <col min="1" max="1" width="31.28515625" customWidth="1"/>
    <col min="2" max="2" width="23.42578125" customWidth="1"/>
    <col min="3" max="4" width="20.5703125" customWidth="1"/>
    <col min="5" max="5" width="11" customWidth="1"/>
    <col min="6" max="6" width="11" bestFit="1" customWidth="1"/>
  </cols>
  <sheetData>
    <row r="2" spans="1:4" ht="18" customHeight="1" thickBot="1" x14ac:dyDescent="0.3">
      <c r="A2" s="189" t="s">
        <v>898</v>
      </c>
      <c r="B2" s="188"/>
      <c r="C2" s="188"/>
      <c r="D2" s="188"/>
    </row>
    <row r="3" spans="1:4" ht="63" customHeight="1" thickBot="1" x14ac:dyDescent="0.3">
      <c r="A3" s="168" t="s">
        <v>897</v>
      </c>
      <c r="B3" s="1084" t="s">
        <v>932</v>
      </c>
      <c r="C3" s="1085"/>
      <c r="D3" s="1233"/>
    </row>
    <row r="4" spans="1:4" ht="50.25" customHeight="1" thickBot="1" x14ac:dyDescent="0.3">
      <c r="A4" s="36" t="s">
        <v>895</v>
      </c>
      <c r="B4" s="1087" t="s">
        <v>931</v>
      </c>
      <c r="C4" s="1088"/>
      <c r="D4" s="1235"/>
    </row>
    <row r="5" spans="1:4" ht="77.25" customHeight="1" thickBot="1" x14ac:dyDescent="0.3">
      <c r="A5" s="36" t="s">
        <v>914</v>
      </c>
      <c r="B5" s="1239" t="s">
        <v>930</v>
      </c>
      <c r="C5" s="1095"/>
      <c r="D5" s="1240"/>
    </row>
    <row r="6" spans="1:4" ht="33" customHeight="1" thickBot="1" x14ac:dyDescent="0.3">
      <c r="A6" s="36" t="s">
        <v>891</v>
      </c>
      <c r="B6" s="167" t="s">
        <v>912</v>
      </c>
      <c r="C6" s="1093" t="s">
        <v>7</v>
      </c>
      <c r="D6" s="1238"/>
    </row>
    <row r="7" spans="1:4" ht="47.25" customHeight="1" thickBot="1" x14ac:dyDescent="0.3">
      <c r="A7" s="36" t="s">
        <v>929</v>
      </c>
      <c r="B7" s="187" t="s">
        <v>641</v>
      </c>
      <c r="C7" s="1095" t="s">
        <v>928</v>
      </c>
      <c r="D7" s="1240"/>
    </row>
    <row r="8" spans="1:4" ht="54" customHeight="1" thickBot="1" x14ac:dyDescent="0.3">
      <c r="A8" s="36" t="s">
        <v>927</v>
      </c>
      <c r="B8" s="186"/>
      <c r="C8" s="1095"/>
      <c r="D8" s="1240"/>
    </row>
    <row r="9" spans="1:4" ht="18" customHeight="1" x14ac:dyDescent="0.25">
      <c r="A9" s="146"/>
      <c r="B9" s="146"/>
      <c r="C9" s="146"/>
      <c r="D9" s="146"/>
    </row>
    <row r="10" spans="1:4" ht="15.75" thickBot="1" x14ac:dyDescent="0.3">
      <c r="A10" s="1247" t="s">
        <v>926</v>
      </c>
      <c r="B10" s="1247"/>
      <c r="C10" s="1247"/>
      <c r="D10" s="1247"/>
    </row>
    <row r="11" spans="1:4" ht="15.75" thickBot="1" x14ac:dyDescent="0.3">
      <c r="A11" s="2" t="s">
        <v>2</v>
      </c>
      <c r="B11" s="1263" t="s">
        <v>640</v>
      </c>
      <c r="C11" s="1263"/>
      <c r="D11" s="1263"/>
    </row>
    <row r="12" spans="1:4" ht="15.75" thickBot="1" x14ac:dyDescent="0.3">
      <c r="A12" s="2" t="s">
        <v>3</v>
      </c>
      <c r="B12" s="1264" t="s">
        <v>641</v>
      </c>
      <c r="C12" s="1088"/>
      <c r="D12" s="1088"/>
    </row>
    <row r="13" spans="1:4" ht="15.75" thickBot="1" x14ac:dyDescent="0.3">
      <c r="A13" s="2" t="s">
        <v>5</v>
      </c>
      <c r="B13" s="1265" t="s">
        <v>6</v>
      </c>
      <c r="C13" s="1095"/>
      <c r="D13" s="1095"/>
    </row>
    <row r="14" spans="1:4" ht="15.75" thickBot="1" x14ac:dyDescent="0.3">
      <c r="A14" s="1266" t="s">
        <v>7</v>
      </c>
      <c r="B14" s="1267"/>
      <c r="C14" s="1267"/>
      <c r="D14" s="1267"/>
    </row>
    <row r="15" spans="1:4" ht="15.75" thickBot="1" x14ac:dyDescent="0.3">
      <c r="A15" s="1268" t="s">
        <v>925</v>
      </c>
      <c r="B15" s="1269"/>
      <c r="C15" s="1269"/>
      <c r="D15" s="1269"/>
    </row>
    <row r="16" spans="1:4" ht="36.75" customHeight="1" thickBot="1" x14ac:dyDescent="0.3">
      <c r="A16" s="1268"/>
      <c r="B16" s="1269"/>
      <c r="C16" s="1269"/>
      <c r="D16" s="1269"/>
    </row>
    <row r="17" spans="1:7" ht="15.75" thickBot="1" x14ac:dyDescent="0.3">
      <c r="A17" s="1268"/>
      <c r="B17" s="1269"/>
      <c r="C17" s="1269"/>
      <c r="D17" s="1269"/>
    </row>
    <row r="18" spans="1:7" ht="41.25" customHeight="1" thickBot="1" x14ac:dyDescent="0.3">
      <c r="A18" s="3" t="s">
        <v>8</v>
      </c>
      <c r="B18" s="1270" t="s">
        <v>924</v>
      </c>
      <c r="C18" s="1271"/>
      <c r="D18" s="1271"/>
    </row>
    <row r="19" spans="1:7" ht="23.25" customHeight="1" x14ac:dyDescent="0.25">
      <c r="A19" s="1250" t="s">
        <v>102</v>
      </c>
      <c r="B19" s="66">
        <v>2018</v>
      </c>
      <c r="C19" s="66">
        <v>2019</v>
      </c>
      <c r="D19" s="66">
        <v>2020</v>
      </c>
    </row>
    <row r="20" spans="1:7" ht="15.75" thickBot="1" x14ac:dyDescent="0.3">
      <c r="A20" s="1251"/>
      <c r="B20" s="67" t="s">
        <v>10</v>
      </c>
      <c r="C20" s="67" t="s">
        <v>11</v>
      </c>
      <c r="D20" s="67" t="s">
        <v>11</v>
      </c>
    </row>
    <row r="21" spans="1:7" ht="15.75" thickBot="1" x14ac:dyDescent="0.3">
      <c r="A21" s="150" t="s">
        <v>164</v>
      </c>
      <c r="B21" s="4" t="s">
        <v>642</v>
      </c>
      <c r="C21" s="4" t="s">
        <v>642</v>
      </c>
      <c r="D21" s="4" t="s">
        <v>642</v>
      </c>
    </row>
    <row r="22" spans="1:7" ht="15.75" thickBot="1" x14ac:dyDescent="0.3">
      <c r="A22" s="5" t="s">
        <v>165</v>
      </c>
      <c r="B22" s="4"/>
      <c r="C22" s="4"/>
      <c r="D22" s="4"/>
    </row>
    <row r="23" spans="1:7" ht="23.25" thickBot="1" x14ac:dyDescent="0.3">
      <c r="A23" s="5" t="s">
        <v>111</v>
      </c>
      <c r="B23" s="4"/>
      <c r="C23" s="4"/>
      <c r="D23" s="4"/>
    </row>
    <row r="24" spans="1:7" ht="51.75" customHeight="1" thickBot="1" x14ac:dyDescent="0.3">
      <c r="A24" s="6" t="s">
        <v>12</v>
      </c>
      <c r="B24" s="1272" t="s">
        <v>923</v>
      </c>
      <c r="C24" s="1270"/>
      <c r="D24" s="1270"/>
    </row>
    <row r="25" spans="1:7" ht="23.25" customHeight="1" thickBot="1" x14ac:dyDescent="0.3">
      <c r="A25" s="1245" t="s">
        <v>643</v>
      </c>
      <c r="B25" s="1246"/>
      <c r="C25" s="1246"/>
      <c r="D25" s="1246"/>
      <c r="E25" s="35"/>
      <c r="G25" s="35"/>
    </row>
    <row r="26" spans="1:7" ht="15.75" thickBot="1" x14ac:dyDescent="0.3">
      <c r="A26" s="150" t="s">
        <v>164</v>
      </c>
      <c r="B26" s="4" t="s">
        <v>642</v>
      </c>
      <c r="C26" s="4" t="s">
        <v>642</v>
      </c>
      <c r="D26" s="4" t="s">
        <v>642</v>
      </c>
    </row>
    <row r="27" spans="1:7" ht="15.75" thickBot="1" x14ac:dyDescent="0.3">
      <c r="A27" s="5" t="s">
        <v>165</v>
      </c>
      <c r="B27" s="4"/>
      <c r="C27" s="4"/>
      <c r="D27" s="4"/>
    </row>
    <row r="28" spans="1:7" ht="23.25" thickBot="1" x14ac:dyDescent="0.3">
      <c r="A28" s="5" t="s">
        <v>111</v>
      </c>
      <c r="B28" s="4"/>
      <c r="C28" s="4"/>
      <c r="D28" s="4"/>
    </row>
    <row r="29" spans="1:7" ht="15.75" thickBot="1" x14ac:dyDescent="0.3">
      <c r="A29" s="1273" t="s">
        <v>14</v>
      </c>
      <c r="B29" s="1274"/>
      <c r="C29" s="1274"/>
      <c r="D29" s="1274"/>
    </row>
    <row r="30" spans="1:7" ht="15.75" thickBot="1" x14ac:dyDescent="0.3">
      <c r="A30" s="1275" t="s">
        <v>104</v>
      </c>
      <c r="B30" s="1276"/>
      <c r="C30" s="1276"/>
      <c r="D30" s="1276"/>
    </row>
    <row r="31" spans="1:7" ht="15.75" thickBot="1" x14ac:dyDescent="0.3">
      <c r="A31" s="7" t="s">
        <v>105</v>
      </c>
      <c r="B31" s="1243" t="s">
        <v>644</v>
      </c>
      <c r="C31" s="1244"/>
      <c r="D31" s="1244"/>
    </row>
    <row r="32" spans="1:7" ht="24" customHeight="1" thickBot="1" x14ac:dyDescent="0.3">
      <c r="A32" s="5" t="s">
        <v>17</v>
      </c>
      <c r="B32" s="1245" t="s">
        <v>917</v>
      </c>
      <c r="C32" s="1246"/>
      <c r="D32" s="1246"/>
    </row>
    <row r="33" spans="1:8" ht="15.75" thickBot="1" x14ac:dyDescent="0.3">
      <c r="A33" s="5" t="s">
        <v>18</v>
      </c>
      <c r="B33" s="1248" t="s">
        <v>645</v>
      </c>
      <c r="C33" s="1249"/>
      <c r="D33" s="1249"/>
    </row>
    <row r="34" spans="1:8" ht="12.75" customHeight="1" x14ac:dyDescent="0.25">
      <c r="A34" s="1250"/>
      <c r="B34" s="8">
        <v>2018</v>
      </c>
      <c r="C34" s="8">
        <v>2019</v>
      </c>
      <c r="D34" s="8">
        <v>2020</v>
      </c>
    </row>
    <row r="35" spans="1:8" ht="9" customHeight="1" thickBot="1" x14ac:dyDescent="0.3">
      <c r="A35" s="1251"/>
      <c r="B35" s="9" t="s">
        <v>10</v>
      </c>
      <c r="C35" s="9" t="s">
        <v>11</v>
      </c>
      <c r="D35" s="9" t="s">
        <v>11</v>
      </c>
    </row>
    <row r="36" spans="1:8" ht="15.75" thickBot="1" x14ac:dyDescent="0.3">
      <c r="A36" s="5" t="s">
        <v>19</v>
      </c>
      <c r="B36" s="10" t="s">
        <v>646</v>
      </c>
      <c r="C36" s="10" t="s">
        <v>646</v>
      </c>
      <c r="D36" s="10" t="s">
        <v>646</v>
      </c>
    </row>
    <row r="37" spans="1:8" ht="15.75" thickBot="1" x14ac:dyDescent="0.3">
      <c r="A37" s="5" t="s">
        <v>20</v>
      </c>
      <c r="B37" s="10">
        <v>1494000</v>
      </c>
      <c r="C37" s="10">
        <v>1510000</v>
      </c>
      <c r="D37" s="10">
        <v>1510000</v>
      </c>
    </row>
    <row r="38" spans="1:8" ht="15.75" thickBot="1" x14ac:dyDescent="0.3">
      <c r="A38" s="5" t="s">
        <v>21</v>
      </c>
      <c r="B38" s="10" t="s">
        <v>646</v>
      </c>
      <c r="C38" s="10" t="s">
        <v>646</v>
      </c>
      <c r="D38" s="10" t="s">
        <v>646</v>
      </c>
    </row>
    <row r="39" spans="1:8" ht="15.75" thickBot="1" x14ac:dyDescent="0.3">
      <c r="A39" s="5" t="s">
        <v>22</v>
      </c>
      <c r="B39" s="151" t="s">
        <v>23</v>
      </c>
      <c r="C39" s="11">
        <v>1.0000000000000009E-2</v>
      </c>
      <c r="D39" s="11">
        <v>1.0000000000000009E-2</v>
      </c>
      <c r="E39" s="12"/>
      <c r="F39" s="12"/>
      <c r="G39" s="12"/>
      <c r="H39" s="12"/>
    </row>
    <row r="40" spans="1:8" ht="15.75" thickBot="1" x14ac:dyDescent="0.3">
      <c r="A40" s="5" t="s">
        <v>24</v>
      </c>
      <c r="B40" s="151" t="s">
        <v>23</v>
      </c>
      <c r="C40" s="11">
        <v>1.0709504685408211E-2</v>
      </c>
      <c r="D40" s="11">
        <v>0</v>
      </c>
    </row>
    <row r="41" spans="1:8" ht="15.75" thickBot="1" x14ac:dyDescent="0.3">
      <c r="A41" s="5" t="s">
        <v>25</v>
      </c>
      <c r="B41" s="151" t="s">
        <v>23</v>
      </c>
      <c r="C41" s="11">
        <v>7.0247988654292826E-4</v>
      </c>
      <c r="D41" s="11">
        <v>-9.9009900990099098E-3</v>
      </c>
    </row>
    <row r="42" spans="1:8" ht="15.75" thickBot="1" x14ac:dyDescent="0.3">
      <c r="A42" s="1252" t="s">
        <v>633</v>
      </c>
      <c r="B42" s="1253"/>
      <c r="C42" s="1253"/>
      <c r="D42" s="1253"/>
    </row>
    <row r="43" spans="1:8" ht="12.75" customHeight="1" x14ac:dyDescent="0.25">
      <c r="A43" s="1250"/>
      <c r="B43" s="8">
        <v>2018</v>
      </c>
      <c r="C43" s="8">
        <v>2019</v>
      </c>
      <c r="D43" s="8">
        <v>2020</v>
      </c>
    </row>
    <row r="44" spans="1:8" ht="9" customHeight="1" thickBot="1" x14ac:dyDescent="0.3">
      <c r="A44" s="1251"/>
      <c r="B44" s="9" t="s">
        <v>10</v>
      </c>
      <c r="C44" s="9" t="s">
        <v>11</v>
      </c>
      <c r="D44" s="9" t="s">
        <v>11</v>
      </c>
    </row>
    <row r="45" spans="1:8" ht="35.25" thickBot="1" x14ac:dyDescent="0.3">
      <c r="A45" s="13" t="s">
        <v>922</v>
      </c>
      <c r="B45" s="14">
        <v>884000</v>
      </c>
      <c r="C45" s="14">
        <v>899000</v>
      </c>
      <c r="D45" s="14">
        <v>899000</v>
      </c>
    </row>
    <row r="46" spans="1:8" ht="24.75" thickBot="1" x14ac:dyDescent="0.3">
      <c r="A46" s="13" t="s">
        <v>28</v>
      </c>
      <c r="B46" s="14">
        <v>155000</v>
      </c>
      <c r="C46" s="14">
        <v>153000</v>
      </c>
      <c r="D46" s="14">
        <v>153000</v>
      </c>
    </row>
    <row r="47" spans="1:8" ht="15.75" thickBot="1" x14ac:dyDescent="0.3">
      <c r="A47" s="13" t="s">
        <v>30</v>
      </c>
      <c r="B47" s="15">
        <v>422000</v>
      </c>
      <c r="C47" s="14">
        <v>430000</v>
      </c>
      <c r="D47" s="14">
        <v>438000</v>
      </c>
    </row>
    <row r="48" spans="1:8" ht="15.75" thickBot="1" x14ac:dyDescent="0.3">
      <c r="A48" s="13" t="s">
        <v>32</v>
      </c>
      <c r="B48" s="15"/>
      <c r="C48" s="14"/>
      <c r="D48" s="14"/>
    </row>
    <row r="49" spans="1:4" ht="15.75" thickBot="1" x14ac:dyDescent="0.3">
      <c r="A49" s="13" t="s">
        <v>34</v>
      </c>
      <c r="B49" s="15"/>
      <c r="C49" s="14"/>
      <c r="D49" s="14"/>
    </row>
    <row r="50" spans="1:4" ht="15.75" thickBot="1" x14ac:dyDescent="0.3">
      <c r="A50" s="13" t="s">
        <v>36</v>
      </c>
      <c r="B50" s="15"/>
      <c r="C50" s="14"/>
      <c r="D50" s="14"/>
    </row>
    <row r="51" spans="1:4" ht="15.75" thickBot="1" x14ac:dyDescent="0.3">
      <c r="A51" s="13" t="s">
        <v>38</v>
      </c>
      <c r="B51" s="15">
        <v>33000</v>
      </c>
      <c r="C51" s="14">
        <v>28000</v>
      </c>
      <c r="D51" s="14">
        <v>20000</v>
      </c>
    </row>
    <row r="52" spans="1:4" ht="15.75" thickBot="1" x14ac:dyDescent="0.3">
      <c r="A52" s="16" t="s">
        <v>40</v>
      </c>
      <c r="B52" s="15">
        <v>1494000</v>
      </c>
      <c r="C52" s="15">
        <v>1510000</v>
      </c>
      <c r="D52" s="15">
        <v>1510000</v>
      </c>
    </row>
    <row r="53" spans="1:4" ht="15.75" thickBot="1" x14ac:dyDescent="0.3">
      <c r="A53" s="185" t="s">
        <v>41</v>
      </c>
      <c r="B53" s="18">
        <v>0</v>
      </c>
      <c r="C53" s="18">
        <v>0</v>
      </c>
      <c r="D53" s="18">
        <v>0</v>
      </c>
    </row>
    <row r="54" spans="1:4" ht="15.75" hidden="1" thickBot="1" x14ac:dyDescent="0.3">
      <c r="A54" s="139" t="s">
        <v>637</v>
      </c>
      <c r="B54" s="1243" t="s">
        <v>106</v>
      </c>
      <c r="C54" s="1244"/>
      <c r="D54" s="1244"/>
    </row>
    <row r="55" spans="1:4" ht="15.75" hidden="1" thickBot="1" x14ac:dyDescent="0.3">
      <c r="A55" s="5" t="s">
        <v>17</v>
      </c>
      <c r="B55" s="1245" t="s">
        <v>106</v>
      </c>
      <c r="C55" s="1246"/>
      <c r="D55" s="1246"/>
    </row>
    <row r="56" spans="1:4" ht="15.75" hidden="1" thickBot="1" x14ac:dyDescent="0.3">
      <c r="A56" s="5" t="s">
        <v>18</v>
      </c>
      <c r="B56" s="1248" t="s">
        <v>106</v>
      </c>
      <c r="C56" s="1249"/>
      <c r="D56" s="1249"/>
    </row>
    <row r="57" spans="1:4" ht="15.75" hidden="1" thickBot="1" x14ac:dyDescent="0.3">
      <c r="A57" s="5" t="s">
        <v>19</v>
      </c>
      <c r="B57" s="10"/>
      <c r="C57" s="10"/>
      <c r="D57" s="10"/>
    </row>
    <row r="58" spans="1:4" ht="12.75" hidden="1" customHeight="1" x14ac:dyDescent="0.25">
      <c r="A58" s="1250"/>
      <c r="B58" s="8">
        <v>2018</v>
      </c>
      <c r="C58" s="8">
        <v>2019</v>
      </c>
      <c r="D58" s="8">
        <v>2020</v>
      </c>
    </row>
    <row r="59" spans="1:4" ht="9" hidden="1" customHeight="1" thickBot="1" x14ac:dyDescent="0.3">
      <c r="A59" s="1251"/>
      <c r="B59" s="9" t="s">
        <v>10</v>
      </c>
      <c r="C59" s="9" t="s">
        <v>11</v>
      </c>
      <c r="D59" s="9" t="s">
        <v>11</v>
      </c>
    </row>
    <row r="60" spans="1:4" ht="15.75" hidden="1" thickBot="1" x14ac:dyDescent="0.3">
      <c r="A60" s="5" t="s">
        <v>20</v>
      </c>
      <c r="B60" s="10"/>
      <c r="C60" s="10"/>
      <c r="D60" s="10"/>
    </row>
    <row r="61" spans="1:4" ht="15.75" hidden="1" thickBot="1" x14ac:dyDescent="0.3">
      <c r="A61" s="5" t="s">
        <v>21</v>
      </c>
      <c r="B61" s="10" t="e">
        <v>#DIV/0!</v>
      </c>
      <c r="C61" s="10" t="e">
        <v>#DIV/0!</v>
      </c>
      <c r="D61" s="10" t="e">
        <v>#DIV/0!</v>
      </c>
    </row>
    <row r="62" spans="1:4" ht="15.75" hidden="1" thickBot="1" x14ac:dyDescent="0.3">
      <c r="A62" s="5" t="s">
        <v>22</v>
      </c>
      <c r="B62" s="151"/>
      <c r="C62" s="11" t="e">
        <v>#DIV/0!</v>
      </c>
      <c r="D62" s="11" t="e">
        <v>#DIV/0!</v>
      </c>
    </row>
    <row r="63" spans="1:4" ht="15.75" hidden="1" thickBot="1" x14ac:dyDescent="0.3">
      <c r="A63" s="5" t="s">
        <v>24</v>
      </c>
      <c r="B63" s="151"/>
      <c r="C63" s="11" t="e">
        <v>#DIV/0!</v>
      </c>
      <c r="D63" s="11" t="e">
        <v>#DIV/0!</v>
      </c>
    </row>
    <row r="64" spans="1:4" ht="15.75" hidden="1" thickBot="1" x14ac:dyDescent="0.3">
      <c r="A64" s="5" t="s">
        <v>25</v>
      </c>
      <c r="B64" s="151"/>
      <c r="C64" s="11" t="e">
        <v>#DIV/0!</v>
      </c>
      <c r="D64" s="11" t="e">
        <v>#DIV/0!</v>
      </c>
    </row>
    <row r="65" spans="1:4" ht="24.75" hidden="1" customHeight="1" thickBot="1" x14ac:dyDescent="0.3">
      <c r="A65" s="1252" t="s">
        <v>862</v>
      </c>
      <c r="B65" s="1253"/>
      <c r="C65" s="1253"/>
      <c r="D65" s="1253"/>
    </row>
    <row r="66" spans="1:4" ht="12.75" hidden="1" customHeight="1" x14ac:dyDescent="0.25">
      <c r="A66" s="1250"/>
      <c r="B66" s="8">
        <v>2018</v>
      </c>
      <c r="C66" s="8">
        <v>2019</v>
      </c>
      <c r="D66" s="8">
        <v>2020</v>
      </c>
    </row>
    <row r="67" spans="1:4" ht="9" hidden="1" customHeight="1" thickBot="1" x14ac:dyDescent="0.3">
      <c r="A67" s="1251"/>
      <c r="B67" s="9" t="s">
        <v>10</v>
      </c>
      <c r="C67" s="9" t="s">
        <v>11</v>
      </c>
      <c r="D67" s="9" t="s">
        <v>11</v>
      </c>
    </row>
    <row r="68" spans="1:4" ht="24.75" hidden="1" customHeight="1" thickBot="1" x14ac:dyDescent="0.3">
      <c r="A68" s="13" t="s">
        <v>26</v>
      </c>
      <c r="B68" s="14"/>
      <c r="C68" s="14"/>
      <c r="D68" s="14"/>
    </row>
    <row r="69" spans="1:4" ht="24.75" hidden="1" customHeight="1" thickBot="1" x14ac:dyDescent="0.3">
      <c r="A69" s="13" t="s">
        <v>28</v>
      </c>
      <c r="B69" s="14"/>
      <c r="C69" s="14"/>
      <c r="D69" s="14"/>
    </row>
    <row r="70" spans="1:4" ht="24.75" hidden="1" customHeight="1" thickBot="1" x14ac:dyDescent="0.3">
      <c r="A70" s="13" t="s">
        <v>30</v>
      </c>
      <c r="B70" s="15"/>
      <c r="C70" s="14"/>
      <c r="D70" s="14"/>
    </row>
    <row r="71" spans="1:4" ht="15.75" hidden="1" thickBot="1" x14ac:dyDescent="0.3">
      <c r="A71" s="13" t="s">
        <v>32</v>
      </c>
      <c r="B71" s="15"/>
      <c r="C71" s="14"/>
      <c r="D71" s="14"/>
    </row>
    <row r="72" spans="1:4" ht="15.75" hidden="1" thickBot="1" x14ac:dyDescent="0.3">
      <c r="A72" s="13" t="s">
        <v>34</v>
      </c>
      <c r="B72" s="15"/>
      <c r="C72" s="14"/>
      <c r="D72" s="14"/>
    </row>
    <row r="73" spans="1:4" ht="15.75" hidden="1" thickBot="1" x14ac:dyDescent="0.3">
      <c r="A73" s="13" t="s">
        <v>36</v>
      </c>
      <c r="B73" s="15"/>
      <c r="C73" s="14"/>
      <c r="D73" s="14"/>
    </row>
    <row r="74" spans="1:4" ht="15.75" hidden="1" thickBot="1" x14ac:dyDescent="0.3">
      <c r="A74" s="13" t="s">
        <v>38</v>
      </c>
      <c r="B74" s="15"/>
      <c r="C74" s="14"/>
      <c r="D74" s="14"/>
    </row>
    <row r="75" spans="1:4" ht="15.75" hidden="1" thickBot="1" x14ac:dyDescent="0.3">
      <c r="A75" s="135" t="s">
        <v>74</v>
      </c>
      <c r="B75" s="15">
        <v>0</v>
      </c>
      <c r="C75" s="15">
        <v>0</v>
      </c>
      <c r="D75" s="15">
        <v>0</v>
      </c>
    </row>
    <row r="76" spans="1:4" ht="17.25" hidden="1" customHeight="1" thickBot="1" x14ac:dyDescent="0.3">
      <c r="A76" s="17" t="s">
        <v>41</v>
      </c>
      <c r="B76" s="18">
        <v>0</v>
      </c>
      <c r="C76" s="18">
        <v>0</v>
      </c>
      <c r="D76" s="18">
        <v>0</v>
      </c>
    </row>
    <row r="77" spans="1:4" ht="15.75" thickBot="1" x14ac:dyDescent="0.3">
      <c r="A77" s="1275" t="s">
        <v>63</v>
      </c>
      <c r="B77" s="1276"/>
      <c r="C77" s="1276"/>
      <c r="D77" s="1276"/>
    </row>
    <row r="78" spans="1:4" ht="15.75" thickBot="1" x14ac:dyDescent="0.3">
      <c r="A78" s="1275" t="s">
        <v>56</v>
      </c>
      <c r="B78" s="1276"/>
      <c r="C78" s="1276"/>
      <c r="D78" s="1276"/>
    </row>
    <row r="79" spans="1:4" ht="15.75" thickBot="1" x14ac:dyDescent="0.3">
      <c r="A79" s="20" t="s">
        <v>79</v>
      </c>
      <c r="B79" s="1241" t="s">
        <v>647</v>
      </c>
      <c r="C79" s="1242"/>
      <c r="D79" s="1242"/>
    </row>
    <row r="80" spans="1:4" ht="15.75" thickBot="1" x14ac:dyDescent="0.3">
      <c r="A80" s="7" t="s">
        <v>16</v>
      </c>
      <c r="B80" s="1243" t="s">
        <v>644</v>
      </c>
      <c r="C80" s="1244"/>
      <c r="D80" s="1244"/>
    </row>
    <row r="81" spans="1:8" ht="25.5" customHeight="1" thickBot="1" x14ac:dyDescent="0.3">
      <c r="A81" s="5" t="s">
        <v>17</v>
      </c>
      <c r="B81" s="1245" t="s">
        <v>917</v>
      </c>
      <c r="C81" s="1246"/>
      <c r="D81" s="1246"/>
    </row>
    <row r="82" spans="1:8" ht="15.75" thickBot="1" x14ac:dyDescent="0.3">
      <c r="A82" s="5" t="s">
        <v>18</v>
      </c>
      <c r="B82" s="1248" t="s">
        <v>645</v>
      </c>
      <c r="C82" s="1249"/>
      <c r="D82" s="1249"/>
    </row>
    <row r="83" spans="1:8" ht="12.75" customHeight="1" x14ac:dyDescent="0.25">
      <c r="A83" s="1250"/>
      <c r="B83" s="8">
        <v>2018</v>
      </c>
      <c r="C83" s="8">
        <v>2019</v>
      </c>
      <c r="D83" s="8">
        <v>2020</v>
      </c>
    </row>
    <row r="84" spans="1:8" ht="9" customHeight="1" thickBot="1" x14ac:dyDescent="0.3">
      <c r="A84" s="1251"/>
      <c r="B84" s="9" t="s">
        <v>10</v>
      </c>
      <c r="C84" s="9" t="s">
        <v>11</v>
      </c>
      <c r="D84" s="9" t="s">
        <v>11</v>
      </c>
    </row>
    <row r="85" spans="1:8" ht="15.75" thickBot="1" x14ac:dyDescent="0.3">
      <c r="A85" s="5" t="s">
        <v>19</v>
      </c>
      <c r="B85" s="10" t="s">
        <v>646</v>
      </c>
      <c r="C85" s="10" t="s">
        <v>646</v>
      </c>
      <c r="D85" s="10" t="s">
        <v>646</v>
      </c>
    </row>
    <row r="86" spans="1:8" ht="15.75" thickBot="1" x14ac:dyDescent="0.3">
      <c r="A86" s="5" t="s">
        <v>20</v>
      </c>
      <c r="B86" s="10">
        <v>960</v>
      </c>
      <c r="C86" s="10">
        <v>958</v>
      </c>
      <c r="D86" s="10">
        <v>960</v>
      </c>
    </row>
    <row r="87" spans="1:8" ht="15.75" thickBot="1" x14ac:dyDescent="0.3">
      <c r="A87" s="5" t="s">
        <v>21</v>
      </c>
      <c r="B87" s="10" t="s">
        <v>646</v>
      </c>
      <c r="C87" s="10" t="s">
        <v>646</v>
      </c>
      <c r="D87" s="10" t="s">
        <v>646</v>
      </c>
    </row>
    <row r="88" spans="1:8" ht="15.75" thickBot="1" x14ac:dyDescent="0.3">
      <c r="A88" s="5" t="s">
        <v>22</v>
      </c>
      <c r="B88" s="151" t="s">
        <v>23</v>
      </c>
      <c r="C88" s="11">
        <v>1.0000000000000009E-2</v>
      </c>
      <c r="D88" s="11">
        <v>1.0000000000000009E-2</v>
      </c>
      <c r="E88" s="12"/>
      <c r="F88" s="12"/>
      <c r="G88" s="12"/>
      <c r="H88" s="12"/>
    </row>
    <row r="89" spans="1:8" ht="15.75" thickBot="1" x14ac:dyDescent="0.3">
      <c r="A89" s="5" t="s">
        <v>24</v>
      </c>
      <c r="B89" s="151" t="s">
        <v>23</v>
      </c>
      <c r="C89" s="11">
        <v>-2.0833333333333259E-3</v>
      </c>
      <c r="D89" s="11">
        <v>2.0876826722338038E-3</v>
      </c>
    </row>
    <row r="90" spans="1:8" ht="15.75" thickBot="1" x14ac:dyDescent="0.3">
      <c r="A90" s="5" t="s">
        <v>25</v>
      </c>
      <c r="B90" s="151" t="s">
        <v>23</v>
      </c>
      <c r="C90" s="11">
        <v>-1.19636963696369E-2</v>
      </c>
      <c r="D90" s="11">
        <v>-7.8339775522436872E-3</v>
      </c>
    </row>
    <row r="91" spans="1:8" ht="15.75" thickBot="1" x14ac:dyDescent="0.3">
      <c r="A91" s="20" t="s">
        <v>79</v>
      </c>
      <c r="B91" s="1241" t="s">
        <v>648</v>
      </c>
      <c r="C91" s="1242"/>
      <c r="D91" s="1242"/>
    </row>
    <row r="92" spans="1:8" ht="15.75" thickBot="1" x14ac:dyDescent="0.3">
      <c r="A92" s="7" t="s">
        <v>16</v>
      </c>
      <c r="B92" s="1243" t="s">
        <v>644</v>
      </c>
      <c r="C92" s="1244"/>
      <c r="D92" s="1244"/>
    </row>
    <row r="93" spans="1:8" ht="25.5" customHeight="1" thickBot="1" x14ac:dyDescent="0.3">
      <c r="A93" s="5" t="s">
        <v>17</v>
      </c>
      <c r="B93" s="1245" t="s">
        <v>917</v>
      </c>
      <c r="C93" s="1246"/>
      <c r="D93" s="1246"/>
    </row>
    <row r="94" spans="1:8" ht="15.75" thickBot="1" x14ac:dyDescent="0.3">
      <c r="A94" s="5" t="s">
        <v>18</v>
      </c>
      <c r="B94" s="1248" t="s">
        <v>645</v>
      </c>
      <c r="C94" s="1249"/>
      <c r="D94" s="1249"/>
    </row>
    <row r="95" spans="1:8" ht="12.75" customHeight="1" x14ac:dyDescent="0.25">
      <c r="A95" s="1250"/>
      <c r="B95" s="8">
        <v>2018</v>
      </c>
      <c r="C95" s="8">
        <v>2019</v>
      </c>
      <c r="D95" s="8">
        <v>2020</v>
      </c>
    </row>
    <row r="96" spans="1:8" ht="9" customHeight="1" thickBot="1" x14ac:dyDescent="0.3">
      <c r="A96" s="1251"/>
      <c r="B96" s="9" t="s">
        <v>10</v>
      </c>
      <c r="C96" s="9" t="s">
        <v>11</v>
      </c>
      <c r="D96" s="9" t="s">
        <v>11</v>
      </c>
    </row>
    <row r="97" spans="1:8" ht="15.75" thickBot="1" x14ac:dyDescent="0.3">
      <c r="A97" s="5" t="s">
        <v>19</v>
      </c>
      <c r="B97" s="10" t="s">
        <v>646</v>
      </c>
      <c r="C97" s="10" t="s">
        <v>646</v>
      </c>
      <c r="D97" s="10" t="s">
        <v>646</v>
      </c>
    </row>
    <row r="98" spans="1:8" ht="15.75" thickBot="1" x14ac:dyDescent="0.3">
      <c r="A98" s="5" t="s">
        <v>20</v>
      </c>
      <c r="B98" s="10">
        <v>860</v>
      </c>
      <c r="C98" s="10">
        <v>933</v>
      </c>
      <c r="D98" s="10">
        <v>860</v>
      </c>
    </row>
    <row r="99" spans="1:8" ht="15.75" thickBot="1" x14ac:dyDescent="0.3">
      <c r="A99" s="5" t="s">
        <v>21</v>
      </c>
      <c r="B99" s="10" t="s">
        <v>646</v>
      </c>
      <c r="C99" s="10" t="s">
        <v>646</v>
      </c>
      <c r="D99" s="10" t="s">
        <v>646</v>
      </c>
    </row>
    <row r="100" spans="1:8" ht="15.75" thickBot="1" x14ac:dyDescent="0.3">
      <c r="A100" s="5" t="s">
        <v>22</v>
      </c>
      <c r="B100" s="151" t="s">
        <v>23</v>
      </c>
      <c r="C100" s="11">
        <v>1.0000000000000009E-2</v>
      </c>
      <c r="D100" s="11">
        <v>1.0000000000000009E-2</v>
      </c>
      <c r="E100" s="12"/>
      <c r="F100" s="12"/>
      <c r="G100" s="12"/>
      <c r="H100" s="12"/>
    </row>
    <row r="101" spans="1:8" ht="15.75" thickBot="1" x14ac:dyDescent="0.3">
      <c r="A101" s="5" t="s">
        <v>24</v>
      </c>
      <c r="B101" s="151" t="s">
        <v>23</v>
      </c>
      <c r="C101" s="11">
        <v>8.4883720930232665E-2</v>
      </c>
      <c r="D101" s="11">
        <v>-7.8242229367631255E-2</v>
      </c>
    </row>
    <row r="102" spans="1:8" ht="15.75" thickBot="1" x14ac:dyDescent="0.3">
      <c r="A102" s="5" t="s">
        <v>25</v>
      </c>
      <c r="B102" s="151" t="s">
        <v>23</v>
      </c>
      <c r="C102" s="11">
        <v>7.4142297950725355E-2</v>
      </c>
      <c r="D102" s="11">
        <v>-8.7368543928347919E-2</v>
      </c>
    </row>
    <row r="103" spans="1:8" ht="15.75" thickBot="1" x14ac:dyDescent="0.3">
      <c r="A103" s="20" t="s">
        <v>79</v>
      </c>
      <c r="B103" s="1241" t="s">
        <v>649</v>
      </c>
      <c r="C103" s="1242"/>
      <c r="D103" s="1242"/>
    </row>
    <row r="104" spans="1:8" ht="15.75" thickBot="1" x14ac:dyDescent="0.3">
      <c r="A104" s="7" t="s">
        <v>16</v>
      </c>
      <c r="B104" s="1243" t="s">
        <v>644</v>
      </c>
      <c r="C104" s="1244"/>
      <c r="D104" s="1244"/>
    </row>
    <row r="105" spans="1:8" ht="25.5" customHeight="1" thickBot="1" x14ac:dyDescent="0.3">
      <c r="A105" s="5" t="s">
        <v>17</v>
      </c>
      <c r="B105" s="1245" t="s">
        <v>917</v>
      </c>
      <c r="C105" s="1246"/>
      <c r="D105" s="1246"/>
    </row>
    <row r="106" spans="1:8" ht="15.75" thickBot="1" x14ac:dyDescent="0.3">
      <c r="A106" s="5" t="s">
        <v>18</v>
      </c>
      <c r="B106" s="1248" t="s">
        <v>645</v>
      </c>
      <c r="C106" s="1249"/>
      <c r="D106" s="1249"/>
    </row>
    <row r="107" spans="1:8" ht="12.75" customHeight="1" x14ac:dyDescent="0.25">
      <c r="A107" s="1250"/>
      <c r="B107" s="8">
        <v>2018</v>
      </c>
      <c r="C107" s="8">
        <v>2019</v>
      </c>
      <c r="D107" s="8">
        <v>2020</v>
      </c>
    </row>
    <row r="108" spans="1:8" ht="9" customHeight="1" thickBot="1" x14ac:dyDescent="0.3">
      <c r="A108" s="1251"/>
      <c r="B108" s="9" t="s">
        <v>10</v>
      </c>
      <c r="C108" s="9" t="s">
        <v>11</v>
      </c>
      <c r="D108" s="9" t="s">
        <v>11</v>
      </c>
    </row>
    <row r="109" spans="1:8" ht="15.75" thickBot="1" x14ac:dyDescent="0.3">
      <c r="A109" s="5" t="s">
        <v>19</v>
      </c>
      <c r="B109" s="10" t="s">
        <v>646</v>
      </c>
      <c r="C109" s="10" t="s">
        <v>646</v>
      </c>
      <c r="D109" s="10" t="s">
        <v>646</v>
      </c>
    </row>
    <row r="110" spans="1:8" ht="15.75" thickBot="1" x14ac:dyDescent="0.3">
      <c r="A110" s="5" t="s">
        <v>20</v>
      </c>
      <c r="B110" s="10"/>
      <c r="C110" s="10">
        <v>7600</v>
      </c>
      <c r="D110" s="10">
        <v>10470</v>
      </c>
    </row>
    <row r="111" spans="1:8" ht="15.75" thickBot="1" x14ac:dyDescent="0.3">
      <c r="A111" s="5" t="s">
        <v>21</v>
      </c>
      <c r="B111" s="10" t="s">
        <v>646</v>
      </c>
      <c r="C111" s="10" t="s">
        <v>646</v>
      </c>
      <c r="D111" s="10" t="s">
        <v>646</v>
      </c>
    </row>
    <row r="112" spans="1:8" ht="15.75" thickBot="1" x14ac:dyDescent="0.3">
      <c r="A112" s="5" t="s">
        <v>22</v>
      </c>
      <c r="B112" s="151" t="s">
        <v>23</v>
      </c>
      <c r="C112" s="11">
        <v>1.0000000000000009E-2</v>
      </c>
      <c r="D112" s="11">
        <v>1.0000000000000009E-2</v>
      </c>
      <c r="E112" s="12"/>
      <c r="F112" s="12"/>
      <c r="G112" s="12"/>
      <c r="H112" s="12"/>
    </row>
    <row r="113" spans="1:8" ht="15.75" thickBot="1" x14ac:dyDescent="0.3">
      <c r="A113" s="5" t="s">
        <v>24</v>
      </c>
      <c r="B113" s="151" t="s">
        <v>23</v>
      </c>
      <c r="C113" s="11" t="e">
        <v>#DIV/0!</v>
      </c>
      <c r="D113" s="11">
        <v>0.37763157894736832</v>
      </c>
    </row>
    <row r="114" spans="1:8" ht="15.75" thickBot="1" x14ac:dyDescent="0.3">
      <c r="A114" s="5" t="s">
        <v>25</v>
      </c>
      <c r="B114" s="151" t="s">
        <v>23</v>
      </c>
      <c r="C114" s="11" t="e">
        <v>#DIV/0!</v>
      </c>
      <c r="D114" s="11">
        <v>0.36399166232412705</v>
      </c>
    </row>
    <row r="115" spans="1:8" ht="15.75" thickBot="1" x14ac:dyDescent="0.3">
      <c r="A115" s="20" t="s">
        <v>79</v>
      </c>
      <c r="B115" s="1241" t="s">
        <v>650</v>
      </c>
      <c r="C115" s="1242"/>
      <c r="D115" s="1242"/>
    </row>
    <row r="116" spans="1:8" ht="15.75" thickBot="1" x14ac:dyDescent="0.3">
      <c r="A116" s="7" t="s">
        <v>16</v>
      </c>
      <c r="B116" s="1243" t="s">
        <v>644</v>
      </c>
      <c r="C116" s="1244"/>
      <c r="D116" s="1244"/>
    </row>
    <row r="117" spans="1:8" ht="25.5" customHeight="1" thickBot="1" x14ac:dyDescent="0.3">
      <c r="A117" s="5" t="s">
        <v>17</v>
      </c>
      <c r="B117" s="1245" t="s">
        <v>917</v>
      </c>
      <c r="C117" s="1246"/>
      <c r="D117" s="1246"/>
    </row>
    <row r="118" spans="1:8" ht="15.75" thickBot="1" x14ac:dyDescent="0.3">
      <c r="A118" s="5" t="s">
        <v>18</v>
      </c>
      <c r="B118" s="1248" t="s">
        <v>645</v>
      </c>
      <c r="C118" s="1249"/>
      <c r="D118" s="1249"/>
    </row>
    <row r="119" spans="1:8" ht="12.75" customHeight="1" x14ac:dyDescent="0.25">
      <c r="A119" s="1250"/>
      <c r="B119" s="8">
        <v>2018</v>
      </c>
      <c r="C119" s="8">
        <v>2019</v>
      </c>
      <c r="D119" s="8">
        <v>2020</v>
      </c>
    </row>
    <row r="120" spans="1:8" ht="9" customHeight="1" thickBot="1" x14ac:dyDescent="0.3">
      <c r="A120" s="1251"/>
      <c r="B120" s="9" t="s">
        <v>10</v>
      </c>
      <c r="C120" s="9" t="s">
        <v>11</v>
      </c>
      <c r="D120" s="9" t="s">
        <v>11</v>
      </c>
    </row>
    <row r="121" spans="1:8" ht="15.75" thickBot="1" x14ac:dyDescent="0.3">
      <c r="A121" s="5" t="s">
        <v>19</v>
      </c>
      <c r="B121" s="10" t="s">
        <v>646</v>
      </c>
      <c r="C121" s="10" t="s">
        <v>646</v>
      </c>
      <c r="D121" s="10" t="s">
        <v>646</v>
      </c>
    </row>
    <row r="122" spans="1:8" ht="15.75" thickBot="1" x14ac:dyDescent="0.3">
      <c r="A122" s="5" t="s">
        <v>20</v>
      </c>
      <c r="B122" s="10"/>
      <c r="C122" s="10">
        <v>400</v>
      </c>
      <c r="D122" s="10">
        <v>200</v>
      </c>
    </row>
    <row r="123" spans="1:8" ht="15.75" thickBot="1" x14ac:dyDescent="0.3">
      <c r="A123" s="5" t="s">
        <v>21</v>
      </c>
      <c r="B123" s="10" t="s">
        <v>646</v>
      </c>
      <c r="C123" s="10" t="s">
        <v>646</v>
      </c>
      <c r="D123" s="10" t="s">
        <v>646</v>
      </c>
    </row>
    <row r="124" spans="1:8" ht="15.75" thickBot="1" x14ac:dyDescent="0.3">
      <c r="A124" s="5" t="s">
        <v>22</v>
      </c>
      <c r="B124" s="151" t="s">
        <v>23</v>
      </c>
      <c r="C124" s="11">
        <v>1.0000000000000009E-2</v>
      </c>
      <c r="D124" s="11">
        <v>1.0000000000000009E-2</v>
      </c>
      <c r="E124" s="12"/>
      <c r="F124" s="12"/>
      <c r="G124" s="12"/>
      <c r="H124" s="12"/>
    </row>
    <row r="125" spans="1:8" ht="15.75" thickBot="1" x14ac:dyDescent="0.3">
      <c r="A125" s="5" t="s">
        <v>24</v>
      </c>
      <c r="B125" s="151" t="s">
        <v>23</v>
      </c>
      <c r="C125" s="11" t="e">
        <v>#DIV/0!</v>
      </c>
      <c r="D125" s="11">
        <v>-0.5</v>
      </c>
    </row>
    <row r="126" spans="1:8" ht="15.75" thickBot="1" x14ac:dyDescent="0.3">
      <c r="A126" s="5" t="s">
        <v>25</v>
      </c>
      <c r="B126" s="151" t="s">
        <v>23</v>
      </c>
      <c r="C126" s="11" t="e">
        <v>#DIV/0!</v>
      </c>
      <c r="D126" s="11">
        <v>-0.50495049504950495</v>
      </c>
    </row>
    <row r="127" spans="1:8" ht="15.75" thickBot="1" x14ac:dyDescent="0.3">
      <c r="A127" s="1252" t="s">
        <v>633</v>
      </c>
      <c r="B127" s="1253"/>
      <c r="C127" s="1253"/>
      <c r="D127" s="1253"/>
    </row>
    <row r="128" spans="1:8" ht="12.75" customHeight="1" x14ac:dyDescent="0.25">
      <c r="A128" s="1250"/>
      <c r="B128" s="8">
        <v>2018</v>
      </c>
      <c r="C128" s="8">
        <v>2019</v>
      </c>
      <c r="D128" s="8">
        <v>2020</v>
      </c>
    </row>
    <row r="129" spans="1:4" ht="9" customHeight="1" thickBot="1" x14ac:dyDescent="0.3">
      <c r="A129" s="1251"/>
      <c r="B129" s="9" t="s">
        <v>10</v>
      </c>
      <c r="C129" s="9" t="s">
        <v>11</v>
      </c>
      <c r="D129" s="9" t="s">
        <v>11</v>
      </c>
    </row>
    <row r="130" spans="1:4" ht="15.75" thickBot="1" x14ac:dyDescent="0.3">
      <c r="A130" s="13" t="s">
        <v>58</v>
      </c>
      <c r="B130" s="14"/>
      <c r="C130" s="14"/>
      <c r="D130" s="14"/>
    </row>
    <row r="131" spans="1:4" ht="15.75" thickBot="1" x14ac:dyDescent="0.3">
      <c r="A131" s="13" t="s">
        <v>59</v>
      </c>
      <c r="B131" s="15">
        <v>1820</v>
      </c>
      <c r="C131" s="15">
        <v>9891</v>
      </c>
      <c r="D131" s="15">
        <v>12490</v>
      </c>
    </row>
    <row r="132" spans="1:4" ht="15.75" thickBot="1" x14ac:dyDescent="0.3">
      <c r="A132" s="16" t="s">
        <v>40</v>
      </c>
      <c r="B132" s="15">
        <v>1820</v>
      </c>
      <c r="C132" s="15">
        <v>9891</v>
      </c>
      <c r="D132" s="15">
        <v>12490</v>
      </c>
    </row>
    <row r="133" spans="1:4" ht="15.75" hidden="1" thickBot="1" x14ac:dyDescent="0.3">
      <c r="A133" s="1254" t="s">
        <v>60</v>
      </c>
      <c r="B133" s="1257" t="s">
        <v>921</v>
      </c>
      <c r="C133" s="1258"/>
      <c r="D133" s="1258"/>
    </row>
    <row r="134" spans="1:4" ht="15.75" hidden="1" thickBot="1" x14ac:dyDescent="0.3">
      <c r="A134" s="1255"/>
      <c r="B134" s="1259"/>
      <c r="C134" s="1260"/>
      <c r="D134" s="1260"/>
    </row>
    <row r="135" spans="1:4" ht="33.75" hidden="1" customHeight="1" thickBot="1" x14ac:dyDescent="0.3">
      <c r="A135" s="1256"/>
      <c r="B135" s="1261"/>
      <c r="C135" s="1262"/>
      <c r="D135" s="1262"/>
    </row>
    <row r="136" spans="1:4" ht="15.75" hidden="1" thickBot="1" x14ac:dyDescent="0.3">
      <c r="A136" s="20" t="s">
        <v>61</v>
      </c>
      <c r="B136" s="1241" t="s">
        <v>124</v>
      </c>
      <c r="C136" s="1242"/>
      <c r="D136" s="1242"/>
    </row>
    <row r="137" spans="1:4" ht="15.75" hidden="1" thickBot="1" x14ac:dyDescent="0.3">
      <c r="A137" s="7" t="s">
        <v>123</v>
      </c>
      <c r="B137" s="1243" t="s">
        <v>106</v>
      </c>
      <c r="C137" s="1244"/>
      <c r="D137" s="1244"/>
    </row>
    <row r="138" spans="1:4" ht="17.25" hidden="1" customHeight="1" thickBot="1" x14ac:dyDescent="0.3">
      <c r="A138" s="5" t="s">
        <v>17</v>
      </c>
      <c r="B138" s="1245" t="s">
        <v>106</v>
      </c>
      <c r="C138" s="1246"/>
      <c r="D138" s="1246"/>
    </row>
    <row r="139" spans="1:4" ht="15.75" hidden="1" thickBot="1" x14ac:dyDescent="0.3">
      <c r="A139" s="5" t="s">
        <v>18</v>
      </c>
      <c r="B139" s="1248" t="s">
        <v>106</v>
      </c>
      <c r="C139" s="1249"/>
      <c r="D139" s="1249"/>
    </row>
    <row r="140" spans="1:4" ht="12.75" hidden="1" customHeight="1" x14ac:dyDescent="0.25">
      <c r="A140" s="1250"/>
      <c r="B140" s="8">
        <v>2018</v>
      </c>
      <c r="C140" s="8">
        <v>2019</v>
      </c>
      <c r="D140" s="8">
        <v>2020</v>
      </c>
    </row>
    <row r="141" spans="1:4" ht="9" hidden="1" customHeight="1" thickBot="1" x14ac:dyDescent="0.3">
      <c r="A141" s="1251"/>
      <c r="B141" s="9" t="s">
        <v>10</v>
      </c>
      <c r="C141" s="9" t="s">
        <v>11</v>
      </c>
      <c r="D141" s="9" t="s">
        <v>11</v>
      </c>
    </row>
    <row r="142" spans="1:4" ht="15.75" hidden="1" thickBot="1" x14ac:dyDescent="0.3">
      <c r="A142" s="5" t="s">
        <v>19</v>
      </c>
      <c r="B142" s="10"/>
      <c r="C142" s="10"/>
      <c r="D142" s="10"/>
    </row>
    <row r="143" spans="1:4" ht="15.75" hidden="1" thickBot="1" x14ac:dyDescent="0.3">
      <c r="A143" s="5" t="s">
        <v>20</v>
      </c>
      <c r="B143" s="10"/>
      <c r="C143" s="10"/>
      <c r="D143" s="10"/>
    </row>
    <row r="144" spans="1:4" ht="15.75" hidden="1" thickBot="1" x14ac:dyDescent="0.3">
      <c r="A144" s="5" t="s">
        <v>21</v>
      </c>
      <c r="B144" s="10" t="e">
        <v>#DIV/0!</v>
      </c>
      <c r="C144" s="10" t="e">
        <v>#DIV/0!</v>
      </c>
      <c r="D144" s="10" t="e">
        <v>#DIV/0!</v>
      </c>
    </row>
    <row r="145" spans="1:8" ht="15.75" hidden="1" thickBot="1" x14ac:dyDescent="0.3">
      <c r="A145" s="5" t="s">
        <v>22</v>
      </c>
      <c r="B145" s="151" t="s">
        <v>23</v>
      </c>
      <c r="C145" s="11" t="e">
        <v>#DIV/0!</v>
      </c>
      <c r="D145" s="11" t="e">
        <v>#DIV/0!</v>
      </c>
      <c r="E145" s="12"/>
      <c r="F145" s="12"/>
      <c r="G145" s="12"/>
      <c r="H145" s="12"/>
    </row>
    <row r="146" spans="1:8" ht="15.75" hidden="1" thickBot="1" x14ac:dyDescent="0.3">
      <c r="A146" s="5" t="s">
        <v>24</v>
      </c>
      <c r="B146" s="151" t="s">
        <v>23</v>
      </c>
      <c r="C146" s="11" t="e">
        <v>#DIV/0!</v>
      </c>
      <c r="D146" s="11" t="e">
        <v>#DIV/0!</v>
      </c>
    </row>
    <row r="147" spans="1:8" ht="15.75" hidden="1" thickBot="1" x14ac:dyDescent="0.3">
      <c r="A147" s="5" t="s">
        <v>25</v>
      </c>
      <c r="B147" s="151" t="s">
        <v>23</v>
      </c>
      <c r="C147" s="11" t="e">
        <v>#DIV/0!</v>
      </c>
      <c r="D147" s="11" t="e">
        <v>#DIV/0!</v>
      </c>
    </row>
    <row r="148" spans="1:8" ht="15.75" hidden="1" thickBot="1" x14ac:dyDescent="0.3">
      <c r="A148" s="1252" t="s">
        <v>635</v>
      </c>
      <c r="B148" s="1253"/>
      <c r="C148" s="1253"/>
      <c r="D148" s="1253"/>
    </row>
    <row r="149" spans="1:8" ht="12.75" hidden="1" customHeight="1" x14ac:dyDescent="0.25">
      <c r="A149" s="1250"/>
      <c r="B149" s="8">
        <v>2018</v>
      </c>
      <c r="C149" s="8">
        <v>2019</v>
      </c>
      <c r="D149" s="8">
        <v>2020</v>
      </c>
    </row>
    <row r="150" spans="1:8" ht="9" hidden="1" customHeight="1" thickBot="1" x14ac:dyDescent="0.3">
      <c r="A150" s="1251"/>
      <c r="B150" s="9" t="s">
        <v>10</v>
      </c>
      <c r="C150" s="9" t="s">
        <v>11</v>
      </c>
      <c r="D150" s="9" t="s">
        <v>11</v>
      </c>
    </row>
    <row r="151" spans="1:8" ht="15.75" hidden="1" thickBot="1" x14ac:dyDescent="0.3">
      <c r="A151" s="13" t="s">
        <v>58</v>
      </c>
      <c r="B151" s="14"/>
      <c r="C151" s="14"/>
      <c r="D151" s="14"/>
    </row>
    <row r="152" spans="1:8" ht="15.75" hidden="1" thickBot="1" x14ac:dyDescent="0.3">
      <c r="A152" s="13" t="s">
        <v>59</v>
      </c>
      <c r="B152" s="15"/>
      <c r="C152" s="14"/>
      <c r="D152" s="14"/>
    </row>
    <row r="153" spans="1:8" ht="15.75" hidden="1" thickBot="1" x14ac:dyDescent="0.3">
      <c r="A153" s="16" t="s">
        <v>74</v>
      </c>
      <c r="B153" s="15">
        <v>0</v>
      </c>
      <c r="C153" s="15">
        <v>0</v>
      </c>
      <c r="D153" s="15">
        <v>0</v>
      </c>
    </row>
    <row r="154" spans="1:8" ht="15.75" thickBot="1" x14ac:dyDescent="0.3">
      <c r="A154" s="1275" t="s">
        <v>63</v>
      </c>
      <c r="B154" s="1276"/>
      <c r="C154" s="1276"/>
      <c r="D154" s="1276"/>
    </row>
    <row r="155" spans="1:8" ht="15.75" thickBot="1" x14ac:dyDescent="0.3">
      <c r="A155" s="1275" t="s">
        <v>64</v>
      </c>
      <c r="B155" s="1276"/>
      <c r="C155" s="1276"/>
      <c r="D155" s="1276"/>
    </row>
    <row r="156" spans="1:8" ht="15.75" thickBot="1" x14ac:dyDescent="0.3">
      <c r="A156" s="20" t="s">
        <v>61</v>
      </c>
      <c r="B156" s="1241" t="s">
        <v>920</v>
      </c>
      <c r="C156" s="1242"/>
      <c r="D156" s="1242"/>
    </row>
    <row r="157" spans="1:8" ht="15.75" thickBot="1" x14ac:dyDescent="0.3">
      <c r="A157" s="7" t="s">
        <v>16</v>
      </c>
      <c r="B157" s="1243" t="s">
        <v>644</v>
      </c>
      <c r="C157" s="1244"/>
      <c r="D157" s="1244"/>
    </row>
    <row r="158" spans="1:8" ht="29.25" customHeight="1" thickBot="1" x14ac:dyDescent="0.3">
      <c r="A158" s="5" t="s">
        <v>17</v>
      </c>
      <c r="B158" s="1245" t="s">
        <v>917</v>
      </c>
      <c r="C158" s="1246"/>
      <c r="D158" s="1246"/>
    </row>
    <row r="159" spans="1:8" ht="15.75" thickBot="1" x14ac:dyDescent="0.3">
      <c r="A159" s="5" t="s">
        <v>18</v>
      </c>
      <c r="B159" s="1248" t="s">
        <v>645</v>
      </c>
      <c r="C159" s="1249"/>
      <c r="D159" s="1249"/>
    </row>
    <row r="160" spans="1:8" ht="12.75" customHeight="1" x14ac:dyDescent="0.25">
      <c r="A160" s="1250"/>
      <c r="B160" s="8">
        <v>2018</v>
      </c>
      <c r="C160" s="8">
        <v>2019</v>
      </c>
      <c r="D160" s="8">
        <v>2020</v>
      </c>
    </row>
    <row r="161" spans="1:8" ht="9" customHeight="1" thickBot="1" x14ac:dyDescent="0.3">
      <c r="A161" s="1251"/>
      <c r="B161" s="9" t="s">
        <v>10</v>
      </c>
      <c r="C161" s="9" t="s">
        <v>11</v>
      </c>
      <c r="D161" s="9" t="s">
        <v>11</v>
      </c>
    </row>
    <row r="162" spans="1:8" ht="15.75" thickBot="1" x14ac:dyDescent="0.3">
      <c r="A162" s="5" t="s">
        <v>19</v>
      </c>
      <c r="B162" s="10" t="s">
        <v>646</v>
      </c>
      <c r="C162" s="10" t="s">
        <v>646</v>
      </c>
      <c r="D162" s="10" t="s">
        <v>646</v>
      </c>
    </row>
    <row r="163" spans="1:8" ht="15.75" thickBot="1" x14ac:dyDescent="0.3">
      <c r="A163" s="5" t="s">
        <v>20</v>
      </c>
      <c r="B163" s="10"/>
      <c r="C163" s="10">
        <v>4311</v>
      </c>
      <c r="D163" s="10"/>
    </row>
    <row r="164" spans="1:8" ht="15.75" thickBot="1" x14ac:dyDescent="0.3">
      <c r="A164" s="5" t="s">
        <v>21</v>
      </c>
      <c r="B164" s="10" t="s">
        <v>646</v>
      </c>
      <c r="C164" s="10" t="s">
        <v>646</v>
      </c>
      <c r="D164" s="10" t="s">
        <v>646</v>
      </c>
    </row>
    <row r="165" spans="1:8" ht="15.75" thickBot="1" x14ac:dyDescent="0.3">
      <c r="A165" s="5" t="s">
        <v>22</v>
      </c>
      <c r="B165" s="151" t="s">
        <v>23</v>
      </c>
      <c r="C165" s="11">
        <v>1.0000000000000009E-2</v>
      </c>
      <c r="D165" s="11">
        <v>1.0000000000000009E-2</v>
      </c>
      <c r="E165" s="12"/>
      <c r="F165" s="12"/>
      <c r="G165" s="12"/>
      <c r="H165" s="12"/>
    </row>
    <row r="166" spans="1:8" ht="15.75" thickBot="1" x14ac:dyDescent="0.3">
      <c r="A166" s="5" t="s">
        <v>24</v>
      </c>
      <c r="B166" s="151" t="s">
        <v>23</v>
      </c>
      <c r="C166" s="11" t="e">
        <v>#DIV/0!</v>
      </c>
      <c r="D166" s="11">
        <v>-1</v>
      </c>
    </row>
    <row r="167" spans="1:8" ht="15.75" thickBot="1" x14ac:dyDescent="0.3">
      <c r="A167" s="5" t="s">
        <v>25</v>
      </c>
      <c r="B167" s="151" t="s">
        <v>23</v>
      </c>
      <c r="C167" s="11" t="e">
        <v>#DIV/0!</v>
      </c>
      <c r="D167" s="11">
        <v>-1</v>
      </c>
    </row>
    <row r="168" spans="1:8" ht="15.75" thickBot="1" x14ac:dyDescent="0.3">
      <c r="A168" s="20" t="s">
        <v>61</v>
      </c>
      <c r="B168" s="1241" t="s">
        <v>919</v>
      </c>
      <c r="C168" s="1242"/>
      <c r="D168" s="1242"/>
    </row>
    <row r="169" spans="1:8" ht="15.75" thickBot="1" x14ac:dyDescent="0.3">
      <c r="A169" s="7" t="s">
        <v>16</v>
      </c>
      <c r="B169" s="1243" t="s">
        <v>644</v>
      </c>
      <c r="C169" s="1244"/>
      <c r="D169" s="1244"/>
    </row>
    <row r="170" spans="1:8" ht="29.25" customHeight="1" thickBot="1" x14ac:dyDescent="0.3">
      <c r="A170" s="5" t="s">
        <v>17</v>
      </c>
      <c r="B170" s="1245" t="s">
        <v>917</v>
      </c>
      <c r="C170" s="1246"/>
      <c r="D170" s="1246"/>
    </row>
    <row r="171" spans="1:8" ht="15.75" thickBot="1" x14ac:dyDescent="0.3">
      <c r="A171" s="5" t="s">
        <v>18</v>
      </c>
      <c r="B171" s="1248" t="s">
        <v>645</v>
      </c>
      <c r="C171" s="1249"/>
      <c r="D171" s="1249"/>
    </row>
    <row r="172" spans="1:8" ht="12.75" customHeight="1" x14ac:dyDescent="0.25">
      <c r="A172" s="1250"/>
      <c r="B172" s="8">
        <v>2018</v>
      </c>
      <c r="C172" s="8">
        <v>2019</v>
      </c>
      <c r="D172" s="8">
        <v>2020</v>
      </c>
    </row>
    <row r="173" spans="1:8" ht="9" customHeight="1" thickBot="1" x14ac:dyDescent="0.3">
      <c r="A173" s="1251"/>
      <c r="B173" s="9" t="s">
        <v>10</v>
      </c>
      <c r="C173" s="9" t="s">
        <v>11</v>
      </c>
      <c r="D173" s="9" t="s">
        <v>11</v>
      </c>
    </row>
    <row r="174" spans="1:8" ht="15.75" thickBot="1" x14ac:dyDescent="0.3">
      <c r="A174" s="5" t="s">
        <v>19</v>
      </c>
      <c r="B174" s="10" t="s">
        <v>646</v>
      </c>
      <c r="C174" s="10" t="s">
        <v>646</v>
      </c>
      <c r="D174" s="10" t="s">
        <v>646</v>
      </c>
    </row>
    <row r="175" spans="1:8" ht="15.75" thickBot="1" x14ac:dyDescent="0.3">
      <c r="A175" s="5" t="s">
        <v>20</v>
      </c>
      <c r="B175" s="10"/>
      <c r="C175" s="10">
        <v>11610</v>
      </c>
      <c r="D175" s="10">
        <v>8940</v>
      </c>
    </row>
    <row r="176" spans="1:8" ht="15.75" thickBot="1" x14ac:dyDescent="0.3">
      <c r="A176" s="5" t="s">
        <v>21</v>
      </c>
      <c r="B176" s="10" t="s">
        <v>646</v>
      </c>
      <c r="C176" s="10" t="s">
        <v>646</v>
      </c>
      <c r="D176" s="10" t="s">
        <v>646</v>
      </c>
    </row>
    <row r="177" spans="1:8" ht="15.75" thickBot="1" x14ac:dyDescent="0.3">
      <c r="A177" s="5" t="s">
        <v>22</v>
      </c>
      <c r="B177" s="151" t="s">
        <v>23</v>
      </c>
      <c r="C177" s="11">
        <v>1.0000000000000009E-2</v>
      </c>
      <c r="D177" s="11">
        <v>1.0000000000000009E-2</v>
      </c>
      <c r="E177" s="12"/>
      <c r="F177" s="12"/>
      <c r="G177" s="12"/>
      <c r="H177" s="12"/>
    </row>
    <row r="178" spans="1:8" ht="15.75" thickBot="1" x14ac:dyDescent="0.3">
      <c r="A178" s="5" t="s">
        <v>24</v>
      </c>
      <c r="B178" s="151" t="s">
        <v>23</v>
      </c>
      <c r="C178" s="11" t="e">
        <v>#DIV/0!</v>
      </c>
      <c r="D178" s="11">
        <v>-0.22997416020671835</v>
      </c>
    </row>
    <row r="179" spans="1:8" ht="15.75" thickBot="1" x14ac:dyDescent="0.3">
      <c r="A179" s="5" t="s">
        <v>25</v>
      </c>
      <c r="B179" s="151" t="s">
        <v>23</v>
      </c>
      <c r="C179" s="11" t="e">
        <v>#DIV/0!</v>
      </c>
      <c r="D179" s="11">
        <v>-0.23759817842249342</v>
      </c>
    </row>
    <row r="180" spans="1:8" ht="15.75" thickBot="1" x14ac:dyDescent="0.3">
      <c r="A180" s="20" t="s">
        <v>61</v>
      </c>
      <c r="B180" s="1241" t="s">
        <v>651</v>
      </c>
      <c r="C180" s="1242"/>
      <c r="D180" s="1242"/>
    </row>
    <row r="181" spans="1:8" ht="15.75" thickBot="1" x14ac:dyDescent="0.3">
      <c r="A181" s="7" t="s">
        <v>16</v>
      </c>
      <c r="B181" s="1243" t="s">
        <v>644</v>
      </c>
      <c r="C181" s="1244"/>
      <c r="D181" s="1244"/>
    </row>
    <row r="182" spans="1:8" ht="29.25" customHeight="1" thickBot="1" x14ac:dyDescent="0.3">
      <c r="A182" s="5" t="s">
        <v>17</v>
      </c>
      <c r="B182" s="1245" t="s">
        <v>917</v>
      </c>
      <c r="C182" s="1246"/>
      <c r="D182" s="1246"/>
    </row>
    <row r="183" spans="1:8" ht="15.75" thickBot="1" x14ac:dyDescent="0.3">
      <c r="A183" s="5" t="s">
        <v>18</v>
      </c>
      <c r="B183" s="1248" t="s">
        <v>645</v>
      </c>
      <c r="C183" s="1249"/>
      <c r="D183" s="1249"/>
    </row>
    <row r="184" spans="1:8" ht="12.75" customHeight="1" x14ac:dyDescent="0.25">
      <c r="A184" s="1250"/>
      <c r="B184" s="8">
        <v>2018</v>
      </c>
      <c r="C184" s="8">
        <v>2019</v>
      </c>
      <c r="D184" s="8">
        <v>2020</v>
      </c>
    </row>
    <row r="185" spans="1:8" ht="9" customHeight="1" thickBot="1" x14ac:dyDescent="0.3">
      <c r="A185" s="1251"/>
      <c r="B185" s="9" t="s">
        <v>10</v>
      </c>
      <c r="C185" s="9" t="s">
        <v>11</v>
      </c>
      <c r="D185" s="9" t="s">
        <v>11</v>
      </c>
    </row>
    <row r="186" spans="1:8" ht="15.75" thickBot="1" x14ac:dyDescent="0.3">
      <c r="A186" s="5" t="s">
        <v>19</v>
      </c>
      <c r="B186" s="10" t="s">
        <v>646</v>
      </c>
      <c r="C186" s="10" t="s">
        <v>646</v>
      </c>
      <c r="D186" s="10" t="s">
        <v>646</v>
      </c>
    </row>
    <row r="187" spans="1:8" ht="15.75" thickBot="1" x14ac:dyDescent="0.3">
      <c r="A187" s="5" t="s">
        <v>20</v>
      </c>
      <c r="B187" s="10">
        <v>19500</v>
      </c>
      <c r="C187" s="10">
        <v>24000</v>
      </c>
      <c r="D187" s="10">
        <v>28500</v>
      </c>
    </row>
    <row r="188" spans="1:8" ht="15.75" thickBot="1" x14ac:dyDescent="0.3">
      <c r="A188" s="5" t="s">
        <v>21</v>
      </c>
      <c r="B188" s="10" t="s">
        <v>646</v>
      </c>
      <c r="C188" s="10" t="s">
        <v>646</v>
      </c>
      <c r="D188" s="10" t="s">
        <v>646</v>
      </c>
    </row>
    <row r="189" spans="1:8" ht="15.75" thickBot="1" x14ac:dyDescent="0.3">
      <c r="A189" s="5" t="s">
        <v>22</v>
      </c>
      <c r="B189" s="151" t="s">
        <v>23</v>
      </c>
      <c r="C189" s="11">
        <v>1.0000000000000009E-2</v>
      </c>
      <c r="D189" s="11">
        <v>1.0000000000000009E-2</v>
      </c>
      <c r="E189" s="12"/>
      <c r="F189" s="12"/>
      <c r="G189" s="12"/>
      <c r="H189" s="12"/>
    </row>
    <row r="190" spans="1:8" ht="15.75" thickBot="1" x14ac:dyDescent="0.3">
      <c r="A190" s="5" t="s">
        <v>24</v>
      </c>
      <c r="B190" s="151" t="s">
        <v>23</v>
      </c>
      <c r="C190" s="11">
        <v>0.23076923076923084</v>
      </c>
      <c r="D190" s="11">
        <v>0.1875</v>
      </c>
    </row>
    <row r="191" spans="1:8" ht="15.75" thickBot="1" x14ac:dyDescent="0.3">
      <c r="A191" s="5" t="s">
        <v>25</v>
      </c>
      <c r="B191" s="151" t="s">
        <v>23</v>
      </c>
      <c r="C191" s="11">
        <v>0.21858339680121852</v>
      </c>
      <c r="D191" s="11">
        <v>0.17574257425742568</v>
      </c>
    </row>
    <row r="192" spans="1:8" ht="15.75" thickBot="1" x14ac:dyDescent="0.3">
      <c r="A192" s="20" t="s">
        <v>61</v>
      </c>
      <c r="B192" s="1241" t="s">
        <v>918</v>
      </c>
      <c r="C192" s="1242"/>
      <c r="D192" s="1242"/>
    </row>
    <row r="193" spans="1:8" ht="15.75" thickBot="1" x14ac:dyDescent="0.3">
      <c r="A193" s="7" t="s">
        <v>16</v>
      </c>
      <c r="B193" s="1243" t="s">
        <v>644</v>
      </c>
      <c r="C193" s="1244"/>
      <c r="D193" s="1244"/>
    </row>
    <row r="194" spans="1:8" ht="29.25" customHeight="1" thickBot="1" x14ac:dyDescent="0.3">
      <c r="A194" s="5" t="s">
        <v>17</v>
      </c>
      <c r="B194" s="1245" t="s">
        <v>917</v>
      </c>
      <c r="C194" s="1246"/>
      <c r="D194" s="1246"/>
    </row>
    <row r="195" spans="1:8" ht="15.75" thickBot="1" x14ac:dyDescent="0.3">
      <c r="A195" s="5" t="s">
        <v>18</v>
      </c>
      <c r="B195" s="1248" t="s">
        <v>645</v>
      </c>
      <c r="C195" s="1249"/>
      <c r="D195" s="1249"/>
    </row>
    <row r="196" spans="1:8" ht="12.75" customHeight="1" x14ac:dyDescent="0.25">
      <c r="A196" s="1250"/>
      <c r="B196" s="8">
        <v>2018</v>
      </c>
      <c r="C196" s="8">
        <v>2019</v>
      </c>
      <c r="D196" s="8">
        <v>2020</v>
      </c>
    </row>
    <row r="197" spans="1:8" ht="9" customHeight="1" thickBot="1" x14ac:dyDescent="0.3">
      <c r="A197" s="1251"/>
      <c r="B197" s="9" t="s">
        <v>10</v>
      </c>
      <c r="C197" s="9" t="s">
        <v>11</v>
      </c>
      <c r="D197" s="9" t="s">
        <v>11</v>
      </c>
    </row>
    <row r="198" spans="1:8" ht="15.75" thickBot="1" x14ac:dyDescent="0.3">
      <c r="A198" s="5" t="s">
        <v>19</v>
      </c>
      <c r="B198" s="10" t="s">
        <v>646</v>
      </c>
      <c r="C198" s="10" t="s">
        <v>646</v>
      </c>
      <c r="D198" s="10" t="s">
        <v>646</v>
      </c>
    </row>
    <row r="199" spans="1:8" ht="15.75" thickBot="1" x14ac:dyDescent="0.3">
      <c r="A199" s="5" t="s">
        <v>20</v>
      </c>
      <c r="B199" s="10">
        <v>1140</v>
      </c>
      <c r="C199" s="10">
        <v>188</v>
      </c>
      <c r="D199" s="10">
        <v>69.5</v>
      </c>
    </row>
    <row r="200" spans="1:8" ht="15.75" thickBot="1" x14ac:dyDescent="0.3">
      <c r="A200" s="5" t="s">
        <v>21</v>
      </c>
      <c r="B200" s="10" t="s">
        <v>646</v>
      </c>
      <c r="C200" s="10" t="s">
        <v>646</v>
      </c>
      <c r="D200" s="10" t="s">
        <v>646</v>
      </c>
    </row>
    <row r="201" spans="1:8" ht="15.75" thickBot="1" x14ac:dyDescent="0.3">
      <c r="A201" s="5" t="s">
        <v>22</v>
      </c>
      <c r="B201" s="151" t="s">
        <v>23</v>
      </c>
      <c r="C201" s="11">
        <v>1.0000000000000009E-2</v>
      </c>
      <c r="D201" s="11">
        <v>1.0000000000000009E-2</v>
      </c>
      <c r="E201" s="12"/>
      <c r="F201" s="12"/>
      <c r="G201" s="12"/>
      <c r="H201" s="12"/>
    </row>
    <row r="202" spans="1:8" ht="15.75" thickBot="1" x14ac:dyDescent="0.3">
      <c r="A202" s="5" t="s">
        <v>24</v>
      </c>
      <c r="B202" s="151" t="s">
        <v>23</v>
      </c>
      <c r="C202" s="11">
        <v>-0.83508771929824555</v>
      </c>
      <c r="D202" s="11">
        <v>-0.63031914893617014</v>
      </c>
    </row>
    <row r="203" spans="1:8" ht="15.75" thickBot="1" x14ac:dyDescent="0.3">
      <c r="A203" s="5" t="s">
        <v>25</v>
      </c>
      <c r="B203" s="151" t="s">
        <v>23</v>
      </c>
      <c r="C203" s="11">
        <v>-0.83672051415667881</v>
      </c>
      <c r="D203" s="11">
        <v>-0.63397935538234673</v>
      </c>
    </row>
    <row r="204" spans="1:8" ht="15.75" thickBot="1" x14ac:dyDescent="0.3">
      <c r="A204" s="1252" t="s">
        <v>633</v>
      </c>
      <c r="B204" s="1253"/>
      <c r="C204" s="1253"/>
      <c r="D204" s="1253"/>
    </row>
    <row r="205" spans="1:8" ht="12.75" customHeight="1" x14ac:dyDescent="0.25">
      <c r="A205" s="1250"/>
      <c r="B205" s="8">
        <v>2018</v>
      </c>
      <c r="C205" s="8">
        <v>2019</v>
      </c>
      <c r="D205" s="8">
        <v>2020</v>
      </c>
    </row>
    <row r="206" spans="1:8" ht="9" customHeight="1" thickBot="1" x14ac:dyDescent="0.3">
      <c r="A206" s="1251"/>
      <c r="B206" s="9" t="s">
        <v>10</v>
      </c>
      <c r="C206" s="9" t="s">
        <v>11</v>
      </c>
      <c r="D206" s="9" t="s">
        <v>11</v>
      </c>
    </row>
    <row r="207" spans="1:8" ht="15.75" thickBot="1" x14ac:dyDescent="0.3">
      <c r="A207" s="13" t="s">
        <v>58</v>
      </c>
      <c r="B207" s="14"/>
      <c r="C207" s="14"/>
      <c r="D207" s="14"/>
    </row>
    <row r="208" spans="1:8" ht="15.75" thickBot="1" x14ac:dyDescent="0.3">
      <c r="A208" s="13" t="s">
        <v>59</v>
      </c>
      <c r="B208" s="15">
        <v>20640</v>
      </c>
      <c r="C208" s="15">
        <v>40109</v>
      </c>
      <c r="D208" s="15">
        <v>37509.5</v>
      </c>
    </row>
    <row r="209" spans="1:8" ht="15.75" thickBot="1" x14ac:dyDescent="0.3">
      <c r="A209" s="184" t="s">
        <v>40</v>
      </c>
      <c r="B209" s="15">
        <v>20640</v>
      </c>
      <c r="C209" s="15">
        <v>40109</v>
      </c>
      <c r="D209" s="15">
        <v>37509.5</v>
      </c>
    </row>
    <row r="210" spans="1:8" ht="15.75" hidden="1" thickBot="1" x14ac:dyDescent="0.3">
      <c r="A210" s="20" t="s">
        <v>61</v>
      </c>
      <c r="B210" s="1241" t="s">
        <v>124</v>
      </c>
      <c r="C210" s="1242"/>
      <c r="D210" s="1242"/>
    </row>
    <row r="211" spans="1:8" ht="15.75" hidden="1" thickBot="1" x14ac:dyDescent="0.3">
      <c r="A211" s="7" t="s">
        <v>123</v>
      </c>
      <c r="B211" s="1243" t="s">
        <v>106</v>
      </c>
      <c r="C211" s="1244"/>
      <c r="D211" s="1244"/>
    </row>
    <row r="212" spans="1:8" ht="17.25" hidden="1" customHeight="1" thickBot="1" x14ac:dyDescent="0.3">
      <c r="A212" s="5" t="s">
        <v>17</v>
      </c>
      <c r="B212" s="1245" t="s">
        <v>106</v>
      </c>
      <c r="C212" s="1246"/>
      <c r="D212" s="1246"/>
    </row>
    <row r="213" spans="1:8" ht="15.75" hidden="1" thickBot="1" x14ac:dyDescent="0.3">
      <c r="A213" s="5" t="s">
        <v>18</v>
      </c>
      <c r="B213" s="1248" t="s">
        <v>106</v>
      </c>
      <c r="C213" s="1249"/>
      <c r="D213" s="1249"/>
    </row>
    <row r="214" spans="1:8" ht="12.75" hidden="1" customHeight="1" x14ac:dyDescent="0.25">
      <c r="A214" s="1250"/>
      <c r="B214" s="8">
        <v>2018</v>
      </c>
      <c r="C214" s="8">
        <v>2019</v>
      </c>
      <c r="D214" s="8">
        <v>2020</v>
      </c>
    </row>
    <row r="215" spans="1:8" ht="9" hidden="1" customHeight="1" thickBot="1" x14ac:dyDescent="0.3">
      <c r="A215" s="1251"/>
      <c r="B215" s="9" t="s">
        <v>10</v>
      </c>
      <c r="C215" s="9" t="s">
        <v>11</v>
      </c>
      <c r="D215" s="9" t="s">
        <v>11</v>
      </c>
    </row>
    <row r="216" spans="1:8" ht="15.75" hidden="1" thickBot="1" x14ac:dyDescent="0.3">
      <c r="A216" s="5" t="s">
        <v>19</v>
      </c>
      <c r="B216" s="10"/>
      <c r="C216" s="10"/>
      <c r="D216" s="10"/>
    </row>
    <row r="217" spans="1:8" ht="15.75" hidden="1" thickBot="1" x14ac:dyDescent="0.3">
      <c r="A217" s="5" t="s">
        <v>20</v>
      </c>
      <c r="B217" s="10"/>
      <c r="C217" s="10"/>
      <c r="D217" s="10"/>
    </row>
    <row r="218" spans="1:8" ht="15.75" hidden="1" thickBot="1" x14ac:dyDescent="0.3">
      <c r="A218" s="5" t="s">
        <v>21</v>
      </c>
      <c r="B218" s="10" t="e">
        <v>#DIV/0!</v>
      </c>
      <c r="C218" s="10" t="e">
        <v>#DIV/0!</v>
      </c>
      <c r="D218" s="10" t="e">
        <v>#DIV/0!</v>
      </c>
    </row>
    <row r="219" spans="1:8" ht="15.75" hidden="1" thickBot="1" x14ac:dyDescent="0.3">
      <c r="A219" s="5" t="s">
        <v>22</v>
      </c>
      <c r="B219" s="151" t="s">
        <v>23</v>
      </c>
      <c r="C219" s="11" t="e">
        <v>#DIV/0!</v>
      </c>
      <c r="D219" s="11" t="e">
        <v>#DIV/0!</v>
      </c>
      <c r="E219" s="12"/>
      <c r="F219" s="12"/>
      <c r="G219" s="12"/>
      <c r="H219" s="12"/>
    </row>
    <row r="220" spans="1:8" ht="15.75" hidden="1" thickBot="1" x14ac:dyDescent="0.3">
      <c r="A220" s="5" t="s">
        <v>24</v>
      </c>
      <c r="B220" s="151" t="s">
        <v>23</v>
      </c>
      <c r="C220" s="11" t="e">
        <v>#DIV/0!</v>
      </c>
      <c r="D220" s="11" t="e">
        <v>#DIV/0!</v>
      </c>
    </row>
    <row r="221" spans="1:8" ht="15.75" hidden="1" thickBot="1" x14ac:dyDescent="0.3">
      <c r="A221" s="5" t="s">
        <v>25</v>
      </c>
      <c r="B221" s="151" t="s">
        <v>23</v>
      </c>
      <c r="C221" s="11" t="e">
        <v>#DIV/0!</v>
      </c>
      <c r="D221" s="11" t="e">
        <v>#DIV/0!</v>
      </c>
    </row>
    <row r="222" spans="1:8" ht="15.75" hidden="1" thickBot="1" x14ac:dyDescent="0.3">
      <c r="A222" s="1252" t="s">
        <v>635</v>
      </c>
      <c r="B222" s="1253"/>
      <c r="C222" s="1253"/>
      <c r="D222" s="1253"/>
    </row>
    <row r="223" spans="1:8" ht="12.75" hidden="1" customHeight="1" x14ac:dyDescent="0.25">
      <c r="A223" s="1250"/>
      <c r="B223" s="8">
        <v>2018</v>
      </c>
      <c r="C223" s="8">
        <v>2019</v>
      </c>
      <c r="D223" s="8">
        <v>2020</v>
      </c>
    </row>
    <row r="224" spans="1:8" ht="9" hidden="1" customHeight="1" thickBot="1" x14ac:dyDescent="0.3">
      <c r="A224" s="1251"/>
      <c r="B224" s="9" t="s">
        <v>10</v>
      </c>
      <c r="C224" s="9" t="s">
        <v>11</v>
      </c>
      <c r="D224" s="9" t="s">
        <v>11</v>
      </c>
    </row>
    <row r="225" spans="1:4" ht="15.75" hidden="1" thickBot="1" x14ac:dyDescent="0.3">
      <c r="A225" s="13" t="s">
        <v>58</v>
      </c>
      <c r="B225" s="14"/>
      <c r="C225" s="14"/>
      <c r="D225" s="14"/>
    </row>
    <row r="226" spans="1:4" ht="15.75" hidden="1" thickBot="1" x14ac:dyDescent="0.3">
      <c r="A226" s="13" t="s">
        <v>59</v>
      </c>
      <c r="B226" s="15"/>
      <c r="C226" s="14"/>
      <c r="D226" s="14"/>
    </row>
    <row r="227" spans="1:4" ht="15.75" hidden="1" thickBot="1" x14ac:dyDescent="0.3">
      <c r="A227" s="16" t="s">
        <v>74</v>
      </c>
      <c r="B227" s="15">
        <v>0</v>
      </c>
      <c r="C227" s="15">
        <v>0</v>
      </c>
      <c r="D227" s="15">
        <v>0</v>
      </c>
    </row>
    <row r="228" spans="1:4" ht="26.25" hidden="1" customHeight="1" thickBot="1" x14ac:dyDescent="0.3">
      <c r="A228" s="21" t="s">
        <v>67</v>
      </c>
      <c r="B228" s="1277" t="s">
        <v>106</v>
      </c>
      <c r="C228" s="1271"/>
      <c r="D228" s="1271"/>
    </row>
    <row r="229" spans="1:4" ht="15.75" hidden="1" customHeight="1" thickBot="1" x14ac:dyDescent="0.3">
      <c r="A229" s="1245" t="s">
        <v>68</v>
      </c>
      <c r="B229" s="1246"/>
      <c r="C229" s="1246"/>
      <c r="D229" s="1246"/>
    </row>
    <row r="230" spans="1:4" ht="15.75" hidden="1" thickBot="1" x14ac:dyDescent="0.3">
      <c r="A230" s="150" t="s">
        <v>164</v>
      </c>
      <c r="B230" s="4" t="s">
        <v>112</v>
      </c>
      <c r="C230" s="4" t="s">
        <v>113</v>
      </c>
      <c r="D230" s="4" t="s">
        <v>113</v>
      </c>
    </row>
    <row r="231" spans="1:4" ht="15.75" hidden="1" customHeight="1" thickBot="1" x14ac:dyDescent="0.3">
      <c r="A231" s="5" t="s">
        <v>165</v>
      </c>
      <c r="B231" s="4" t="s">
        <v>112</v>
      </c>
      <c r="C231" s="4" t="s">
        <v>113</v>
      </c>
      <c r="D231" s="4" t="s">
        <v>113</v>
      </c>
    </row>
    <row r="232" spans="1:4" ht="23.25" hidden="1" customHeight="1" thickBot="1" x14ac:dyDescent="0.3">
      <c r="A232" s="5" t="s">
        <v>111</v>
      </c>
      <c r="B232" s="4" t="s">
        <v>112</v>
      </c>
      <c r="C232" s="4" t="s">
        <v>113</v>
      </c>
      <c r="D232" s="4" t="s">
        <v>113</v>
      </c>
    </row>
    <row r="233" spans="1:4" ht="23.25" hidden="1" customHeight="1" thickBot="1" x14ac:dyDescent="0.3">
      <c r="A233" s="1278" t="s">
        <v>69</v>
      </c>
      <c r="B233" s="1279"/>
      <c r="C233" s="1279"/>
      <c r="D233" s="1279"/>
    </row>
    <row r="234" spans="1:4" ht="23.25" hidden="1" customHeight="1" thickBot="1" x14ac:dyDescent="0.3">
      <c r="A234" s="1280" t="s">
        <v>70</v>
      </c>
      <c r="B234" s="1281"/>
      <c r="C234" s="1281"/>
      <c r="D234" s="1281"/>
    </row>
    <row r="235" spans="1:4" ht="12.75" hidden="1" customHeight="1" x14ac:dyDescent="0.25">
      <c r="A235" s="1250"/>
      <c r="B235" s="8">
        <v>2018</v>
      </c>
      <c r="C235" s="8">
        <v>2019</v>
      </c>
      <c r="D235" s="8">
        <v>2020</v>
      </c>
    </row>
    <row r="236" spans="1:4" ht="9" hidden="1" customHeight="1" thickBot="1" x14ac:dyDescent="0.3">
      <c r="A236" s="1251"/>
      <c r="B236" s="9" t="s">
        <v>10</v>
      </c>
      <c r="C236" s="9" t="s">
        <v>11</v>
      </c>
      <c r="D236" s="9" t="s">
        <v>11</v>
      </c>
    </row>
    <row r="237" spans="1:4" ht="26.25" hidden="1" customHeight="1" thickBot="1" x14ac:dyDescent="0.3">
      <c r="A237" s="7" t="s">
        <v>16</v>
      </c>
      <c r="B237" s="1243" t="s">
        <v>106</v>
      </c>
      <c r="C237" s="1244"/>
      <c r="D237" s="1244"/>
    </row>
    <row r="238" spans="1:4" ht="16.5" hidden="1" customHeight="1" thickBot="1" x14ac:dyDescent="0.3">
      <c r="A238" s="5" t="s">
        <v>17</v>
      </c>
      <c r="B238" s="1245" t="s">
        <v>106</v>
      </c>
      <c r="C238" s="1246"/>
      <c r="D238" s="1246"/>
    </row>
    <row r="239" spans="1:4" ht="15.75" hidden="1" customHeight="1" thickBot="1" x14ac:dyDescent="0.3">
      <c r="A239" s="5" t="s">
        <v>18</v>
      </c>
      <c r="B239" s="1248" t="s">
        <v>106</v>
      </c>
      <c r="C239" s="1249"/>
      <c r="D239" s="1249"/>
    </row>
    <row r="240" spans="1:4" ht="12.75" hidden="1" customHeight="1" x14ac:dyDescent="0.25">
      <c r="A240" s="1250"/>
      <c r="B240" s="8">
        <v>2018</v>
      </c>
      <c r="C240" s="8">
        <v>2019</v>
      </c>
      <c r="D240" s="8">
        <v>2020</v>
      </c>
    </row>
    <row r="241" spans="1:4" ht="9" hidden="1" customHeight="1" thickBot="1" x14ac:dyDescent="0.3">
      <c r="A241" s="1251"/>
      <c r="B241" s="9" t="s">
        <v>10</v>
      </c>
      <c r="C241" s="9" t="s">
        <v>11</v>
      </c>
      <c r="D241" s="9" t="s">
        <v>11</v>
      </c>
    </row>
    <row r="242" spans="1:4" ht="15.75" hidden="1" customHeight="1" thickBot="1" x14ac:dyDescent="0.3">
      <c r="A242" s="5" t="s">
        <v>19</v>
      </c>
      <c r="B242" s="10"/>
      <c r="C242" s="60"/>
      <c r="D242" s="60"/>
    </row>
    <row r="243" spans="1:4" ht="15.75" hidden="1" thickBot="1" x14ac:dyDescent="0.3">
      <c r="A243" s="5" t="s">
        <v>20</v>
      </c>
      <c r="B243" s="10"/>
      <c r="C243" s="10"/>
      <c r="D243" s="10"/>
    </row>
    <row r="244" spans="1:4" ht="15.75" hidden="1" thickBot="1" x14ac:dyDescent="0.3">
      <c r="A244" s="5" t="s">
        <v>21</v>
      </c>
      <c r="B244" s="10" t="e">
        <v>#DIV/0!</v>
      </c>
      <c r="C244" s="10" t="e">
        <v>#DIV/0!</v>
      </c>
      <c r="D244" s="10" t="e">
        <v>#DIV/0!</v>
      </c>
    </row>
    <row r="245" spans="1:4" ht="15.75" hidden="1" thickBot="1" x14ac:dyDescent="0.3">
      <c r="A245" s="5" t="s">
        <v>22</v>
      </c>
      <c r="B245" s="151"/>
      <c r="C245" s="11" t="e">
        <v>#DIV/0!</v>
      </c>
      <c r="D245" s="11" t="e">
        <v>#DIV/0!</v>
      </c>
    </row>
    <row r="246" spans="1:4" ht="15.75" hidden="1" thickBot="1" x14ac:dyDescent="0.3">
      <c r="A246" s="5" t="s">
        <v>24</v>
      </c>
      <c r="B246" s="151"/>
      <c r="C246" s="11" t="e">
        <v>#DIV/0!</v>
      </c>
      <c r="D246" s="11" t="e">
        <v>#DIV/0!</v>
      </c>
    </row>
    <row r="247" spans="1:4" ht="15.75" hidden="1" thickBot="1" x14ac:dyDescent="0.3">
      <c r="A247" s="5" t="s">
        <v>25</v>
      </c>
      <c r="B247" s="151"/>
      <c r="C247" s="11" t="e">
        <v>#DIV/0!</v>
      </c>
      <c r="D247" s="11" t="e">
        <v>#DIV/0!</v>
      </c>
    </row>
    <row r="248" spans="1:4" ht="12.75" hidden="1" customHeight="1" x14ac:dyDescent="0.25">
      <c r="A248" s="1250"/>
      <c r="B248" s="8">
        <v>2018</v>
      </c>
      <c r="C248" s="8">
        <v>2019</v>
      </c>
      <c r="D248" s="8">
        <v>2020</v>
      </c>
    </row>
    <row r="249" spans="1:4" ht="9" hidden="1" customHeight="1" thickBot="1" x14ac:dyDescent="0.3">
      <c r="A249" s="1251"/>
      <c r="B249" s="9" t="s">
        <v>10</v>
      </c>
      <c r="C249" s="9" t="s">
        <v>11</v>
      </c>
      <c r="D249" s="9" t="s">
        <v>11</v>
      </c>
    </row>
    <row r="250" spans="1:4" ht="15.75" hidden="1" thickBot="1" x14ac:dyDescent="0.3">
      <c r="A250" s="1252" t="s">
        <v>636</v>
      </c>
      <c r="B250" s="1253"/>
      <c r="C250" s="1253"/>
      <c r="D250" s="1253"/>
    </row>
    <row r="251" spans="1:4" ht="12.75" hidden="1" customHeight="1" x14ac:dyDescent="0.25">
      <c r="A251" s="1250"/>
      <c r="B251" s="8">
        <v>2018</v>
      </c>
      <c r="C251" s="8">
        <v>2019</v>
      </c>
      <c r="D251" s="8">
        <v>2020</v>
      </c>
    </row>
    <row r="252" spans="1:4" ht="9" hidden="1" customHeight="1" thickBot="1" x14ac:dyDescent="0.3">
      <c r="A252" s="1251"/>
      <c r="B252" s="9" t="s">
        <v>10</v>
      </c>
      <c r="C252" s="9" t="s">
        <v>11</v>
      </c>
      <c r="D252" s="9" t="s">
        <v>11</v>
      </c>
    </row>
    <row r="253" spans="1:4" ht="15.75" hidden="1" thickBot="1" x14ac:dyDescent="0.3">
      <c r="A253" s="13" t="s">
        <v>26</v>
      </c>
      <c r="B253" s="14"/>
      <c r="C253" s="14"/>
      <c r="D253" s="14"/>
    </row>
    <row r="254" spans="1:4" ht="24.75" hidden="1" thickBot="1" x14ac:dyDescent="0.3">
      <c r="A254" s="13" t="s">
        <v>28</v>
      </c>
      <c r="B254" s="14"/>
      <c r="C254" s="14"/>
      <c r="D254" s="14"/>
    </row>
    <row r="255" spans="1:4" ht="15.75" hidden="1" thickBot="1" x14ac:dyDescent="0.3">
      <c r="A255" s="13" t="s">
        <v>30</v>
      </c>
      <c r="B255" s="15"/>
      <c r="C255" s="14"/>
      <c r="D255" s="14"/>
    </row>
    <row r="256" spans="1:4" ht="15.75" hidden="1" thickBot="1" x14ac:dyDescent="0.3">
      <c r="A256" s="13" t="s">
        <v>32</v>
      </c>
      <c r="B256" s="15"/>
      <c r="C256" s="14"/>
      <c r="D256" s="14"/>
    </row>
    <row r="257" spans="1:4" ht="15.75" hidden="1" thickBot="1" x14ac:dyDescent="0.3">
      <c r="A257" s="13" t="s">
        <v>34</v>
      </c>
      <c r="B257" s="15"/>
      <c r="C257" s="14"/>
      <c r="D257" s="14"/>
    </row>
    <row r="258" spans="1:4" ht="15.75" hidden="1" thickBot="1" x14ac:dyDescent="0.3">
      <c r="A258" s="13" t="s">
        <v>36</v>
      </c>
      <c r="B258" s="15"/>
      <c r="C258" s="14"/>
      <c r="D258" s="14"/>
    </row>
    <row r="259" spans="1:4" ht="15.75" hidden="1" thickBot="1" x14ac:dyDescent="0.3">
      <c r="A259" s="13" t="s">
        <v>38</v>
      </c>
      <c r="B259" s="15"/>
      <c r="C259" s="14"/>
      <c r="D259" s="14"/>
    </row>
    <row r="260" spans="1:4" ht="24.75" hidden="1" thickBot="1" x14ac:dyDescent="0.3">
      <c r="A260" s="137" t="s">
        <v>71</v>
      </c>
      <c r="B260" s="138">
        <v>0</v>
      </c>
      <c r="C260" s="138">
        <v>0</v>
      </c>
      <c r="D260" s="138">
        <v>0</v>
      </c>
    </row>
    <row r="261" spans="1:4" ht="15.75" hidden="1" thickBot="1" x14ac:dyDescent="0.3">
      <c r="A261" s="17" t="s">
        <v>41</v>
      </c>
      <c r="B261" s="18">
        <v>0</v>
      </c>
      <c r="C261" s="18">
        <v>0</v>
      </c>
      <c r="D261" s="18">
        <v>0</v>
      </c>
    </row>
    <row r="262" spans="1:4" ht="15.75" hidden="1" thickBot="1" x14ac:dyDescent="0.3">
      <c r="A262" s="139" t="s">
        <v>637</v>
      </c>
      <c r="B262" s="1243" t="s">
        <v>106</v>
      </c>
      <c r="C262" s="1244"/>
      <c r="D262" s="1244"/>
    </row>
    <row r="263" spans="1:4" ht="15.75" hidden="1" thickBot="1" x14ac:dyDescent="0.3">
      <c r="A263" s="5" t="s">
        <v>17</v>
      </c>
      <c r="B263" s="1245" t="s">
        <v>106</v>
      </c>
      <c r="C263" s="1246"/>
      <c r="D263" s="1246"/>
    </row>
    <row r="264" spans="1:4" ht="15.75" hidden="1" thickBot="1" x14ac:dyDescent="0.3">
      <c r="A264" s="5" t="s">
        <v>18</v>
      </c>
      <c r="B264" s="1248" t="s">
        <v>106</v>
      </c>
      <c r="C264" s="1249"/>
      <c r="D264" s="1249"/>
    </row>
    <row r="265" spans="1:4" ht="12.75" hidden="1" customHeight="1" x14ac:dyDescent="0.25">
      <c r="A265" s="1250"/>
      <c r="B265" s="8">
        <v>2018</v>
      </c>
      <c r="C265" s="8">
        <v>2019</v>
      </c>
      <c r="D265" s="8">
        <v>2020</v>
      </c>
    </row>
    <row r="266" spans="1:4" ht="9" hidden="1" customHeight="1" thickBot="1" x14ac:dyDescent="0.3">
      <c r="A266" s="1251"/>
      <c r="B266" s="9" t="s">
        <v>10</v>
      </c>
      <c r="C266" s="9" t="s">
        <v>11</v>
      </c>
      <c r="D266" s="9" t="s">
        <v>11</v>
      </c>
    </row>
    <row r="267" spans="1:4" ht="15.75" hidden="1" thickBot="1" x14ac:dyDescent="0.3">
      <c r="A267" s="5" t="s">
        <v>19</v>
      </c>
      <c r="B267" s="10"/>
      <c r="C267" s="10"/>
      <c r="D267" s="10"/>
    </row>
    <row r="268" spans="1:4" ht="15.75" hidden="1" thickBot="1" x14ac:dyDescent="0.3">
      <c r="A268" s="5" t="s">
        <v>20</v>
      </c>
      <c r="B268" s="10"/>
      <c r="C268" s="10"/>
      <c r="D268" s="10"/>
    </row>
    <row r="269" spans="1:4" ht="15.75" hidden="1" thickBot="1" x14ac:dyDescent="0.3">
      <c r="A269" s="5" t="s">
        <v>21</v>
      </c>
      <c r="B269" s="10" t="e">
        <v>#DIV/0!</v>
      </c>
      <c r="C269" s="10" t="e">
        <v>#DIV/0!</v>
      </c>
      <c r="D269" s="10" t="e">
        <v>#DIV/0!</v>
      </c>
    </row>
    <row r="270" spans="1:4" ht="15.75" hidden="1" thickBot="1" x14ac:dyDescent="0.3">
      <c r="A270" s="5" t="s">
        <v>22</v>
      </c>
      <c r="B270" s="151"/>
      <c r="C270" s="11" t="e">
        <v>#DIV/0!</v>
      </c>
      <c r="D270" s="11" t="e">
        <v>#DIV/0!</v>
      </c>
    </row>
    <row r="271" spans="1:4" ht="15.75" hidden="1" thickBot="1" x14ac:dyDescent="0.3">
      <c r="A271" s="5" t="s">
        <v>24</v>
      </c>
      <c r="B271" s="151"/>
      <c r="C271" s="11" t="e">
        <v>#DIV/0!</v>
      </c>
      <c r="D271" s="11" t="e">
        <v>#DIV/0!</v>
      </c>
    </row>
    <row r="272" spans="1:4" ht="15.75" hidden="1" thickBot="1" x14ac:dyDescent="0.3">
      <c r="A272" s="5" t="s">
        <v>25</v>
      </c>
      <c r="B272" s="151"/>
      <c r="C272" s="11" t="e">
        <v>#DIV/0!</v>
      </c>
      <c r="D272" s="11" t="e">
        <v>#DIV/0!</v>
      </c>
    </row>
    <row r="273" spans="1:4" ht="15.75" hidden="1" thickBot="1" x14ac:dyDescent="0.3">
      <c r="A273" s="1252" t="s">
        <v>635</v>
      </c>
      <c r="B273" s="1253"/>
      <c r="C273" s="1253"/>
      <c r="D273" s="1253"/>
    </row>
    <row r="274" spans="1:4" ht="12.75" hidden="1" customHeight="1" x14ac:dyDescent="0.25">
      <c r="A274" s="1250"/>
      <c r="B274" s="8">
        <v>2018</v>
      </c>
      <c r="C274" s="8">
        <v>2019</v>
      </c>
      <c r="D274" s="8">
        <v>2020</v>
      </c>
    </row>
    <row r="275" spans="1:4" ht="9" hidden="1" customHeight="1" thickBot="1" x14ac:dyDescent="0.3">
      <c r="A275" s="1251"/>
      <c r="B275" s="9" t="s">
        <v>10</v>
      </c>
      <c r="C275" s="9" t="s">
        <v>11</v>
      </c>
      <c r="D275" s="9" t="s">
        <v>11</v>
      </c>
    </row>
    <row r="276" spans="1:4" ht="15.75" hidden="1" thickBot="1" x14ac:dyDescent="0.3">
      <c r="A276" s="13" t="s">
        <v>26</v>
      </c>
      <c r="B276" s="14"/>
      <c r="C276" s="14"/>
      <c r="D276" s="14"/>
    </row>
    <row r="277" spans="1:4" ht="24.75" hidden="1" thickBot="1" x14ac:dyDescent="0.3">
      <c r="A277" s="13" t="s">
        <v>28</v>
      </c>
      <c r="B277" s="14"/>
      <c r="C277" s="14"/>
      <c r="D277" s="14"/>
    </row>
    <row r="278" spans="1:4" ht="15.75" hidden="1" thickBot="1" x14ac:dyDescent="0.3">
      <c r="A278" s="13" t="s">
        <v>30</v>
      </c>
      <c r="B278" s="15"/>
      <c r="C278" s="14"/>
      <c r="D278" s="14"/>
    </row>
    <row r="279" spans="1:4" ht="15.75" hidden="1" thickBot="1" x14ac:dyDescent="0.3">
      <c r="A279" s="13" t="s">
        <v>32</v>
      </c>
      <c r="B279" s="15"/>
      <c r="C279" s="14"/>
      <c r="D279" s="14"/>
    </row>
    <row r="280" spans="1:4" ht="15.75" hidden="1" thickBot="1" x14ac:dyDescent="0.3">
      <c r="A280" s="13" t="s">
        <v>34</v>
      </c>
      <c r="B280" s="15"/>
      <c r="C280" s="14"/>
      <c r="D280" s="14"/>
    </row>
    <row r="281" spans="1:4" ht="15.75" hidden="1" thickBot="1" x14ac:dyDescent="0.3">
      <c r="A281" s="13" t="s">
        <v>36</v>
      </c>
      <c r="B281" s="15"/>
      <c r="C281" s="14"/>
      <c r="D281" s="14"/>
    </row>
    <row r="282" spans="1:4" ht="15.75" hidden="1" thickBot="1" x14ac:dyDescent="0.3">
      <c r="A282" s="13" t="s">
        <v>38</v>
      </c>
      <c r="B282" s="15"/>
      <c r="C282" s="14"/>
      <c r="D282" s="14"/>
    </row>
    <row r="283" spans="1:4" ht="24.75" hidden="1" thickBot="1" x14ac:dyDescent="0.3">
      <c r="A283" s="137" t="s">
        <v>71</v>
      </c>
      <c r="B283" s="140">
        <v>0</v>
      </c>
      <c r="C283" s="140">
        <v>0</v>
      </c>
      <c r="D283" s="140">
        <v>0</v>
      </c>
    </row>
    <row r="284" spans="1:4" ht="15.75" hidden="1" thickBot="1" x14ac:dyDescent="0.3">
      <c r="A284" s="17" t="s">
        <v>41</v>
      </c>
      <c r="B284" s="18">
        <v>0</v>
      </c>
      <c r="C284" s="18">
        <v>0</v>
      </c>
      <c r="D284" s="18">
        <v>0</v>
      </c>
    </row>
    <row r="285" spans="1:4" ht="15.75" hidden="1" thickBot="1" x14ac:dyDescent="0.3">
      <c r="A285" s="1275" t="s">
        <v>63</v>
      </c>
      <c r="B285" s="1276"/>
      <c r="C285" s="1276"/>
      <c r="D285" s="1276"/>
    </row>
    <row r="286" spans="1:4" ht="15.75" hidden="1" thickBot="1" x14ac:dyDescent="0.3">
      <c r="A286" s="1275" t="s">
        <v>56</v>
      </c>
      <c r="B286" s="1276"/>
      <c r="C286" s="1276"/>
      <c r="D286" s="1276"/>
    </row>
    <row r="287" spans="1:4" ht="15.75" hidden="1" thickBot="1" x14ac:dyDescent="0.3">
      <c r="A287" s="20" t="s">
        <v>61</v>
      </c>
      <c r="B287" s="1241" t="s">
        <v>124</v>
      </c>
      <c r="C287" s="1242"/>
      <c r="D287" s="1242"/>
    </row>
    <row r="288" spans="1:4" ht="15.75" hidden="1" thickBot="1" x14ac:dyDescent="0.3">
      <c r="A288" s="7" t="s">
        <v>16</v>
      </c>
      <c r="B288" s="1243" t="s">
        <v>106</v>
      </c>
      <c r="C288" s="1244"/>
      <c r="D288" s="1244"/>
    </row>
    <row r="289" spans="1:8" ht="17.25" hidden="1" customHeight="1" thickBot="1" x14ac:dyDescent="0.3">
      <c r="A289" s="5" t="s">
        <v>17</v>
      </c>
      <c r="B289" s="1245" t="s">
        <v>106</v>
      </c>
      <c r="C289" s="1246"/>
      <c r="D289" s="1246"/>
    </row>
    <row r="290" spans="1:8" ht="15.75" hidden="1" thickBot="1" x14ac:dyDescent="0.3">
      <c r="A290" s="5" t="s">
        <v>18</v>
      </c>
      <c r="B290" s="1248" t="s">
        <v>106</v>
      </c>
      <c r="C290" s="1249"/>
      <c r="D290" s="1249"/>
    </row>
    <row r="291" spans="1:8" ht="12.75" hidden="1" customHeight="1" x14ac:dyDescent="0.25">
      <c r="A291" s="1250"/>
      <c r="B291" s="8">
        <v>2018</v>
      </c>
      <c r="C291" s="8">
        <v>2019</v>
      </c>
      <c r="D291" s="8">
        <v>2020</v>
      </c>
    </row>
    <row r="292" spans="1:8" ht="9" hidden="1" customHeight="1" thickBot="1" x14ac:dyDescent="0.3">
      <c r="A292" s="1251"/>
      <c r="B292" s="9" t="s">
        <v>10</v>
      </c>
      <c r="C292" s="9" t="s">
        <v>11</v>
      </c>
      <c r="D292" s="9" t="s">
        <v>11</v>
      </c>
    </row>
    <row r="293" spans="1:8" ht="15.75" hidden="1" thickBot="1" x14ac:dyDescent="0.3">
      <c r="A293" s="5" t="s">
        <v>19</v>
      </c>
      <c r="B293" s="10"/>
      <c r="C293" s="10"/>
      <c r="D293" s="10"/>
    </row>
    <row r="294" spans="1:8" ht="15.75" hidden="1" thickBot="1" x14ac:dyDescent="0.3">
      <c r="A294" s="5" t="s">
        <v>20</v>
      </c>
      <c r="B294" s="10"/>
      <c r="C294" s="10"/>
      <c r="D294" s="10"/>
    </row>
    <row r="295" spans="1:8" ht="15.75" hidden="1" thickBot="1" x14ac:dyDescent="0.3">
      <c r="A295" s="5" t="s">
        <v>21</v>
      </c>
      <c r="B295" s="10" t="e">
        <v>#DIV/0!</v>
      </c>
      <c r="C295" s="10" t="e">
        <v>#DIV/0!</v>
      </c>
      <c r="D295" s="10" t="e">
        <v>#DIV/0!</v>
      </c>
    </row>
    <row r="296" spans="1:8" ht="15.75" hidden="1" thickBot="1" x14ac:dyDescent="0.3">
      <c r="A296" s="5" t="s">
        <v>22</v>
      </c>
      <c r="B296" s="151" t="s">
        <v>23</v>
      </c>
      <c r="C296" s="11" t="e">
        <v>#DIV/0!</v>
      </c>
      <c r="D296" s="11" t="e">
        <v>#DIV/0!</v>
      </c>
      <c r="E296" s="12"/>
      <c r="F296" s="12"/>
      <c r="G296" s="12"/>
      <c r="H296" s="12"/>
    </row>
    <row r="297" spans="1:8" ht="15.75" hidden="1" thickBot="1" x14ac:dyDescent="0.3">
      <c r="A297" s="5" t="s">
        <v>24</v>
      </c>
      <c r="B297" s="151" t="s">
        <v>23</v>
      </c>
      <c r="C297" s="11" t="e">
        <v>#DIV/0!</v>
      </c>
      <c r="D297" s="11" t="e">
        <v>#DIV/0!</v>
      </c>
    </row>
    <row r="298" spans="1:8" ht="15.75" hidden="1" thickBot="1" x14ac:dyDescent="0.3">
      <c r="A298" s="5" t="s">
        <v>25</v>
      </c>
      <c r="B298" s="151" t="s">
        <v>23</v>
      </c>
      <c r="C298" s="11" t="e">
        <v>#DIV/0!</v>
      </c>
      <c r="D298" s="11" t="e">
        <v>#DIV/0!</v>
      </c>
    </row>
    <row r="299" spans="1:8" ht="15.75" hidden="1" thickBot="1" x14ac:dyDescent="0.3">
      <c r="A299" s="1252" t="s">
        <v>633</v>
      </c>
      <c r="B299" s="1253"/>
      <c r="C299" s="1253"/>
      <c r="D299" s="1253"/>
    </row>
    <row r="300" spans="1:8" ht="12.75" hidden="1" customHeight="1" x14ac:dyDescent="0.25">
      <c r="A300" s="1250"/>
      <c r="B300" s="8">
        <v>2018</v>
      </c>
      <c r="C300" s="8">
        <v>2019</v>
      </c>
      <c r="D300" s="8">
        <v>2020</v>
      </c>
    </row>
    <row r="301" spans="1:8" ht="9" hidden="1" customHeight="1" thickBot="1" x14ac:dyDescent="0.3">
      <c r="A301" s="1251"/>
      <c r="B301" s="9" t="s">
        <v>10</v>
      </c>
      <c r="C301" s="9" t="s">
        <v>11</v>
      </c>
      <c r="D301" s="9" t="s">
        <v>11</v>
      </c>
    </row>
    <row r="302" spans="1:8" ht="15.75" hidden="1" thickBot="1" x14ac:dyDescent="0.3">
      <c r="A302" s="13" t="s">
        <v>58</v>
      </c>
      <c r="B302" s="14"/>
      <c r="C302" s="14"/>
      <c r="D302" s="14"/>
    </row>
    <row r="303" spans="1:8" ht="15.75" hidden="1" thickBot="1" x14ac:dyDescent="0.3">
      <c r="A303" s="13" t="s">
        <v>59</v>
      </c>
      <c r="B303" s="15"/>
      <c r="C303" s="14"/>
      <c r="D303" s="14"/>
    </row>
    <row r="304" spans="1:8" ht="15.75" hidden="1" thickBot="1" x14ac:dyDescent="0.3">
      <c r="A304" s="16" t="s">
        <v>40</v>
      </c>
      <c r="B304" s="15">
        <v>0</v>
      </c>
      <c r="C304" s="15">
        <v>0</v>
      </c>
      <c r="D304" s="15">
        <v>0</v>
      </c>
    </row>
    <row r="305" spans="1:8" ht="15.75" hidden="1" thickBot="1" x14ac:dyDescent="0.3">
      <c r="A305" s="20" t="s">
        <v>61</v>
      </c>
      <c r="B305" s="1241" t="s">
        <v>124</v>
      </c>
      <c r="C305" s="1242"/>
      <c r="D305" s="1242"/>
    </row>
    <row r="306" spans="1:8" ht="15.75" hidden="1" thickBot="1" x14ac:dyDescent="0.3">
      <c r="A306" s="7" t="s">
        <v>123</v>
      </c>
      <c r="B306" s="1243" t="s">
        <v>106</v>
      </c>
      <c r="C306" s="1244"/>
      <c r="D306" s="1244"/>
    </row>
    <row r="307" spans="1:8" ht="17.25" hidden="1" customHeight="1" thickBot="1" x14ac:dyDescent="0.3">
      <c r="A307" s="5" t="s">
        <v>17</v>
      </c>
      <c r="B307" s="1245" t="s">
        <v>106</v>
      </c>
      <c r="C307" s="1246"/>
      <c r="D307" s="1246"/>
    </row>
    <row r="308" spans="1:8" ht="15.75" hidden="1" thickBot="1" x14ac:dyDescent="0.3">
      <c r="A308" s="5" t="s">
        <v>18</v>
      </c>
      <c r="B308" s="1248" t="s">
        <v>106</v>
      </c>
      <c r="C308" s="1249"/>
      <c r="D308" s="1249"/>
    </row>
    <row r="309" spans="1:8" ht="12.75" hidden="1" customHeight="1" x14ac:dyDescent="0.25">
      <c r="A309" s="1250"/>
      <c r="B309" s="8">
        <v>2018</v>
      </c>
      <c r="C309" s="8">
        <v>2019</v>
      </c>
      <c r="D309" s="8">
        <v>2020</v>
      </c>
    </row>
    <row r="310" spans="1:8" ht="9" hidden="1" customHeight="1" thickBot="1" x14ac:dyDescent="0.3">
      <c r="A310" s="1251"/>
      <c r="B310" s="9" t="s">
        <v>10</v>
      </c>
      <c r="C310" s="9" t="s">
        <v>11</v>
      </c>
      <c r="D310" s="9" t="s">
        <v>11</v>
      </c>
    </row>
    <row r="311" spans="1:8" ht="15.75" hidden="1" thickBot="1" x14ac:dyDescent="0.3">
      <c r="A311" s="5" t="s">
        <v>19</v>
      </c>
      <c r="B311" s="10"/>
      <c r="C311" s="10"/>
      <c r="D311" s="10"/>
    </row>
    <row r="312" spans="1:8" ht="15.75" hidden="1" thickBot="1" x14ac:dyDescent="0.3">
      <c r="A312" s="5" t="s">
        <v>20</v>
      </c>
      <c r="B312" s="10"/>
      <c r="C312" s="10"/>
      <c r="D312" s="10"/>
    </row>
    <row r="313" spans="1:8" ht="15.75" hidden="1" thickBot="1" x14ac:dyDescent="0.3">
      <c r="A313" s="5" t="s">
        <v>21</v>
      </c>
      <c r="B313" s="10" t="e">
        <v>#DIV/0!</v>
      </c>
      <c r="C313" s="10" t="e">
        <v>#DIV/0!</v>
      </c>
      <c r="D313" s="10" t="e">
        <v>#DIV/0!</v>
      </c>
    </row>
    <row r="314" spans="1:8" ht="15.75" hidden="1" thickBot="1" x14ac:dyDescent="0.3">
      <c r="A314" s="5" t="s">
        <v>22</v>
      </c>
      <c r="B314" s="151" t="s">
        <v>23</v>
      </c>
      <c r="C314" s="11" t="e">
        <v>#DIV/0!</v>
      </c>
      <c r="D314" s="11" t="e">
        <v>#DIV/0!</v>
      </c>
      <c r="E314" s="12"/>
      <c r="F314" s="12"/>
      <c r="G314" s="12"/>
      <c r="H314" s="12"/>
    </row>
    <row r="315" spans="1:8" ht="15.75" hidden="1" thickBot="1" x14ac:dyDescent="0.3">
      <c r="A315" s="5" t="s">
        <v>24</v>
      </c>
      <c r="B315" s="151" t="s">
        <v>23</v>
      </c>
      <c r="C315" s="11" t="e">
        <v>#DIV/0!</v>
      </c>
      <c r="D315" s="11" t="e">
        <v>#DIV/0!</v>
      </c>
    </row>
    <row r="316" spans="1:8" ht="15.75" hidden="1" thickBot="1" x14ac:dyDescent="0.3">
      <c r="A316" s="5" t="s">
        <v>25</v>
      </c>
      <c r="B316" s="151" t="s">
        <v>23</v>
      </c>
      <c r="C316" s="11" t="e">
        <v>#DIV/0!</v>
      </c>
      <c r="D316" s="11" t="e">
        <v>#DIV/0!</v>
      </c>
    </row>
    <row r="317" spans="1:8" ht="15.75" hidden="1" thickBot="1" x14ac:dyDescent="0.3">
      <c r="A317" s="1252" t="s">
        <v>635</v>
      </c>
      <c r="B317" s="1253"/>
      <c r="C317" s="1253"/>
      <c r="D317" s="1253"/>
    </row>
    <row r="318" spans="1:8" ht="12.75" hidden="1" customHeight="1" x14ac:dyDescent="0.25">
      <c r="A318" s="1250"/>
      <c r="B318" s="8">
        <v>2018</v>
      </c>
      <c r="C318" s="8">
        <v>2019</v>
      </c>
      <c r="D318" s="8">
        <v>2020</v>
      </c>
    </row>
    <row r="319" spans="1:8" ht="9" hidden="1" customHeight="1" thickBot="1" x14ac:dyDescent="0.3">
      <c r="A319" s="1251"/>
      <c r="B319" s="9" t="s">
        <v>10</v>
      </c>
      <c r="C319" s="9" t="s">
        <v>11</v>
      </c>
      <c r="D319" s="9" t="s">
        <v>11</v>
      </c>
    </row>
    <row r="320" spans="1:8" ht="15.75" hidden="1" thickBot="1" x14ac:dyDescent="0.3">
      <c r="A320" s="13" t="s">
        <v>58</v>
      </c>
      <c r="B320" s="14"/>
      <c r="C320" s="14"/>
      <c r="D320" s="14"/>
    </row>
    <row r="321" spans="1:8" ht="15.75" hidden="1" thickBot="1" x14ac:dyDescent="0.3">
      <c r="A321" s="13" t="s">
        <v>59</v>
      </c>
      <c r="B321" s="15"/>
      <c r="C321" s="14"/>
      <c r="D321" s="14"/>
    </row>
    <row r="322" spans="1:8" ht="15.75" hidden="1" thickBot="1" x14ac:dyDescent="0.3">
      <c r="A322" s="16" t="s">
        <v>74</v>
      </c>
      <c r="B322" s="15">
        <v>0</v>
      </c>
      <c r="C322" s="15">
        <v>0</v>
      </c>
      <c r="D322" s="15">
        <v>0</v>
      </c>
    </row>
    <row r="323" spans="1:8" ht="15.75" hidden="1" thickBot="1" x14ac:dyDescent="0.3">
      <c r="A323" s="1275" t="s">
        <v>63</v>
      </c>
      <c r="B323" s="1276"/>
      <c r="C323" s="1276"/>
      <c r="D323" s="1276"/>
    </row>
    <row r="324" spans="1:8" ht="15.75" hidden="1" thickBot="1" x14ac:dyDescent="0.3">
      <c r="A324" s="1275" t="s">
        <v>64</v>
      </c>
      <c r="B324" s="1276"/>
      <c r="C324" s="1276"/>
      <c r="D324" s="1276"/>
    </row>
    <row r="325" spans="1:8" ht="15.75" hidden="1" thickBot="1" x14ac:dyDescent="0.3">
      <c r="A325" s="20" t="s">
        <v>61</v>
      </c>
      <c r="B325" s="1241" t="s">
        <v>124</v>
      </c>
      <c r="C325" s="1242"/>
      <c r="D325" s="1242"/>
    </row>
    <row r="326" spans="1:8" ht="15.75" hidden="1" thickBot="1" x14ac:dyDescent="0.3">
      <c r="A326" s="7" t="s">
        <v>16</v>
      </c>
      <c r="B326" s="1243" t="s">
        <v>106</v>
      </c>
      <c r="C326" s="1244"/>
      <c r="D326" s="1244"/>
    </row>
    <row r="327" spans="1:8" ht="17.25" hidden="1" customHeight="1" thickBot="1" x14ac:dyDescent="0.3">
      <c r="A327" s="5" t="s">
        <v>17</v>
      </c>
      <c r="B327" s="1245" t="s">
        <v>106</v>
      </c>
      <c r="C327" s="1246"/>
      <c r="D327" s="1246"/>
    </row>
    <row r="328" spans="1:8" ht="15.75" hidden="1" thickBot="1" x14ac:dyDescent="0.3">
      <c r="A328" s="5" t="s">
        <v>18</v>
      </c>
      <c r="B328" s="1248" t="s">
        <v>106</v>
      </c>
      <c r="C328" s="1249"/>
      <c r="D328" s="1249"/>
    </row>
    <row r="329" spans="1:8" ht="12.75" hidden="1" customHeight="1" x14ac:dyDescent="0.25">
      <c r="A329" s="1250"/>
      <c r="B329" s="8">
        <v>2018</v>
      </c>
      <c r="C329" s="8">
        <v>2019</v>
      </c>
      <c r="D329" s="8">
        <v>2020</v>
      </c>
    </row>
    <row r="330" spans="1:8" ht="9" hidden="1" customHeight="1" thickBot="1" x14ac:dyDescent="0.3">
      <c r="A330" s="1251"/>
      <c r="B330" s="9" t="s">
        <v>10</v>
      </c>
      <c r="C330" s="9" t="s">
        <v>11</v>
      </c>
      <c r="D330" s="9" t="s">
        <v>11</v>
      </c>
    </row>
    <row r="331" spans="1:8" ht="15.75" hidden="1" thickBot="1" x14ac:dyDescent="0.3">
      <c r="A331" s="5" t="s">
        <v>19</v>
      </c>
      <c r="B331" s="10"/>
      <c r="C331" s="10"/>
      <c r="D331" s="10"/>
    </row>
    <row r="332" spans="1:8" ht="15.75" hidden="1" thickBot="1" x14ac:dyDescent="0.3">
      <c r="A332" s="5" t="s">
        <v>20</v>
      </c>
      <c r="B332" s="10"/>
      <c r="C332" s="10"/>
      <c r="D332" s="10"/>
    </row>
    <row r="333" spans="1:8" ht="15.75" hidden="1" thickBot="1" x14ac:dyDescent="0.3">
      <c r="A333" s="5" t="s">
        <v>21</v>
      </c>
      <c r="B333" s="10" t="e">
        <v>#DIV/0!</v>
      </c>
      <c r="C333" s="10" t="e">
        <v>#DIV/0!</v>
      </c>
      <c r="D333" s="10" t="e">
        <v>#DIV/0!</v>
      </c>
    </row>
    <row r="334" spans="1:8" ht="15.75" hidden="1" thickBot="1" x14ac:dyDescent="0.3">
      <c r="A334" s="5" t="s">
        <v>22</v>
      </c>
      <c r="B334" s="151" t="s">
        <v>23</v>
      </c>
      <c r="C334" s="11" t="e">
        <v>#DIV/0!</v>
      </c>
      <c r="D334" s="11" t="e">
        <v>#DIV/0!</v>
      </c>
      <c r="E334" s="12"/>
      <c r="F334" s="12"/>
      <c r="G334" s="12"/>
      <c r="H334" s="12"/>
    </row>
    <row r="335" spans="1:8" ht="15.75" hidden="1" thickBot="1" x14ac:dyDescent="0.3">
      <c r="A335" s="5" t="s">
        <v>24</v>
      </c>
      <c r="B335" s="151" t="s">
        <v>23</v>
      </c>
      <c r="C335" s="11" t="e">
        <v>#DIV/0!</v>
      </c>
      <c r="D335" s="11" t="e">
        <v>#DIV/0!</v>
      </c>
    </row>
    <row r="336" spans="1:8" ht="15.75" hidden="1" thickBot="1" x14ac:dyDescent="0.3">
      <c r="A336" s="5" t="s">
        <v>25</v>
      </c>
      <c r="B336" s="151" t="s">
        <v>23</v>
      </c>
      <c r="C336" s="11" t="e">
        <v>#DIV/0!</v>
      </c>
      <c r="D336" s="11" t="e">
        <v>#DIV/0!</v>
      </c>
    </row>
    <row r="337" spans="1:8" ht="15.75" hidden="1" thickBot="1" x14ac:dyDescent="0.3">
      <c r="A337" s="1252" t="s">
        <v>633</v>
      </c>
      <c r="B337" s="1253"/>
      <c r="C337" s="1253"/>
      <c r="D337" s="1253"/>
    </row>
    <row r="338" spans="1:8" ht="12.75" hidden="1" customHeight="1" x14ac:dyDescent="0.25">
      <c r="A338" s="1250"/>
      <c r="B338" s="8">
        <v>2018</v>
      </c>
      <c r="C338" s="8">
        <v>2019</v>
      </c>
      <c r="D338" s="8">
        <v>2020</v>
      </c>
    </row>
    <row r="339" spans="1:8" ht="9" hidden="1" customHeight="1" thickBot="1" x14ac:dyDescent="0.3">
      <c r="A339" s="1251"/>
      <c r="B339" s="9" t="s">
        <v>10</v>
      </c>
      <c r="C339" s="9" t="s">
        <v>11</v>
      </c>
      <c r="D339" s="9" t="s">
        <v>11</v>
      </c>
    </row>
    <row r="340" spans="1:8" ht="15.75" hidden="1" thickBot="1" x14ac:dyDescent="0.3">
      <c r="A340" s="13" t="s">
        <v>58</v>
      </c>
      <c r="B340" s="14"/>
      <c r="C340" s="14"/>
      <c r="D340" s="14"/>
    </row>
    <row r="341" spans="1:8" ht="15.75" hidden="1" thickBot="1" x14ac:dyDescent="0.3">
      <c r="A341" s="13" t="s">
        <v>59</v>
      </c>
      <c r="B341" s="15"/>
      <c r="C341" s="14"/>
      <c r="D341" s="14"/>
    </row>
    <row r="342" spans="1:8" ht="15.75" hidden="1" thickBot="1" x14ac:dyDescent="0.3">
      <c r="A342" s="16" t="s">
        <v>40</v>
      </c>
      <c r="B342" s="15">
        <v>0</v>
      </c>
      <c r="C342" s="15">
        <v>0</v>
      </c>
      <c r="D342" s="15">
        <v>0</v>
      </c>
    </row>
    <row r="343" spans="1:8" ht="15.75" hidden="1" thickBot="1" x14ac:dyDescent="0.3">
      <c r="A343" s="20" t="s">
        <v>61</v>
      </c>
      <c r="B343" s="1241" t="s">
        <v>124</v>
      </c>
      <c r="C343" s="1242"/>
      <c r="D343" s="1242"/>
    </row>
    <row r="344" spans="1:8" ht="15.75" hidden="1" thickBot="1" x14ac:dyDescent="0.3">
      <c r="A344" s="7" t="s">
        <v>123</v>
      </c>
      <c r="B344" s="1243" t="s">
        <v>106</v>
      </c>
      <c r="C344" s="1244"/>
      <c r="D344" s="1244"/>
    </row>
    <row r="345" spans="1:8" ht="17.25" hidden="1" customHeight="1" thickBot="1" x14ac:dyDescent="0.3">
      <c r="A345" s="5" t="s">
        <v>17</v>
      </c>
      <c r="B345" s="1245" t="s">
        <v>106</v>
      </c>
      <c r="C345" s="1246"/>
      <c r="D345" s="1246"/>
    </row>
    <row r="346" spans="1:8" ht="15.75" hidden="1" thickBot="1" x14ac:dyDescent="0.3">
      <c r="A346" s="5" t="s">
        <v>18</v>
      </c>
      <c r="B346" s="1248" t="s">
        <v>106</v>
      </c>
      <c r="C346" s="1249"/>
      <c r="D346" s="1249"/>
    </row>
    <row r="347" spans="1:8" ht="12.75" hidden="1" customHeight="1" x14ac:dyDescent="0.25">
      <c r="A347" s="1250"/>
      <c r="B347" s="8">
        <v>2018</v>
      </c>
      <c r="C347" s="8">
        <v>2019</v>
      </c>
      <c r="D347" s="8">
        <v>2020</v>
      </c>
    </row>
    <row r="348" spans="1:8" ht="9" hidden="1" customHeight="1" thickBot="1" x14ac:dyDescent="0.3">
      <c r="A348" s="1251"/>
      <c r="B348" s="9" t="s">
        <v>10</v>
      </c>
      <c r="C348" s="9" t="s">
        <v>11</v>
      </c>
      <c r="D348" s="9" t="s">
        <v>11</v>
      </c>
    </row>
    <row r="349" spans="1:8" ht="15.75" hidden="1" thickBot="1" x14ac:dyDescent="0.3">
      <c r="A349" s="5" t="s">
        <v>19</v>
      </c>
      <c r="B349" s="10"/>
      <c r="C349" s="10"/>
      <c r="D349" s="10"/>
    </row>
    <row r="350" spans="1:8" ht="15.75" hidden="1" thickBot="1" x14ac:dyDescent="0.3">
      <c r="A350" s="5" t="s">
        <v>20</v>
      </c>
      <c r="B350" s="10"/>
      <c r="C350" s="10"/>
      <c r="D350" s="10"/>
    </row>
    <row r="351" spans="1:8" ht="15.75" hidden="1" thickBot="1" x14ac:dyDescent="0.3">
      <c r="A351" s="5" t="s">
        <v>21</v>
      </c>
      <c r="B351" s="10" t="e">
        <v>#DIV/0!</v>
      </c>
      <c r="C351" s="10" t="e">
        <v>#DIV/0!</v>
      </c>
      <c r="D351" s="10" t="e">
        <v>#DIV/0!</v>
      </c>
    </row>
    <row r="352" spans="1:8" ht="15.75" hidden="1" thickBot="1" x14ac:dyDescent="0.3">
      <c r="A352" s="5" t="s">
        <v>22</v>
      </c>
      <c r="B352" s="151" t="s">
        <v>23</v>
      </c>
      <c r="C352" s="11" t="e">
        <v>#DIV/0!</v>
      </c>
      <c r="D352" s="11" t="e">
        <v>#DIV/0!</v>
      </c>
      <c r="E352" s="12"/>
      <c r="F352" s="12"/>
      <c r="G352" s="12"/>
      <c r="H352" s="12"/>
    </row>
    <row r="353" spans="1:4" ht="15.75" hidden="1" thickBot="1" x14ac:dyDescent="0.3">
      <c r="A353" s="5" t="s">
        <v>24</v>
      </c>
      <c r="B353" s="151" t="s">
        <v>23</v>
      </c>
      <c r="C353" s="11" t="e">
        <v>#DIV/0!</v>
      </c>
      <c r="D353" s="11" t="e">
        <v>#DIV/0!</v>
      </c>
    </row>
    <row r="354" spans="1:4" ht="15.75" hidden="1" thickBot="1" x14ac:dyDescent="0.3">
      <c r="A354" s="5" t="s">
        <v>25</v>
      </c>
      <c r="B354" s="151" t="s">
        <v>23</v>
      </c>
      <c r="C354" s="11" t="e">
        <v>#DIV/0!</v>
      </c>
      <c r="D354" s="11" t="e">
        <v>#DIV/0!</v>
      </c>
    </row>
    <row r="355" spans="1:4" ht="15.75" hidden="1" thickBot="1" x14ac:dyDescent="0.3">
      <c r="A355" s="1252" t="s">
        <v>635</v>
      </c>
      <c r="B355" s="1253"/>
      <c r="C355" s="1253"/>
      <c r="D355" s="1253"/>
    </row>
    <row r="356" spans="1:4" ht="12.75" hidden="1" customHeight="1" x14ac:dyDescent="0.25">
      <c r="A356" s="1250"/>
      <c r="B356" s="8">
        <v>2018</v>
      </c>
      <c r="C356" s="8">
        <v>2019</v>
      </c>
      <c r="D356" s="8">
        <v>2020</v>
      </c>
    </row>
    <row r="357" spans="1:4" ht="9" hidden="1" customHeight="1" thickBot="1" x14ac:dyDescent="0.3">
      <c r="A357" s="1251"/>
      <c r="B357" s="9" t="s">
        <v>10</v>
      </c>
      <c r="C357" s="9" t="s">
        <v>11</v>
      </c>
      <c r="D357" s="9" t="s">
        <v>11</v>
      </c>
    </row>
    <row r="358" spans="1:4" ht="15.75" hidden="1" thickBot="1" x14ac:dyDescent="0.3">
      <c r="A358" s="13" t="s">
        <v>58</v>
      </c>
      <c r="B358" s="14"/>
      <c r="C358" s="14"/>
      <c r="D358" s="14"/>
    </row>
    <row r="359" spans="1:4" ht="15.75" hidden="1" thickBot="1" x14ac:dyDescent="0.3">
      <c r="A359" s="13" t="s">
        <v>59</v>
      </c>
      <c r="B359" s="15"/>
      <c r="C359" s="14"/>
      <c r="D359" s="14"/>
    </row>
    <row r="360" spans="1:4" ht="15.75" hidden="1" thickBot="1" x14ac:dyDescent="0.3">
      <c r="A360" s="16" t="s">
        <v>74</v>
      </c>
      <c r="B360" s="15">
        <v>0</v>
      </c>
      <c r="C360" s="15">
        <v>0</v>
      </c>
      <c r="D360" s="15">
        <v>0</v>
      </c>
    </row>
    <row r="361" spans="1:4" ht="15.75" thickBot="1" x14ac:dyDescent="0.3">
      <c r="A361" s="22"/>
      <c r="B361" s="23"/>
      <c r="C361" s="23"/>
      <c r="D361" s="23"/>
    </row>
    <row r="362" spans="1:4" ht="36" customHeight="1" thickBot="1" x14ac:dyDescent="0.3">
      <c r="A362" s="6" t="s">
        <v>82</v>
      </c>
      <c r="B362" s="24">
        <v>1516460</v>
      </c>
      <c r="C362" s="24">
        <v>1560000</v>
      </c>
      <c r="D362" s="24">
        <v>1559999.5</v>
      </c>
    </row>
    <row r="363" spans="1:4" ht="24.75" thickBot="1" x14ac:dyDescent="0.3">
      <c r="A363" s="6" t="s">
        <v>83</v>
      </c>
      <c r="B363" s="24">
        <v>1516460</v>
      </c>
      <c r="C363" s="24">
        <v>1560000</v>
      </c>
      <c r="D363" s="24">
        <v>1559999.5</v>
      </c>
    </row>
    <row r="364" spans="1:4" ht="24.75" thickBot="1" x14ac:dyDescent="0.3">
      <c r="A364" s="25" t="s">
        <v>84</v>
      </c>
      <c r="B364" s="26"/>
      <c r="C364" s="27">
        <v>2.8711604658217205E-2</v>
      </c>
      <c r="D364" s="27">
        <v>-3.2051282050638008E-7</v>
      </c>
    </row>
    <row r="365" spans="1:4" ht="15.75" thickBot="1" x14ac:dyDescent="0.3">
      <c r="A365" s="13" t="s">
        <v>26</v>
      </c>
      <c r="B365" s="14">
        <v>884000</v>
      </c>
      <c r="C365" s="14">
        <v>899000</v>
      </c>
      <c r="D365" s="14">
        <v>899000</v>
      </c>
    </row>
    <row r="366" spans="1:4" ht="15.75" thickBot="1" x14ac:dyDescent="0.3">
      <c r="A366" s="28" t="s">
        <v>85</v>
      </c>
      <c r="B366" s="15"/>
      <c r="C366" s="29">
        <v>1.6968325791855143E-2</v>
      </c>
      <c r="D366" s="29">
        <v>0</v>
      </c>
    </row>
    <row r="367" spans="1:4" ht="24.75" thickBot="1" x14ac:dyDescent="0.3">
      <c r="A367" s="13" t="s">
        <v>28</v>
      </c>
      <c r="B367" s="14">
        <v>155000</v>
      </c>
      <c r="C367" s="14">
        <v>153000</v>
      </c>
      <c r="D367" s="14">
        <v>153000</v>
      </c>
    </row>
    <row r="368" spans="1:4" ht="24.75" thickBot="1" x14ac:dyDescent="0.3">
      <c r="A368" s="28" t="s">
        <v>86</v>
      </c>
      <c r="B368" s="15"/>
      <c r="C368" s="29">
        <v>-1.2903225806451646E-2</v>
      </c>
      <c r="D368" s="29">
        <v>0</v>
      </c>
    </row>
    <row r="369" spans="1:4" ht="15.75" thickBot="1" x14ac:dyDescent="0.3">
      <c r="A369" s="13" t="s">
        <v>30</v>
      </c>
      <c r="B369" s="14">
        <v>422000</v>
      </c>
      <c r="C369" s="14">
        <v>430000</v>
      </c>
      <c r="D369" s="14">
        <v>438000</v>
      </c>
    </row>
    <row r="370" spans="1:4" ht="15.75" thickBot="1" x14ac:dyDescent="0.3">
      <c r="A370" s="28" t="s">
        <v>87</v>
      </c>
      <c r="B370" s="15"/>
      <c r="C370" s="29">
        <v>1.8957345971563955E-2</v>
      </c>
      <c r="D370" s="29">
        <v>1.8604651162790642E-2</v>
      </c>
    </row>
    <row r="371" spans="1:4" ht="15.75" thickBot="1" x14ac:dyDescent="0.3">
      <c r="A371" s="13" t="s">
        <v>32</v>
      </c>
      <c r="B371" s="14">
        <v>0</v>
      </c>
      <c r="C371" s="14">
        <v>0</v>
      </c>
      <c r="D371" s="14">
        <v>0</v>
      </c>
    </row>
    <row r="372" spans="1:4" ht="15.75" thickBot="1" x14ac:dyDescent="0.3">
      <c r="A372" s="28" t="s">
        <v>88</v>
      </c>
      <c r="B372" s="15"/>
      <c r="C372" s="29" t="e">
        <v>#DIV/0!</v>
      </c>
      <c r="D372" s="29" t="e">
        <v>#DIV/0!</v>
      </c>
    </row>
    <row r="373" spans="1:4" ht="15.75" thickBot="1" x14ac:dyDescent="0.3">
      <c r="A373" s="13" t="s">
        <v>34</v>
      </c>
      <c r="B373" s="14">
        <v>0</v>
      </c>
      <c r="C373" s="14">
        <v>0</v>
      </c>
      <c r="D373" s="14">
        <v>0</v>
      </c>
    </row>
    <row r="374" spans="1:4" ht="15.75" thickBot="1" x14ac:dyDescent="0.3">
      <c r="A374" s="28" t="s">
        <v>89</v>
      </c>
      <c r="B374" s="15"/>
      <c r="C374" s="29" t="e">
        <v>#DIV/0!</v>
      </c>
      <c r="D374" s="29" t="e">
        <v>#DIV/0!</v>
      </c>
    </row>
    <row r="375" spans="1:4" ht="15.75" thickBot="1" x14ac:dyDescent="0.3">
      <c r="A375" s="13" t="s">
        <v>36</v>
      </c>
      <c r="B375" s="14">
        <v>0</v>
      </c>
      <c r="C375" s="14">
        <v>0</v>
      </c>
      <c r="D375" s="14">
        <v>0</v>
      </c>
    </row>
    <row r="376" spans="1:4" ht="15.75" thickBot="1" x14ac:dyDescent="0.3">
      <c r="A376" s="28" t="s">
        <v>90</v>
      </c>
      <c r="B376" s="15"/>
      <c r="C376" s="29" t="e">
        <v>#DIV/0!</v>
      </c>
      <c r="D376" s="29" t="e">
        <v>#DIV/0!</v>
      </c>
    </row>
    <row r="377" spans="1:4" ht="15.75" thickBot="1" x14ac:dyDescent="0.3">
      <c r="A377" s="13" t="s">
        <v>38</v>
      </c>
      <c r="B377" s="14">
        <v>33000</v>
      </c>
      <c r="C377" s="14">
        <v>28000</v>
      </c>
      <c r="D377" s="14">
        <v>20000</v>
      </c>
    </row>
    <row r="378" spans="1:4" ht="24.75" thickBot="1" x14ac:dyDescent="0.3">
      <c r="A378" s="28" t="s">
        <v>91</v>
      </c>
      <c r="B378" s="15"/>
      <c r="C378" s="29">
        <v>-0.15151515151515149</v>
      </c>
      <c r="D378" s="29">
        <v>-0.2857142857142857</v>
      </c>
    </row>
    <row r="379" spans="1:4" ht="15.75" thickBot="1" x14ac:dyDescent="0.3">
      <c r="A379" s="13" t="s">
        <v>92</v>
      </c>
      <c r="B379" s="14">
        <v>0</v>
      </c>
      <c r="C379" s="14">
        <v>0</v>
      </c>
      <c r="D379" s="14">
        <v>0</v>
      </c>
    </row>
    <row r="380" spans="1:4" ht="15.75" thickBot="1" x14ac:dyDescent="0.3">
      <c r="A380" s="28" t="s">
        <v>93</v>
      </c>
      <c r="B380" s="15"/>
      <c r="C380" s="29" t="e">
        <v>#DIV/0!</v>
      </c>
      <c r="D380" s="29" t="e">
        <v>#DIV/0!</v>
      </c>
    </row>
    <row r="381" spans="1:4" ht="15.75" thickBot="1" x14ac:dyDescent="0.3">
      <c r="A381" s="13" t="s">
        <v>94</v>
      </c>
      <c r="B381" s="14">
        <v>22460</v>
      </c>
      <c r="C381" s="14">
        <v>50000</v>
      </c>
      <c r="D381" s="14">
        <v>49999.5</v>
      </c>
    </row>
    <row r="382" spans="1:4" ht="15.75" thickBot="1" x14ac:dyDescent="0.3">
      <c r="A382" s="28" t="s">
        <v>95</v>
      </c>
      <c r="B382" s="15"/>
      <c r="C382" s="29">
        <v>1.2261798753339268</v>
      </c>
      <c r="D382" s="29">
        <v>-9.9999999999544897E-6</v>
      </c>
    </row>
    <row r="383" spans="1:4" ht="15.75" thickBot="1" x14ac:dyDescent="0.3">
      <c r="A383" s="17" t="s">
        <v>41</v>
      </c>
      <c r="B383" s="18">
        <v>0</v>
      </c>
      <c r="C383" s="18">
        <v>0</v>
      </c>
      <c r="D383" s="18">
        <v>0</v>
      </c>
    </row>
    <row r="384" spans="1:4" ht="24.75" thickBot="1" x14ac:dyDescent="0.3">
      <c r="A384" s="30" t="s">
        <v>96</v>
      </c>
      <c r="B384" s="14">
        <v>913</v>
      </c>
      <c r="C384" s="14">
        <v>913</v>
      </c>
      <c r="D384" s="14">
        <v>913</v>
      </c>
    </row>
    <row r="385" spans="1:4" ht="24.75" thickBot="1" x14ac:dyDescent="0.3">
      <c r="A385" s="30" t="s">
        <v>97</v>
      </c>
      <c r="B385" s="14" t="s">
        <v>652</v>
      </c>
      <c r="C385" s="14" t="s">
        <v>653</v>
      </c>
      <c r="D385" s="14" t="s">
        <v>654</v>
      </c>
    </row>
    <row r="386" spans="1:4" s="119" customFormat="1" x14ac:dyDescent="0.25"/>
    <row r="387" spans="1:4" s="119" customFormat="1" x14ac:dyDescent="0.25"/>
    <row r="388" spans="1:4" s="119" customFormat="1" x14ac:dyDescent="0.25"/>
    <row r="389" spans="1:4" s="119" customFormat="1" x14ac:dyDescent="0.25"/>
    <row r="390" spans="1:4" s="119" customFormat="1" x14ac:dyDescent="0.25"/>
  </sheetData>
  <mergeCells count="144">
    <mergeCell ref="B239:D239"/>
    <mergeCell ref="A214:A215"/>
    <mergeCell ref="A222:D222"/>
    <mergeCell ref="A223:A224"/>
    <mergeCell ref="B228:D228"/>
    <mergeCell ref="A229:D229"/>
    <mergeCell ref="A233:D233"/>
    <mergeCell ref="B195:D195"/>
    <mergeCell ref="A196:A197"/>
    <mergeCell ref="A235:A236"/>
    <mergeCell ref="B237:D237"/>
    <mergeCell ref="B238:D238"/>
    <mergeCell ref="B211:D211"/>
    <mergeCell ref="A204:D204"/>
    <mergeCell ref="A205:A206"/>
    <mergeCell ref="B210:D210"/>
    <mergeCell ref="A234:D234"/>
    <mergeCell ref="A318:A319"/>
    <mergeCell ref="A291:A292"/>
    <mergeCell ref="A299:D299"/>
    <mergeCell ref="A300:A301"/>
    <mergeCell ref="B305:D305"/>
    <mergeCell ref="A285:D285"/>
    <mergeCell ref="A286:D286"/>
    <mergeCell ref="A250:D250"/>
    <mergeCell ref="A274:A275"/>
    <mergeCell ref="A251:A252"/>
    <mergeCell ref="B262:D262"/>
    <mergeCell ref="B263:D263"/>
    <mergeCell ref="B264:D264"/>
    <mergeCell ref="A265:A266"/>
    <mergeCell ref="A273:D273"/>
    <mergeCell ref="A240:A241"/>
    <mergeCell ref="A248:A249"/>
    <mergeCell ref="B308:D308"/>
    <mergeCell ref="A356:A357"/>
    <mergeCell ref="B327:D327"/>
    <mergeCell ref="B328:D328"/>
    <mergeCell ref="A329:A330"/>
    <mergeCell ref="A337:D337"/>
    <mergeCell ref="A338:A339"/>
    <mergeCell ref="B287:D287"/>
    <mergeCell ref="B288:D288"/>
    <mergeCell ref="B289:D289"/>
    <mergeCell ref="B290:D290"/>
    <mergeCell ref="B344:D344"/>
    <mergeCell ref="B345:D345"/>
    <mergeCell ref="B346:D346"/>
    <mergeCell ref="A347:A348"/>
    <mergeCell ref="A355:D355"/>
    <mergeCell ref="B325:D325"/>
    <mergeCell ref="B326:D326"/>
    <mergeCell ref="B343:D343"/>
    <mergeCell ref="A324:D324"/>
    <mergeCell ref="B306:D306"/>
    <mergeCell ref="B307:D307"/>
    <mergeCell ref="A323:D323"/>
    <mergeCell ref="A309:A310"/>
    <mergeCell ref="A317:D317"/>
    <mergeCell ref="B169:D169"/>
    <mergeCell ref="B170:D170"/>
    <mergeCell ref="A30:D30"/>
    <mergeCell ref="B31:D31"/>
    <mergeCell ref="B32:D32"/>
    <mergeCell ref="B33:D33"/>
    <mergeCell ref="B212:D212"/>
    <mergeCell ref="B213:D213"/>
    <mergeCell ref="A184:A185"/>
    <mergeCell ref="B192:D192"/>
    <mergeCell ref="B193:D193"/>
    <mergeCell ref="B194:D194"/>
    <mergeCell ref="A58:A59"/>
    <mergeCell ref="A65:D65"/>
    <mergeCell ref="A66:A67"/>
    <mergeCell ref="A77:D77"/>
    <mergeCell ref="A154:D154"/>
    <mergeCell ref="A155:D155"/>
    <mergeCell ref="B115:D115"/>
    <mergeCell ref="B116:D116"/>
    <mergeCell ref="B117:D117"/>
    <mergeCell ref="B118:D118"/>
    <mergeCell ref="A78:D78"/>
    <mergeCell ref="B79:D79"/>
    <mergeCell ref="B181:D181"/>
    <mergeCell ref="B182:D182"/>
    <mergeCell ref="B183:D183"/>
    <mergeCell ref="B171:D171"/>
    <mergeCell ref="A172:A173"/>
    <mergeCell ref="B180:D180"/>
    <mergeCell ref="A34:A35"/>
    <mergeCell ref="A42:D42"/>
    <mergeCell ref="B11:D11"/>
    <mergeCell ref="B12:D12"/>
    <mergeCell ref="B13:D13"/>
    <mergeCell ref="A14:D14"/>
    <mergeCell ref="B139:D139"/>
    <mergeCell ref="A140:A141"/>
    <mergeCell ref="A148:D148"/>
    <mergeCell ref="A43:A44"/>
    <mergeCell ref="B54:D54"/>
    <mergeCell ref="A15:D17"/>
    <mergeCell ref="B18:D18"/>
    <mergeCell ref="A19:A20"/>
    <mergeCell ref="B24:D24"/>
    <mergeCell ref="A25:D25"/>
    <mergeCell ref="A29:D29"/>
    <mergeCell ref="B80:D80"/>
    <mergeCell ref="A107:A108"/>
    <mergeCell ref="B168:D168"/>
    <mergeCell ref="B158:D158"/>
    <mergeCell ref="B159:D159"/>
    <mergeCell ref="A119:A120"/>
    <mergeCell ref="B94:D94"/>
    <mergeCell ref="B136:D136"/>
    <mergeCell ref="B137:D137"/>
    <mergeCell ref="B156:D156"/>
    <mergeCell ref="B157:D157"/>
    <mergeCell ref="B103:D103"/>
    <mergeCell ref="B104:D104"/>
    <mergeCell ref="B105:D105"/>
    <mergeCell ref="B106:D106"/>
    <mergeCell ref="B138:D138"/>
    <mergeCell ref="A160:A161"/>
    <mergeCell ref="A95:A96"/>
    <mergeCell ref="A149:A150"/>
    <mergeCell ref="A127:D127"/>
    <mergeCell ref="A128:A129"/>
    <mergeCell ref="A133:A135"/>
    <mergeCell ref="B133:D135"/>
    <mergeCell ref="B3:D3"/>
    <mergeCell ref="B4:D4"/>
    <mergeCell ref="B5:D5"/>
    <mergeCell ref="C6:D6"/>
    <mergeCell ref="C7:D7"/>
    <mergeCell ref="C8:D8"/>
    <mergeCell ref="B91:D91"/>
    <mergeCell ref="B92:D92"/>
    <mergeCell ref="B93:D93"/>
    <mergeCell ref="A10:D10"/>
    <mergeCell ref="B55:D55"/>
    <mergeCell ref="B56:D56"/>
    <mergeCell ref="B81:D81"/>
    <mergeCell ref="B82:D82"/>
    <mergeCell ref="A83:A84"/>
  </mergeCells>
  <printOptions horizontalCentered="1" verticalCentered="1"/>
  <pageMargins left="0.7" right="0.7" top="0.75" bottom="0.75" header="0.3" footer="0.3"/>
  <pageSetup scale="65" orientation="portrait" r:id="rId1"/>
  <rowBreaks count="1" manualBreakCount="1">
    <brk id="76"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2:I317"/>
  <sheetViews>
    <sheetView view="pageBreakPreview" topLeftCell="A307" zoomScale="60" zoomScaleNormal="124" workbookViewId="0">
      <selection activeCell="P349" sqref="P349"/>
    </sheetView>
  </sheetViews>
  <sheetFormatPr defaultRowHeight="15" x14ac:dyDescent="0.25"/>
  <cols>
    <col min="1" max="1" width="21.42578125" customWidth="1"/>
    <col min="2" max="3" width="17.42578125" customWidth="1"/>
    <col min="4" max="4" width="17.140625" customWidth="1"/>
    <col min="5" max="5" width="21.42578125" customWidth="1"/>
    <col min="6" max="6" width="11" customWidth="1"/>
    <col min="7" max="7" width="11" bestFit="1" customWidth="1"/>
  </cols>
  <sheetData>
    <row r="2" spans="1:5" x14ac:dyDescent="0.25">
      <c r="A2" s="189" t="s">
        <v>898</v>
      </c>
      <c r="B2" s="188"/>
      <c r="C2" s="188"/>
      <c r="D2" s="188"/>
    </row>
    <row r="4" spans="1:5" ht="15.75" thickBot="1" x14ac:dyDescent="0.3"/>
    <row r="5" spans="1:5" ht="23.25" thickBot="1" x14ac:dyDescent="0.3">
      <c r="A5" s="886" t="s">
        <v>897</v>
      </c>
      <c r="B5" s="2362" t="s">
        <v>1489</v>
      </c>
      <c r="C5" s="2363"/>
      <c r="D5" s="2363"/>
      <c r="E5" s="2364"/>
    </row>
    <row r="6" spans="1:5" ht="23.25" thickBot="1" x14ac:dyDescent="0.3">
      <c r="A6" s="884" t="s">
        <v>895</v>
      </c>
      <c r="B6" s="2365" t="s">
        <v>785</v>
      </c>
      <c r="C6" s="2366"/>
      <c r="D6" s="2366"/>
      <c r="E6" s="2367"/>
    </row>
    <row r="7" spans="1:5" ht="51" customHeight="1" thickBot="1" x14ac:dyDescent="0.3">
      <c r="A7" s="884" t="s">
        <v>914</v>
      </c>
      <c r="B7" s="1387" t="s">
        <v>1488</v>
      </c>
      <c r="C7" s="1246"/>
      <c r="D7" s="1246"/>
      <c r="E7" s="1298"/>
    </row>
    <row r="8" spans="1:5" ht="15.75" thickBot="1" x14ac:dyDescent="0.3">
      <c r="A8" s="884" t="s">
        <v>891</v>
      </c>
      <c r="B8" s="885" t="s">
        <v>912</v>
      </c>
      <c r="C8" s="2368" t="s">
        <v>7</v>
      </c>
      <c r="D8" s="2368"/>
      <c r="E8" s="2369"/>
    </row>
    <row r="9" spans="1:5" ht="23.25" thickBot="1" x14ac:dyDescent="0.3">
      <c r="A9" s="884" t="s">
        <v>929</v>
      </c>
      <c r="B9" s="883">
        <v>1330</v>
      </c>
      <c r="C9" s="1246" t="s">
        <v>1487</v>
      </c>
      <c r="D9" s="1246"/>
      <c r="E9" s="1298"/>
    </row>
    <row r="10" spans="1:5" ht="23.25" thickBot="1" x14ac:dyDescent="0.3">
      <c r="A10" s="884" t="s">
        <v>927</v>
      </c>
      <c r="B10" s="883"/>
      <c r="C10" s="1246"/>
      <c r="D10" s="1246"/>
      <c r="E10" s="1298"/>
    </row>
    <row r="12" spans="1:5" ht="18" customHeight="1" x14ac:dyDescent="0.25">
      <c r="A12" s="1247" t="s">
        <v>0</v>
      </c>
      <c r="B12" s="1247"/>
      <c r="C12" s="1247"/>
      <c r="D12" s="1247"/>
      <c r="E12" s="1247"/>
    </row>
    <row r="13" spans="1:5" ht="18" customHeight="1" x14ac:dyDescent="0.25">
      <c r="A13" s="1558" t="s">
        <v>1</v>
      </c>
      <c r="B13" s="1558"/>
      <c r="C13" s="1558"/>
      <c r="D13" s="1558"/>
      <c r="E13" s="1558"/>
    </row>
    <row r="14" spans="1:5" ht="15.75" thickBot="1" x14ac:dyDescent="0.3"/>
    <row r="15" spans="1:5" ht="26.25" thickBot="1" x14ac:dyDescent="0.3">
      <c r="A15" s="2" t="s">
        <v>2</v>
      </c>
      <c r="B15" s="2370" t="s">
        <v>784</v>
      </c>
      <c r="C15" s="2370"/>
      <c r="D15" s="2370"/>
      <c r="E15" s="2370"/>
    </row>
    <row r="16" spans="1:5" ht="15.75" thickBot="1" x14ac:dyDescent="0.3">
      <c r="A16" s="2" t="s">
        <v>3</v>
      </c>
      <c r="B16" s="1087" t="s">
        <v>785</v>
      </c>
      <c r="C16" s="1088"/>
      <c r="D16" s="1088"/>
      <c r="E16" s="1089"/>
    </row>
    <row r="17" spans="1:8" ht="26.25" thickBot="1" x14ac:dyDescent="0.3">
      <c r="A17" s="2" t="s">
        <v>5</v>
      </c>
      <c r="B17" s="1265" t="s">
        <v>6</v>
      </c>
      <c r="C17" s="1095"/>
      <c r="D17" s="1095"/>
      <c r="E17" s="1096"/>
    </row>
    <row r="18" spans="1:8" ht="15.75" thickBot="1" x14ac:dyDescent="0.3">
      <c r="A18" s="1266" t="s">
        <v>7</v>
      </c>
      <c r="B18" s="1267"/>
      <c r="C18" s="1267"/>
      <c r="D18" s="1267"/>
      <c r="E18" s="1297"/>
    </row>
    <row r="19" spans="1:8" ht="15.75" thickBot="1" x14ac:dyDescent="0.3">
      <c r="A19" s="1268" t="s">
        <v>786</v>
      </c>
      <c r="B19" s="1269"/>
      <c r="C19" s="1269"/>
      <c r="D19" s="1269"/>
      <c r="E19" s="1301"/>
    </row>
    <row r="20" spans="1:8" ht="36.75" customHeight="1" thickBot="1" x14ac:dyDescent="0.3">
      <c r="A20" s="1268"/>
      <c r="B20" s="1269"/>
      <c r="C20" s="1269"/>
      <c r="D20" s="1269"/>
      <c r="E20" s="1301"/>
    </row>
    <row r="21" spans="1:8" ht="15.75" thickBot="1" x14ac:dyDescent="0.3">
      <c r="A21" s="1268"/>
      <c r="B21" s="1269"/>
      <c r="C21" s="1269"/>
      <c r="D21" s="1269"/>
      <c r="E21" s="1301"/>
    </row>
    <row r="22" spans="1:8" ht="40.5" customHeight="1" thickBot="1" x14ac:dyDescent="0.3">
      <c r="A22" s="3" t="s">
        <v>8</v>
      </c>
      <c r="B22" s="1272" t="s">
        <v>787</v>
      </c>
      <c r="C22" s="1270"/>
      <c r="D22" s="1270"/>
      <c r="E22" s="1305"/>
    </row>
    <row r="23" spans="1:8" ht="23.25" customHeight="1" x14ac:dyDescent="0.25">
      <c r="A23" s="1250" t="s">
        <v>102</v>
      </c>
      <c r="B23" s="262">
        <v>2018</v>
      </c>
      <c r="C23" s="262">
        <v>2019</v>
      </c>
      <c r="D23" s="262">
        <v>2020</v>
      </c>
      <c r="E23" s="262">
        <v>2021</v>
      </c>
    </row>
    <row r="24" spans="1:8" ht="15.75" thickBot="1" x14ac:dyDescent="0.3">
      <c r="A24" s="1251"/>
      <c r="B24" s="263" t="s">
        <v>10</v>
      </c>
      <c r="C24" s="263" t="s">
        <v>11</v>
      </c>
      <c r="D24" s="263" t="s">
        <v>11</v>
      </c>
      <c r="E24" s="263" t="s">
        <v>11</v>
      </c>
    </row>
    <row r="25" spans="1:8" ht="80.25" thickBot="1" x14ac:dyDescent="0.3">
      <c r="A25" s="880" t="s">
        <v>788</v>
      </c>
      <c r="B25" s="60">
        <v>4</v>
      </c>
      <c r="C25" s="60">
        <v>4</v>
      </c>
      <c r="D25" s="60">
        <v>4</v>
      </c>
      <c r="E25" s="60">
        <v>4</v>
      </c>
    </row>
    <row r="26" spans="1:8" ht="90.75" thickBot="1" x14ac:dyDescent="0.3">
      <c r="A26" s="881" t="s">
        <v>789</v>
      </c>
      <c r="B26" s="60">
        <v>2015</v>
      </c>
      <c r="C26" s="60">
        <v>2015</v>
      </c>
      <c r="D26" s="60">
        <v>2015</v>
      </c>
      <c r="E26" s="60">
        <v>2015</v>
      </c>
    </row>
    <row r="27" spans="1:8" ht="69" thickBot="1" x14ac:dyDescent="0.3">
      <c r="A27" s="880" t="s">
        <v>790</v>
      </c>
      <c r="B27" s="60">
        <v>80</v>
      </c>
      <c r="C27" s="60">
        <v>90</v>
      </c>
      <c r="D27" s="60">
        <v>100</v>
      </c>
      <c r="E27" s="60">
        <v>109</v>
      </c>
    </row>
    <row r="28" spans="1:8" ht="24.75" thickBot="1" x14ac:dyDescent="0.3">
      <c r="A28" s="6" t="s">
        <v>12</v>
      </c>
      <c r="B28" s="2371" t="s">
        <v>791</v>
      </c>
      <c r="C28" s="2372"/>
      <c r="D28" s="2372"/>
      <c r="E28" s="2373"/>
    </row>
    <row r="29" spans="1:8" ht="23.25" customHeight="1" thickBot="1" x14ac:dyDescent="0.3">
      <c r="A29" s="1245" t="s">
        <v>103</v>
      </c>
      <c r="B29" s="1246"/>
      <c r="C29" s="1246"/>
      <c r="D29" s="1246"/>
      <c r="E29" s="1298"/>
      <c r="F29" s="35"/>
      <c r="H29" s="35"/>
    </row>
    <row r="30" spans="1:8" ht="24" thickBot="1" x14ac:dyDescent="0.3">
      <c r="A30" s="880" t="s">
        <v>792</v>
      </c>
      <c r="B30" s="4" t="s">
        <v>112</v>
      </c>
      <c r="C30" s="4" t="s">
        <v>113</v>
      </c>
      <c r="D30" s="4" t="s">
        <v>113</v>
      </c>
      <c r="E30" s="4" t="s">
        <v>113</v>
      </c>
    </row>
    <row r="31" spans="1:8" ht="15.75" thickBot="1" x14ac:dyDescent="0.3">
      <c r="A31" s="5" t="s">
        <v>165</v>
      </c>
      <c r="B31" s="4" t="s">
        <v>112</v>
      </c>
      <c r="C31" s="4" t="s">
        <v>113</v>
      </c>
      <c r="D31" s="4" t="s">
        <v>113</v>
      </c>
      <c r="E31" s="4" t="s">
        <v>113</v>
      </c>
    </row>
    <row r="32" spans="1:8" ht="23.25" thickBot="1" x14ac:dyDescent="0.3">
      <c r="A32" s="5" t="s">
        <v>111</v>
      </c>
      <c r="B32" s="4" t="s">
        <v>112</v>
      </c>
      <c r="C32" s="4" t="s">
        <v>113</v>
      </c>
      <c r="D32" s="4" t="s">
        <v>113</v>
      </c>
      <c r="E32" s="4" t="s">
        <v>113</v>
      </c>
    </row>
    <row r="33" spans="1:9" ht="15.75" thickBot="1" x14ac:dyDescent="0.3">
      <c r="A33" s="1273" t="s">
        <v>793</v>
      </c>
      <c r="B33" s="1274"/>
      <c r="C33" s="1274"/>
      <c r="D33" s="1274"/>
      <c r="E33" s="1299"/>
    </row>
    <row r="34" spans="1:9" ht="15.75" thickBot="1" x14ac:dyDescent="0.3">
      <c r="A34" s="1275" t="s">
        <v>104</v>
      </c>
      <c r="B34" s="1276"/>
      <c r="C34" s="1276"/>
      <c r="D34" s="1276"/>
      <c r="E34" s="1317"/>
    </row>
    <row r="35" spans="1:9" ht="15.75" thickBot="1" x14ac:dyDescent="0.3">
      <c r="A35" s="7" t="s">
        <v>105</v>
      </c>
      <c r="B35" s="1243" t="s">
        <v>792</v>
      </c>
      <c r="C35" s="1244"/>
      <c r="D35" s="1244"/>
      <c r="E35" s="1315"/>
    </row>
    <row r="36" spans="1:9" ht="17.25" customHeight="1" thickBot="1" x14ac:dyDescent="0.3">
      <c r="A36" s="5" t="s">
        <v>17</v>
      </c>
      <c r="B36" s="1245" t="s">
        <v>794</v>
      </c>
      <c r="C36" s="1246"/>
      <c r="D36" s="1246"/>
      <c r="E36" s="1298"/>
    </row>
    <row r="37" spans="1:9" ht="15.75" thickBot="1" x14ac:dyDescent="0.3">
      <c r="A37" s="5" t="s">
        <v>18</v>
      </c>
      <c r="B37" s="1248" t="s">
        <v>795</v>
      </c>
      <c r="C37" s="1249"/>
      <c r="D37" s="1249"/>
      <c r="E37" s="1316"/>
    </row>
    <row r="38" spans="1:9" ht="12.75" customHeight="1" x14ac:dyDescent="0.25">
      <c r="A38" s="1250"/>
      <c r="B38" s="8">
        <v>2018</v>
      </c>
      <c r="C38" s="8">
        <v>2019</v>
      </c>
      <c r="D38" s="8">
        <v>2020</v>
      </c>
      <c r="E38" s="8">
        <v>2021</v>
      </c>
    </row>
    <row r="39" spans="1:9" ht="9" customHeight="1" thickBot="1" x14ac:dyDescent="0.3">
      <c r="A39" s="1251"/>
      <c r="B39" s="9" t="s">
        <v>10</v>
      </c>
      <c r="C39" s="9" t="s">
        <v>11</v>
      </c>
      <c r="D39" s="9" t="s">
        <v>11</v>
      </c>
      <c r="E39" s="9" t="s">
        <v>11</v>
      </c>
    </row>
    <row r="40" spans="1:9" ht="15.75" thickBot="1" x14ac:dyDescent="0.3">
      <c r="A40" s="5" t="s">
        <v>19</v>
      </c>
      <c r="B40" s="10">
        <v>779</v>
      </c>
      <c r="C40" s="10">
        <v>779</v>
      </c>
      <c r="D40" s="10">
        <v>779</v>
      </c>
      <c r="E40" s="10">
        <v>779</v>
      </c>
    </row>
    <row r="41" spans="1:9" ht="15.75" thickBot="1" x14ac:dyDescent="0.3">
      <c r="A41" s="5" t="s">
        <v>20</v>
      </c>
      <c r="B41" s="10">
        <v>13214</v>
      </c>
      <c r="C41" s="10">
        <v>13366</v>
      </c>
      <c r="D41" s="10">
        <v>13523</v>
      </c>
      <c r="E41" s="10">
        <v>13684</v>
      </c>
    </row>
    <row r="42" spans="1:9" ht="15.75" thickBot="1" x14ac:dyDescent="0.3">
      <c r="A42" s="5" t="s">
        <v>21</v>
      </c>
      <c r="B42" s="10">
        <f>B41/B40</f>
        <v>16.962772785622594</v>
      </c>
      <c r="C42" s="10">
        <f>C41/C40</f>
        <v>17.157894736842106</v>
      </c>
      <c r="D42" s="10">
        <f>D41/D40</f>
        <v>17.359435173299101</v>
      </c>
      <c r="E42" s="10">
        <f>E41/E40</f>
        <v>17.566110397946083</v>
      </c>
    </row>
    <row r="43" spans="1:9" ht="15.75" thickBot="1" x14ac:dyDescent="0.3">
      <c r="A43" s="5" t="s">
        <v>22</v>
      </c>
      <c r="B43" s="260" t="s">
        <v>23</v>
      </c>
      <c r="C43" s="11">
        <f t="shared" ref="C43:E45" si="0">C40/B40-1</f>
        <v>0</v>
      </c>
      <c r="D43" s="11">
        <f t="shared" si="0"/>
        <v>0</v>
      </c>
      <c r="E43" s="11">
        <f t="shared" si="0"/>
        <v>0</v>
      </c>
      <c r="F43" s="12"/>
      <c r="G43" s="12"/>
      <c r="H43" s="12"/>
      <c r="I43" s="12"/>
    </row>
    <row r="44" spans="1:9" ht="15.75" thickBot="1" x14ac:dyDescent="0.3">
      <c r="A44" s="5" t="s">
        <v>24</v>
      </c>
      <c r="B44" s="260" t="s">
        <v>23</v>
      </c>
      <c r="C44" s="11">
        <f t="shared" si="0"/>
        <v>1.1502951415165663E-2</v>
      </c>
      <c r="D44" s="11">
        <f t="shared" si="0"/>
        <v>1.1746221756696151E-2</v>
      </c>
      <c r="E44" s="11">
        <f t="shared" si="0"/>
        <v>1.190564223914814E-2</v>
      </c>
    </row>
    <row r="45" spans="1:9" ht="23.25" thickBot="1" x14ac:dyDescent="0.3">
      <c r="A45" s="5" t="s">
        <v>25</v>
      </c>
      <c r="B45" s="260" t="s">
        <v>23</v>
      </c>
      <c r="C45" s="11">
        <f t="shared" si="0"/>
        <v>1.1502951415165663E-2</v>
      </c>
      <c r="D45" s="11">
        <f t="shared" si="0"/>
        <v>1.1746221756695929E-2</v>
      </c>
      <c r="E45" s="11">
        <f t="shared" si="0"/>
        <v>1.190564223914814E-2</v>
      </c>
    </row>
    <row r="46" spans="1:9" ht="15.75" thickBot="1" x14ac:dyDescent="0.3">
      <c r="A46" s="1252" t="s">
        <v>633</v>
      </c>
      <c r="B46" s="1253"/>
      <c r="C46" s="1253"/>
      <c r="D46" s="1253"/>
      <c r="E46" s="1300"/>
    </row>
    <row r="47" spans="1:9" ht="12.75" customHeight="1" x14ac:dyDescent="0.25">
      <c r="A47" s="1250"/>
      <c r="B47" s="8">
        <v>2018</v>
      </c>
      <c r="C47" s="8">
        <v>2019</v>
      </c>
      <c r="D47" s="8">
        <v>2020</v>
      </c>
      <c r="E47" s="8">
        <v>2021</v>
      </c>
    </row>
    <row r="48" spans="1:9" ht="9" customHeight="1" thickBot="1" x14ac:dyDescent="0.3">
      <c r="A48" s="1251"/>
      <c r="B48" s="9" t="s">
        <v>10</v>
      </c>
      <c r="C48" s="9" t="s">
        <v>11</v>
      </c>
      <c r="D48" s="9" t="s">
        <v>11</v>
      </c>
      <c r="E48" s="9" t="s">
        <v>11</v>
      </c>
    </row>
    <row r="49" spans="1:5" ht="15.75" thickBot="1" x14ac:dyDescent="0.3">
      <c r="A49" s="13" t="s">
        <v>26</v>
      </c>
      <c r="B49" s="14">
        <v>7020</v>
      </c>
      <c r="C49" s="14">
        <v>7020</v>
      </c>
      <c r="D49" s="14">
        <v>7020</v>
      </c>
      <c r="E49" s="14">
        <v>7020</v>
      </c>
    </row>
    <row r="50" spans="1:5" ht="24.75" thickBot="1" x14ac:dyDescent="0.3">
      <c r="A50" s="13" t="s">
        <v>28</v>
      </c>
      <c r="B50" s="14">
        <v>1124</v>
      </c>
      <c r="C50" s="14">
        <v>1124</v>
      </c>
      <c r="D50" s="14">
        <v>1124</v>
      </c>
      <c r="E50" s="14">
        <v>1124</v>
      </c>
    </row>
    <row r="51" spans="1:5" ht="15.75" thickBot="1" x14ac:dyDescent="0.3">
      <c r="A51" s="13" t="s">
        <v>30</v>
      </c>
      <c r="B51" s="15">
        <v>5070</v>
      </c>
      <c r="C51" s="14">
        <v>5222</v>
      </c>
      <c r="D51" s="14">
        <v>5379</v>
      </c>
      <c r="E51" s="14">
        <v>5540</v>
      </c>
    </row>
    <row r="52" spans="1:5" ht="15.75" thickBot="1" x14ac:dyDescent="0.3">
      <c r="A52" s="13" t="s">
        <v>32</v>
      </c>
      <c r="B52" s="15"/>
      <c r="C52" s="14"/>
      <c r="D52" s="14"/>
      <c r="E52" s="14"/>
    </row>
    <row r="53" spans="1:5" ht="24.75" thickBot="1" x14ac:dyDescent="0.3">
      <c r="A53" s="13" t="s">
        <v>34</v>
      </c>
      <c r="B53" s="15"/>
      <c r="C53" s="14"/>
      <c r="D53" s="14"/>
      <c r="E53" s="14"/>
    </row>
    <row r="54" spans="1:5" ht="15.75" thickBot="1" x14ac:dyDescent="0.3">
      <c r="A54" s="13" t="s">
        <v>36</v>
      </c>
      <c r="B54" s="15"/>
      <c r="C54" s="14"/>
      <c r="D54" s="14"/>
      <c r="E54" s="14"/>
    </row>
    <row r="55" spans="1:5" ht="24.75" thickBot="1" x14ac:dyDescent="0.3">
      <c r="A55" s="13" t="s">
        <v>38</v>
      </c>
      <c r="B55" s="15"/>
      <c r="C55" s="14"/>
      <c r="D55" s="14"/>
      <c r="E55" s="14"/>
    </row>
    <row r="56" spans="1:5" ht="15.75" thickBot="1" x14ac:dyDescent="0.3">
      <c r="A56" s="16" t="s">
        <v>40</v>
      </c>
      <c r="B56" s="15">
        <f>B55+B54+B53+B52+B51+B50+B49</f>
        <v>13214</v>
      </c>
      <c r="C56" s="15">
        <f>C55+C54+C53+C52+C51+C50+C49</f>
        <v>13366</v>
      </c>
      <c r="D56" s="15">
        <f>D55+D54+D53+D52+D51+D50+D49</f>
        <v>13523</v>
      </c>
      <c r="E56" s="15">
        <f>E55+E54+E53+E52+E51+E50+E49</f>
        <v>13684</v>
      </c>
    </row>
    <row r="57" spans="1:5" ht="15.75" thickBot="1" x14ac:dyDescent="0.3">
      <c r="A57" s="17" t="s">
        <v>41</v>
      </c>
      <c r="B57" s="18">
        <f>IF(B56-B41=0,0,"Error")</f>
        <v>0</v>
      </c>
      <c r="C57" s="18">
        <f>IF(C56-C41=0,0,"Error")</f>
        <v>0</v>
      </c>
      <c r="D57" s="18">
        <f>IF(D56-D41=0,0,"Error")</f>
        <v>0</v>
      </c>
      <c r="E57" s="18">
        <f>IF(E56-E41=0,0,"Error")</f>
        <v>0</v>
      </c>
    </row>
    <row r="58" spans="1:5" ht="23.25" thickBot="1" x14ac:dyDescent="0.3">
      <c r="A58" s="139" t="s">
        <v>1486</v>
      </c>
      <c r="B58" s="1243" t="s">
        <v>796</v>
      </c>
      <c r="C58" s="1244"/>
      <c r="D58" s="1244"/>
      <c r="E58" s="1315"/>
    </row>
    <row r="59" spans="1:5" ht="15.75" thickBot="1" x14ac:dyDescent="0.3">
      <c r="A59" s="5" t="s">
        <v>17</v>
      </c>
      <c r="B59" s="1245" t="s">
        <v>797</v>
      </c>
      <c r="C59" s="1246"/>
      <c r="D59" s="1246"/>
      <c r="E59" s="1298"/>
    </row>
    <row r="60" spans="1:5" ht="15.75" thickBot="1" x14ac:dyDescent="0.3">
      <c r="A60" s="5" t="s">
        <v>18</v>
      </c>
      <c r="B60" s="1248" t="s">
        <v>798</v>
      </c>
      <c r="C60" s="1249"/>
      <c r="D60" s="1249"/>
      <c r="E60" s="1316"/>
    </row>
    <row r="61" spans="1:5" ht="15.75" thickBot="1" x14ac:dyDescent="0.3">
      <c r="A61" s="5" t="s">
        <v>19</v>
      </c>
      <c r="B61" s="10">
        <v>5</v>
      </c>
      <c r="C61" s="10">
        <v>5</v>
      </c>
      <c r="D61" s="10">
        <v>5</v>
      </c>
      <c r="E61" s="10">
        <v>5</v>
      </c>
    </row>
    <row r="62" spans="1:5" ht="12.75" customHeight="1" x14ac:dyDescent="0.25">
      <c r="A62" s="1250"/>
      <c r="B62" s="8">
        <v>2018</v>
      </c>
      <c r="C62" s="8">
        <v>2019</v>
      </c>
      <c r="D62" s="8">
        <v>2020</v>
      </c>
      <c r="E62" s="8">
        <v>2021</v>
      </c>
    </row>
    <row r="63" spans="1:5" ht="9" customHeight="1" thickBot="1" x14ac:dyDescent="0.3">
      <c r="A63" s="1251"/>
      <c r="B63" s="9" t="s">
        <v>10</v>
      </c>
      <c r="C63" s="9" t="s">
        <v>11</v>
      </c>
      <c r="D63" s="9" t="s">
        <v>11</v>
      </c>
      <c r="E63" s="9" t="s">
        <v>11</v>
      </c>
    </row>
    <row r="64" spans="1:5" ht="15.75" thickBot="1" x14ac:dyDescent="0.3">
      <c r="A64" s="5" t="s">
        <v>20</v>
      </c>
      <c r="B64" s="10">
        <v>0</v>
      </c>
      <c r="C64" s="10">
        <v>0</v>
      </c>
      <c r="D64" s="10">
        <v>0</v>
      </c>
      <c r="E64" s="10">
        <v>0</v>
      </c>
    </row>
    <row r="65" spans="1:5" ht="15.75" thickBot="1" x14ac:dyDescent="0.3">
      <c r="A65" s="5" t="s">
        <v>21</v>
      </c>
      <c r="B65" s="10">
        <f>B64/B61</f>
        <v>0</v>
      </c>
      <c r="C65" s="10">
        <f>C64/C61</f>
        <v>0</v>
      </c>
      <c r="D65" s="10">
        <f>D64/D61</f>
        <v>0</v>
      </c>
      <c r="E65" s="10">
        <f>E64/E61</f>
        <v>0</v>
      </c>
    </row>
    <row r="66" spans="1:5" ht="15.75" thickBot="1" x14ac:dyDescent="0.3">
      <c r="A66" s="5" t="s">
        <v>22</v>
      </c>
      <c r="B66" s="260"/>
      <c r="C66" s="11">
        <f>C61/B61-1</f>
        <v>0</v>
      </c>
      <c r="D66" s="11">
        <f>D61/C61-1</f>
        <v>0</v>
      </c>
      <c r="E66" s="11">
        <f>E61/D61-1</f>
        <v>0</v>
      </c>
    </row>
    <row r="67" spans="1:5" ht="15.75" thickBot="1" x14ac:dyDescent="0.3">
      <c r="A67" s="5" t="s">
        <v>24</v>
      </c>
      <c r="B67" s="260"/>
      <c r="C67" s="11" t="e">
        <f t="shared" ref="C67:E68" si="1">C64/B64-1</f>
        <v>#DIV/0!</v>
      </c>
      <c r="D67" s="11" t="e">
        <f t="shared" si="1"/>
        <v>#DIV/0!</v>
      </c>
      <c r="E67" s="11" t="e">
        <f t="shared" si="1"/>
        <v>#DIV/0!</v>
      </c>
    </row>
    <row r="68" spans="1:5" ht="23.25" thickBot="1" x14ac:dyDescent="0.3">
      <c r="A68" s="5" t="s">
        <v>25</v>
      </c>
      <c r="B68" s="260"/>
      <c r="C68" s="11" t="e">
        <f t="shared" si="1"/>
        <v>#DIV/0!</v>
      </c>
      <c r="D68" s="11" t="e">
        <f t="shared" si="1"/>
        <v>#DIV/0!</v>
      </c>
      <c r="E68" s="11" t="e">
        <f t="shared" si="1"/>
        <v>#DIV/0!</v>
      </c>
    </row>
    <row r="69" spans="1:5" ht="24.75" customHeight="1" thickBot="1" x14ac:dyDescent="0.3">
      <c r="A69" s="1252" t="s">
        <v>862</v>
      </c>
      <c r="B69" s="1253"/>
      <c r="C69" s="1253"/>
      <c r="D69" s="1253"/>
      <c r="E69" s="1300"/>
    </row>
    <row r="70" spans="1:5" ht="12.75" customHeight="1" x14ac:dyDescent="0.25">
      <c r="A70" s="1250"/>
      <c r="B70" s="8">
        <v>2018</v>
      </c>
      <c r="C70" s="8">
        <v>2019</v>
      </c>
      <c r="D70" s="8">
        <v>2020</v>
      </c>
      <c r="E70" s="8">
        <v>2021</v>
      </c>
    </row>
    <row r="71" spans="1:5" ht="9" customHeight="1" thickBot="1" x14ac:dyDescent="0.3">
      <c r="A71" s="1251"/>
      <c r="B71" s="9" t="s">
        <v>10</v>
      </c>
      <c r="C71" s="9" t="s">
        <v>11</v>
      </c>
      <c r="D71" s="9" t="s">
        <v>11</v>
      </c>
      <c r="E71" s="9" t="s">
        <v>11</v>
      </c>
    </row>
    <row r="72" spans="1:5" ht="24.75" customHeight="1" thickBot="1" x14ac:dyDescent="0.3">
      <c r="A72" s="13" t="s">
        <v>26</v>
      </c>
      <c r="B72" s="14"/>
      <c r="C72" s="14"/>
      <c r="D72" s="14"/>
      <c r="E72" s="14"/>
    </row>
    <row r="73" spans="1:5" ht="24.75" customHeight="1" thickBot="1" x14ac:dyDescent="0.3">
      <c r="A73" s="13" t="s">
        <v>28</v>
      </c>
      <c r="B73" s="14"/>
      <c r="C73" s="14"/>
      <c r="D73" s="14"/>
      <c r="E73" s="14"/>
    </row>
    <row r="74" spans="1:5" ht="24.75" customHeight="1" thickBot="1" x14ac:dyDescent="0.3">
      <c r="A74" s="13" t="s">
        <v>30</v>
      </c>
      <c r="B74" s="15">
        <v>0</v>
      </c>
      <c r="C74" s="14">
        <v>0</v>
      </c>
      <c r="D74" s="14">
        <v>0</v>
      </c>
      <c r="E74" s="14">
        <v>0</v>
      </c>
    </row>
    <row r="75" spans="1:5" ht="15.75" thickBot="1" x14ac:dyDescent="0.3">
      <c r="A75" s="13" t="s">
        <v>32</v>
      </c>
      <c r="B75" s="15"/>
      <c r="C75" s="14"/>
      <c r="D75" s="14"/>
      <c r="E75" s="14"/>
    </row>
    <row r="76" spans="1:5" ht="24.75" thickBot="1" x14ac:dyDescent="0.3">
      <c r="A76" s="13" t="s">
        <v>34</v>
      </c>
      <c r="B76" s="15"/>
      <c r="C76" s="14"/>
      <c r="D76" s="14"/>
      <c r="E76" s="14"/>
    </row>
    <row r="77" spans="1:5" ht="15.75" thickBot="1" x14ac:dyDescent="0.3">
      <c r="A77" s="13" t="s">
        <v>36</v>
      </c>
      <c r="B77" s="15"/>
      <c r="C77" s="14"/>
      <c r="D77" s="14"/>
      <c r="E77" s="14"/>
    </row>
    <row r="78" spans="1:5" ht="24.75" thickBot="1" x14ac:dyDescent="0.3">
      <c r="A78" s="13" t="s">
        <v>38</v>
      </c>
      <c r="B78" s="15"/>
      <c r="C78" s="14"/>
      <c r="D78" s="14"/>
      <c r="E78" s="14"/>
    </row>
    <row r="79" spans="1:5" ht="24.75" thickBot="1" x14ac:dyDescent="0.3">
      <c r="A79" s="135" t="s">
        <v>74</v>
      </c>
      <c r="B79" s="15">
        <f>B78+B77+B76+B75+B74+B73+B72</f>
        <v>0</v>
      </c>
      <c r="C79" s="15">
        <f>C78+C77+C76+C75+C74+C73+C72</f>
        <v>0</v>
      </c>
      <c r="D79" s="15">
        <f>D78+D77+D76+D75+D74+D73+D72</f>
        <v>0</v>
      </c>
      <c r="E79" s="15">
        <f>E78+E77+E76+E75+E74+E73+E72</f>
        <v>0</v>
      </c>
    </row>
    <row r="80" spans="1:5" ht="17.25" customHeight="1" thickBot="1" x14ac:dyDescent="0.3">
      <c r="A80" s="17" t="s">
        <v>41</v>
      </c>
      <c r="B80" s="18">
        <f>IF(B79-B64=0,0,"Error")</f>
        <v>0</v>
      </c>
      <c r="C80" s="18">
        <f>IF(C79-C64=0,0,"Error")</f>
        <v>0</v>
      </c>
      <c r="D80" s="18">
        <f>IF(D79-D64=0,0,"Error")</f>
        <v>0</v>
      </c>
      <c r="E80" s="18">
        <f>IF(E79-E64=0,0,"Error")</f>
        <v>0</v>
      </c>
    </row>
    <row r="81" spans="1:9" ht="15.75" thickBot="1" x14ac:dyDescent="0.3">
      <c r="A81" s="1275" t="s">
        <v>63</v>
      </c>
      <c r="B81" s="1276"/>
      <c r="C81" s="1276"/>
      <c r="D81" s="1276"/>
      <c r="E81" s="1317"/>
    </row>
    <row r="82" spans="1:9" ht="15.75" thickBot="1" x14ac:dyDescent="0.3">
      <c r="A82" s="1275" t="s">
        <v>56</v>
      </c>
      <c r="B82" s="1276"/>
      <c r="C82" s="1276"/>
      <c r="D82" s="1276"/>
      <c r="E82" s="1317"/>
    </row>
    <row r="83" spans="1:9" ht="23.25" thickBot="1" x14ac:dyDescent="0.3">
      <c r="A83" s="20" t="s">
        <v>79</v>
      </c>
      <c r="B83" s="1241" t="s">
        <v>124</v>
      </c>
      <c r="C83" s="1242"/>
      <c r="D83" s="1242"/>
      <c r="E83" s="1318"/>
    </row>
    <row r="84" spans="1:9" ht="15.75" thickBot="1" x14ac:dyDescent="0.3">
      <c r="A84" s="7" t="s">
        <v>16</v>
      </c>
      <c r="B84" s="1243" t="s">
        <v>799</v>
      </c>
      <c r="C84" s="1244"/>
      <c r="D84" s="1244"/>
      <c r="E84" s="1315"/>
    </row>
    <row r="85" spans="1:9" ht="17.25" customHeight="1" thickBot="1" x14ac:dyDescent="0.3">
      <c r="A85" s="5" t="s">
        <v>17</v>
      </c>
      <c r="B85" s="1245" t="s">
        <v>799</v>
      </c>
      <c r="C85" s="1246"/>
      <c r="D85" s="1246"/>
      <c r="E85" s="1298"/>
    </row>
    <row r="86" spans="1:9" ht="15.75" thickBot="1" x14ac:dyDescent="0.3">
      <c r="A86" s="5" t="s">
        <v>18</v>
      </c>
      <c r="B86" s="1248" t="s">
        <v>798</v>
      </c>
      <c r="C86" s="1249"/>
      <c r="D86" s="1249"/>
      <c r="E86" s="1316"/>
    </row>
    <row r="87" spans="1:9" ht="12.75" customHeight="1" x14ac:dyDescent="0.25">
      <c r="A87" s="1250"/>
      <c r="B87" s="8">
        <v>2018</v>
      </c>
      <c r="C87" s="8">
        <v>2019</v>
      </c>
      <c r="D87" s="8">
        <v>2020</v>
      </c>
      <c r="E87" s="8">
        <v>2021</v>
      </c>
    </row>
    <row r="88" spans="1:9" ht="9" customHeight="1" thickBot="1" x14ac:dyDescent="0.3">
      <c r="A88" s="1251"/>
      <c r="B88" s="9" t="s">
        <v>10</v>
      </c>
      <c r="C88" s="9" t="s">
        <v>11</v>
      </c>
      <c r="D88" s="9" t="s">
        <v>11</v>
      </c>
      <c r="E88" s="9" t="s">
        <v>11</v>
      </c>
    </row>
    <row r="89" spans="1:9" ht="15.75" thickBot="1" x14ac:dyDescent="0.3">
      <c r="A89" s="5" t="s">
        <v>19</v>
      </c>
      <c r="B89" s="10">
        <v>30</v>
      </c>
      <c r="C89" s="10"/>
      <c r="D89" s="10"/>
      <c r="E89" s="10"/>
    </row>
    <row r="90" spans="1:9" ht="15.75" thickBot="1" x14ac:dyDescent="0.3">
      <c r="A90" s="5" t="s">
        <v>20</v>
      </c>
      <c r="B90" s="10">
        <v>4000</v>
      </c>
      <c r="C90" s="10">
        <v>0</v>
      </c>
      <c r="D90" s="10">
        <v>0</v>
      </c>
      <c r="E90" s="10">
        <v>0</v>
      </c>
    </row>
    <row r="91" spans="1:9" ht="15.75" thickBot="1" x14ac:dyDescent="0.3">
      <c r="A91" s="5" t="s">
        <v>21</v>
      </c>
      <c r="B91" s="10">
        <f>B90/B89</f>
        <v>133.33333333333334</v>
      </c>
      <c r="C91" s="10" t="e">
        <f>C90/C89</f>
        <v>#DIV/0!</v>
      </c>
      <c r="D91" s="10" t="e">
        <f>D90/D89</f>
        <v>#DIV/0!</v>
      </c>
      <c r="E91" s="10" t="e">
        <f>E90/E89</f>
        <v>#DIV/0!</v>
      </c>
    </row>
    <row r="92" spans="1:9" ht="15.75" thickBot="1" x14ac:dyDescent="0.3">
      <c r="A92" s="5" t="s">
        <v>22</v>
      </c>
      <c r="B92" s="260" t="s">
        <v>23</v>
      </c>
      <c r="C92" s="11">
        <f t="shared" ref="C92:E94" si="2">C89/B89-1</f>
        <v>-1</v>
      </c>
      <c r="D92" s="11" t="e">
        <f t="shared" si="2"/>
        <v>#DIV/0!</v>
      </c>
      <c r="E92" s="11" t="e">
        <f t="shared" si="2"/>
        <v>#DIV/0!</v>
      </c>
      <c r="F92" s="12"/>
      <c r="G92" s="12"/>
      <c r="H92" s="12"/>
      <c r="I92" s="12"/>
    </row>
    <row r="93" spans="1:9" ht="15.75" thickBot="1" x14ac:dyDescent="0.3">
      <c r="A93" s="5" t="s">
        <v>24</v>
      </c>
      <c r="B93" s="260" t="s">
        <v>23</v>
      </c>
      <c r="C93" s="11">
        <f t="shared" si="2"/>
        <v>-1</v>
      </c>
      <c r="D93" s="11" t="e">
        <f t="shared" si="2"/>
        <v>#DIV/0!</v>
      </c>
      <c r="E93" s="11" t="e">
        <f t="shared" si="2"/>
        <v>#DIV/0!</v>
      </c>
    </row>
    <row r="94" spans="1:9" ht="23.25" thickBot="1" x14ac:dyDescent="0.3">
      <c r="A94" s="5" t="s">
        <v>25</v>
      </c>
      <c r="B94" s="260" t="s">
        <v>23</v>
      </c>
      <c r="C94" s="11" t="e">
        <f t="shared" si="2"/>
        <v>#DIV/0!</v>
      </c>
      <c r="D94" s="11" t="e">
        <f t="shared" si="2"/>
        <v>#DIV/0!</v>
      </c>
      <c r="E94" s="11" t="e">
        <f t="shared" si="2"/>
        <v>#DIV/0!</v>
      </c>
    </row>
    <row r="95" spans="1:9" ht="15.75" thickBot="1" x14ac:dyDescent="0.3">
      <c r="A95" s="1252" t="s">
        <v>633</v>
      </c>
      <c r="B95" s="1253"/>
      <c r="C95" s="1253"/>
      <c r="D95" s="1253"/>
      <c r="E95" s="1300"/>
    </row>
    <row r="96" spans="1:9" ht="12.75" customHeight="1" x14ac:dyDescent="0.25">
      <c r="A96" s="1250"/>
      <c r="B96" s="8">
        <v>2018</v>
      </c>
      <c r="C96" s="8">
        <v>2019</v>
      </c>
      <c r="D96" s="8">
        <v>2020</v>
      </c>
      <c r="E96" s="8">
        <v>2021</v>
      </c>
    </row>
    <row r="97" spans="1:5" ht="9" customHeight="1" thickBot="1" x14ac:dyDescent="0.3">
      <c r="A97" s="1251"/>
      <c r="B97" s="9" t="s">
        <v>10</v>
      </c>
      <c r="C97" s="9" t="s">
        <v>11</v>
      </c>
      <c r="D97" s="9" t="s">
        <v>11</v>
      </c>
      <c r="E97" s="9" t="s">
        <v>11</v>
      </c>
    </row>
    <row r="98" spans="1:5" ht="15.75" thickBot="1" x14ac:dyDescent="0.3">
      <c r="A98" s="13" t="s">
        <v>58</v>
      </c>
      <c r="B98" s="14"/>
      <c r="C98" s="14"/>
      <c r="D98" s="14"/>
      <c r="E98" s="14"/>
    </row>
    <row r="99" spans="1:5" ht="15.75" thickBot="1" x14ac:dyDescent="0.3">
      <c r="A99" s="13" t="s">
        <v>59</v>
      </c>
      <c r="B99" s="15">
        <v>4000</v>
      </c>
      <c r="C99" s="14">
        <v>0</v>
      </c>
      <c r="D99" s="14">
        <v>0</v>
      </c>
      <c r="E99" s="14">
        <v>0</v>
      </c>
    </row>
    <row r="100" spans="1:5" ht="15.75" thickBot="1" x14ac:dyDescent="0.3">
      <c r="A100" s="16" t="s">
        <v>40</v>
      </c>
      <c r="B100" s="15">
        <f>B99+B98</f>
        <v>4000</v>
      </c>
      <c r="C100" s="15">
        <f>C99+C98</f>
        <v>0</v>
      </c>
      <c r="D100" s="15">
        <f>D99+D98</f>
        <v>0</v>
      </c>
      <c r="E100" s="15">
        <f>E99+E98</f>
        <v>0</v>
      </c>
    </row>
    <row r="101" spans="1:5" x14ac:dyDescent="0.25">
      <c r="A101" s="1254" t="s">
        <v>60</v>
      </c>
      <c r="B101" s="1322"/>
      <c r="C101" s="1289"/>
      <c r="D101" s="1289"/>
      <c r="E101" s="1290"/>
    </row>
    <row r="102" spans="1:5" x14ac:dyDescent="0.25">
      <c r="A102" s="1255"/>
      <c r="B102" s="1291"/>
      <c r="C102" s="1292"/>
      <c r="D102" s="1292"/>
      <c r="E102" s="1293"/>
    </row>
    <row r="103" spans="1:5" ht="15.75" thickBot="1" x14ac:dyDescent="0.3">
      <c r="A103" s="1256"/>
      <c r="B103" s="1294"/>
      <c r="C103" s="1295"/>
      <c r="D103" s="1295"/>
      <c r="E103" s="1296"/>
    </row>
    <row r="104" spans="1:5" ht="15.75" thickBot="1" x14ac:dyDescent="0.3">
      <c r="A104" s="20" t="s">
        <v>61</v>
      </c>
      <c r="B104" s="1241" t="s">
        <v>106</v>
      </c>
      <c r="C104" s="1242"/>
      <c r="D104" s="1242"/>
      <c r="E104" s="1318"/>
    </row>
    <row r="105" spans="1:5" ht="23.25" thickBot="1" x14ac:dyDescent="0.3">
      <c r="A105" s="7" t="s">
        <v>123</v>
      </c>
      <c r="B105" s="1243" t="s">
        <v>106</v>
      </c>
      <c r="C105" s="1244"/>
      <c r="D105" s="1244"/>
      <c r="E105" s="1315"/>
    </row>
    <row r="106" spans="1:5" ht="17.25" customHeight="1" thickBot="1" x14ac:dyDescent="0.3">
      <c r="A106" s="5" t="s">
        <v>17</v>
      </c>
      <c r="B106" s="1245" t="s">
        <v>106</v>
      </c>
      <c r="C106" s="1246"/>
      <c r="D106" s="1246"/>
      <c r="E106" s="1298"/>
    </row>
    <row r="107" spans="1:5" ht="15.75" thickBot="1" x14ac:dyDescent="0.3">
      <c r="A107" s="5" t="s">
        <v>18</v>
      </c>
      <c r="B107" s="1248" t="s">
        <v>798</v>
      </c>
      <c r="C107" s="1249"/>
      <c r="D107" s="1249"/>
      <c r="E107" s="1316"/>
    </row>
    <row r="108" spans="1:5" ht="12.75" customHeight="1" x14ac:dyDescent="0.25">
      <c r="A108" s="1250"/>
      <c r="B108" s="8">
        <v>2018</v>
      </c>
      <c r="C108" s="8">
        <v>2019</v>
      </c>
      <c r="D108" s="8">
        <v>2020</v>
      </c>
      <c r="E108" s="8">
        <v>2021</v>
      </c>
    </row>
    <row r="109" spans="1:5" ht="9" customHeight="1" thickBot="1" x14ac:dyDescent="0.3">
      <c r="A109" s="1251"/>
      <c r="B109" s="9" t="s">
        <v>10</v>
      </c>
      <c r="C109" s="9" t="s">
        <v>11</v>
      </c>
      <c r="D109" s="9" t="s">
        <v>11</v>
      </c>
      <c r="E109" s="9" t="s">
        <v>11</v>
      </c>
    </row>
    <row r="110" spans="1:5" ht="15.75" thickBot="1" x14ac:dyDescent="0.3">
      <c r="A110" s="5" t="s">
        <v>19</v>
      </c>
      <c r="B110" s="10"/>
      <c r="C110" s="10"/>
      <c r="D110" s="10"/>
      <c r="E110" s="10"/>
    </row>
    <row r="111" spans="1:5" ht="15.75" thickBot="1" x14ac:dyDescent="0.3">
      <c r="A111" s="5" t="s">
        <v>20</v>
      </c>
      <c r="B111" s="10">
        <v>0</v>
      </c>
      <c r="C111" s="10">
        <v>0</v>
      </c>
      <c r="D111" s="10">
        <v>0</v>
      </c>
      <c r="E111" s="10">
        <v>0</v>
      </c>
    </row>
    <row r="112" spans="1:5" ht="15.75" thickBot="1" x14ac:dyDescent="0.3">
      <c r="A112" s="5" t="s">
        <v>21</v>
      </c>
      <c r="B112" s="10" t="e">
        <f>B111/B110</f>
        <v>#DIV/0!</v>
      </c>
      <c r="C112" s="10" t="e">
        <f>C111/C110</f>
        <v>#DIV/0!</v>
      </c>
      <c r="D112" s="10" t="e">
        <f>D111/D110</f>
        <v>#DIV/0!</v>
      </c>
      <c r="E112" s="10" t="e">
        <f>E111/E110</f>
        <v>#DIV/0!</v>
      </c>
    </row>
    <row r="113" spans="1:9" ht="15.75" thickBot="1" x14ac:dyDescent="0.3">
      <c r="A113" s="5" t="s">
        <v>22</v>
      </c>
      <c r="B113" s="260" t="s">
        <v>23</v>
      </c>
      <c r="C113" s="11" t="e">
        <f t="shared" ref="C113:E115" si="3">C110/B110-1</f>
        <v>#DIV/0!</v>
      </c>
      <c r="D113" s="11" t="e">
        <f t="shared" si="3"/>
        <v>#DIV/0!</v>
      </c>
      <c r="E113" s="11" t="e">
        <f t="shared" si="3"/>
        <v>#DIV/0!</v>
      </c>
      <c r="F113" s="12"/>
      <c r="G113" s="12"/>
      <c r="H113" s="12"/>
      <c r="I113" s="12"/>
    </row>
    <row r="114" spans="1:9" ht="15.75" thickBot="1" x14ac:dyDescent="0.3">
      <c r="A114" s="5" t="s">
        <v>24</v>
      </c>
      <c r="B114" s="260" t="s">
        <v>23</v>
      </c>
      <c r="C114" s="11" t="e">
        <f t="shared" si="3"/>
        <v>#DIV/0!</v>
      </c>
      <c r="D114" s="11" t="e">
        <f t="shared" si="3"/>
        <v>#DIV/0!</v>
      </c>
      <c r="E114" s="11" t="e">
        <f t="shared" si="3"/>
        <v>#DIV/0!</v>
      </c>
    </row>
    <row r="115" spans="1:9" ht="23.25" thickBot="1" x14ac:dyDescent="0.3">
      <c r="A115" s="5" t="s">
        <v>25</v>
      </c>
      <c r="B115" s="260" t="s">
        <v>23</v>
      </c>
      <c r="C115" s="11" t="e">
        <f t="shared" si="3"/>
        <v>#DIV/0!</v>
      </c>
      <c r="D115" s="11" t="e">
        <f t="shared" si="3"/>
        <v>#DIV/0!</v>
      </c>
      <c r="E115" s="11" t="e">
        <f t="shared" si="3"/>
        <v>#DIV/0!</v>
      </c>
    </row>
    <row r="116" spans="1:9" ht="15.75" thickBot="1" x14ac:dyDescent="0.3">
      <c r="A116" s="1252" t="s">
        <v>635</v>
      </c>
      <c r="B116" s="1253"/>
      <c r="C116" s="1253"/>
      <c r="D116" s="1253"/>
      <c r="E116" s="1300"/>
    </row>
    <row r="117" spans="1:9" ht="12.75" customHeight="1" x14ac:dyDescent="0.25">
      <c r="A117" s="1250"/>
      <c r="B117" s="8">
        <v>2018</v>
      </c>
      <c r="C117" s="8">
        <v>2019</v>
      </c>
      <c r="D117" s="8">
        <v>2020</v>
      </c>
      <c r="E117" s="8">
        <v>2021</v>
      </c>
    </row>
    <row r="118" spans="1:9" ht="9" customHeight="1" thickBot="1" x14ac:dyDescent="0.3">
      <c r="A118" s="1251"/>
      <c r="B118" s="9" t="s">
        <v>10</v>
      </c>
      <c r="C118" s="9" t="s">
        <v>11</v>
      </c>
      <c r="D118" s="9" t="s">
        <v>11</v>
      </c>
      <c r="E118" s="9" t="s">
        <v>11</v>
      </c>
    </row>
    <row r="119" spans="1:9" ht="15.75" thickBot="1" x14ac:dyDescent="0.3">
      <c r="A119" s="13" t="s">
        <v>58</v>
      </c>
      <c r="B119" s="14"/>
      <c r="C119" s="14"/>
      <c r="D119" s="14"/>
      <c r="E119" s="14"/>
    </row>
    <row r="120" spans="1:9" ht="15.75" thickBot="1" x14ac:dyDescent="0.3">
      <c r="A120" s="13" t="s">
        <v>59</v>
      </c>
      <c r="B120" s="15">
        <v>0</v>
      </c>
      <c r="C120" s="14">
        <v>0</v>
      </c>
      <c r="D120" s="14">
        <v>0</v>
      </c>
      <c r="E120" s="14">
        <v>0</v>
      </c>
    </row>
    <row r="121" spans="1:9" ht="24.75" thickBot="1" x14ac:dyDescent="0.3">
      <c r="A121" s="16" t="s">
        <v>74</v>
      </c>
      <c r="B121" s="15">
        <f>B120+B119</f>
        <v>0</v>
      </c>
      <c r="C121" s="15">
        <f>C120+C119</f>
        <v>0</v>
      </c>
      <c r="D121" s="15">
        <f>D120+D119</f>
        <v>0</v>
      </c>
      <c r="E121" s="15">
        <f>E120+E119</f>
        <v>0</v>
      </c>
    </row>
    <row r="122" spans="1:9" ht="15.75" thickBot="1" x14ac:dyDescent="0.3">
      <c r="A122" s="1275" t="s">
        <v>63</v>
      </c>
      <c r="B122" s="1276"/>
      <c r="C122" s="1276"/>
      <c r="D122" s="1276"/>
      <c r="E122" s="1317"/>
    </row>
    <row r="123" spans="1:9" ht="15.75" thickBot="1" x14ac:dyDescent="0.3">
      <c r="A123" s="1275" t="s">
        <v>64</v>
      </c>
      <c r="B123" s="1276"/>
      <c r="C123" s="1276"/>
      <c r="D123" s="1276"/>
      <c r="E123" s="1317"/>
    </row>
    <row r="124" spans="1:9" ht="15.75" thickBot="1" x14ac:dyDescent="0.3">
      <c r="A124" s="20" t="s">
        <v>61</v>
      </c>
      <c r="B124" s="1241" t="s">
        <v>124</v>
      </c>
      <c r="C124" s="1242"/>
      <c r="D124" s="1242"/>
      <c r="E124" s="1318"/>
    </row>
    <row r="125" spans="1:9" ht="15.75" thickBot="1" x14ac:dyDescent="0.3">
      <c r="A125" s="7" t="s">
        <v>16</v>
      </c>
      <c r="B125" s="1243" t="s">
        <v>106</v>
      </c>
      <c r="C125" s="1244"/>
      <c r="D125" s="1244"/>
      <c r="E125" s="1315"/>
    </row>
    <row r="126" spans="1:9" ht="17.25" customHeight="1" thickBot="1" x14ac:dyDescent="0.3">
      <c r="A126" s="5" t="s">
        <v>17</v>
      </c>
      <c r="B126" s="1245" t="s">
        <v>106</v>
      </c>
      <c r="C126" s="1246"/>
      <c r="D126" s="1246"/>
      <c r="E126" s="1298"/>
    </row>
    <row r="127" spans="1:9" ht="15.75" thickBot="1" x14ac:dyDescent="0.3">
      <c r="A127" s="5" t="s">
        <v>18</v>
      </c>
      <c r="B127" s="1248" t="s">
        <v>106</v>
      </c>
      <c r="C127" s="1249"/>
      <c r="D127" s="1249"/>
      <c r="E127" s="1316"/>
    </row>
    <row r="128" spans="1:9" ht="12.75" customHeight="1" x14ac:dyDescent="0.25">
      <c r="A128" s="1250"/>
      <c r="B128" s="8">
        <v>2018</v>
      </c>
      <c r="C128" s="8">
        <v>2019</v>
      </c>
      <c r="D128" s="8">
        <v>2020</v>
      </c>
      <c r="E128" s="8">
        <v>2021</v>
      </c>
    </row>
    <row r="129" spans="1:9" ht="9" customHeight="1" thickBot="1" x14ac:dyDescent="0.3">
      <c r="A129" s="1251"/>
      <c r="B129" s="9" t="s">
        <v>10</v>
      </c>
      <c r="C129" s="9" t="s">
        <v>11</v>
      </c>
      <c r="D129" s="9" t="s">
        <v>11</v>
      </c>
      <c r="E129" s="9" t="s">
        <v>11</v>
      </c>
    </row>
    <row r="130" spans="1:9" ht="15.75" thickBot="1" x14ac:dyDescent="0.3">
      <c r="A130" s="5" t="s">
        <v>19</v>
      </c>
      <c r="B130" s="10"/>
      <c r="C130" s="10"/>
      <c r="D130" s="10"/>
      <c r="E130" s="10"/>
    </row>
    <row r="131" spans="1:9" ht="15.75" thickBot="1" x14ac:dyDescent="0.3">
      <c r="A131" s="5" t="s">
        <v>20</v>
      </c>
      <c r="B131" s="10"/>
      <c r="C131" s="10"/>
      <c r="D131" s="10"/>
      <c r="E131" s="10"/>
    </row>
    <row r="132" spans="1:9" ht="15.75" thickBot="1" x14ac:dyDescent="0.3">
      <c r="A132" s="5" t="s">
        <v>21</v>
      </c>
      <c r="B132" s="10" t="e">
        <f>B131/B130</f>
        <v>#DIV/0!</v>
      </c>
      <c r="C132" s="10" t="e">
        <f>C131/C130</f>
        <v>#DIV/0!</v>
      </c>
      <c r="D132" s="10" t="e">
        <f>D131/D130</f>
        <v>#DIV/0!</v>
      </c>
      <c r="E132" s="10" t="e">
        <f>E131/E130</f>
        <v>#DIV/0!</v>
      </c>
    </row>
    <row r="133" spans="1:9" ht="15.75" thickBot="1" x14ac:dyDescent="0.3">
      <c r="A133" s="5" t="s">
        <v>22</v>
      </c>
      <c r="B133" s="260" t="s">
        <v>23</v>
      </c>
      <c r="C133" s="11" t="e">
        <f t="shared" ref="C133:E135" si="4">C130/B130-1</f>
        <v>#DIV/0!</v>
      </c>
      <c r="D133" s="11" t="e">
        <f t="shared" si="4"/>
        <v>#DIV/0!</v>
      </c>
      <c r="E133" s="11" t="e">
        <f t="shared" si="4"/>
        <v>#DIV/0!</v>
      </c>
      <c r="F133" s="12"/>
      <c r="G133" s="12"/>
      <c r="H133" s="12"/>
      <c r="I133" s="12"/>
    </row>
    <row r="134" spans="1:9" ht="15.75" thickBot="1" x14ac:dyDescent="0.3">
      <c r="A134" s="5" t="s">
        <v>24</v>
      </c>
      <c r="B134" s="260" t="s">
        <v>23</v>
      </c>
      <c r="C134" s="11" t="e">
        <f t="shared" si="4"/>
        <v>#DIV/0!</v>
      </c>
      <c r="D134" s="11" t="e">
        <f t="shared" si="4"/>
        <v>#DIV/0!</v>
      </c>
      <c r="E134" s="11" t="e">
        <f t="shared" si="4"/>
        <v>#DIV/0!</v>
      </c>
    </row>
    <row r="135" spans="1:9" ht="23.25" thickBot="1" x14ac:dyDescent="0.3">
      <c r="A135" s="5" t="s">
        <v>25</v>
      </c>
      <c r="B135" s="260" t="s">
        <v>23</v>
      </c>
      <c r="C135" s="11" t="e">
        <f t="shared" si="4"/>
        <v>#DIV/0!</v>
      </c>
      <c r="D135" s="11" t="e">
        <f t="shared" si="4"/>
        <v>#DIV/0!</v>
      </c>
      <c r="E135" s="11" t="e">
        <f t="shared" si="4"/>
        <v>#DIV/0!</v>
      </c>
    </row>
    <row r="136" spans="1:9" ht="15.75" thickBot="1" x14ac:dyDescent="0.3">
      <c r="A136" s="1252" t="s">
        <v>633</v>
      </c>
      <c r="B136" s="1253"/>
      <c r="C136" s="1253"/>
      <c r="D136" s="1253"/>
      <c r="E136" s="1300"/>
    </row>
    <row r="137" spans="1:9" ht="12.75" customHeight="1" x14ac:dyDescent="0.25">
      <c r="A137" s="1250"/>
      <c r="B137" s="8">
        <v>2018</v>
      </c>
      <c r="C137" s="8">
        <v>2019</v>
      </c>
      <c r="D137" s="8">
        <v>2020</v>
      </c>
      <c r="E137" s="8">
        <v>2021</v>
      </c>
    </row>
    <row r="138" spans="1:9" ht="9" customHeight="1" thickBot="1" x14ac:dyDescent="0.3">
      <c r="A138" s="1251"/>
      <c r="B138" s="9" t="s">
        <v>10</v>
      </c>
      <c r="C138" s="9" t="s">
        <v>11</v>
      </c>
      <c r="D138" s="9" t="s">
        <v>11</v>
      </c>
      <c r="E138" s="9" t="s">
        <v>11</v>
      </c>
    </row>
    <row r="139" spans="1:9" ht="15.75" thickBot="1" x14ac:dyDescent="0.3">
      <c r="A139" s="13" t="s">
        <v>58</v>
      </c>
      <c r="B139" s="14"/>
      <c r="C139" s="14"/>
      <c r="D139" s="14"/>
      <c r="E139" s="14"/>
    </row>
    <row r="140" spans="1:9" ht="15.75" thickBot="1" x14ac:dyDescent="0.3">
      <c r="A140" s="13" t="s">
        <v>59</v>
      </c>
      <c r="B140" s="15"/>
      <c r="C140" s="14"/>
      <c r="D140" s="14"/>
      <c r="E140" s="14"/>
    </row>
    <row r="141" spans="1:9" ht="15.75" thickBot="1" x14ac:dyDescent="0.3">
      <c r="A141" s="16" t="s">
        <v>40</v>
      </c>
      <c r="B141" s="15">
        <f>B140+B139</f>
        <v>0</v>
      </c>
      <c r="C141" s="15">
        <f>C140+C139</f>
        <v>0</v>
      </c>
      <c r="D141" s="15">
        <f>D140+D139</f>
        <v>0</v>
      </c>
      <c r="E141" s="15">
        <f>E140+E139</f>
        <v>0</v>
      </c>
    </row>
    <row r="142" spans="1:9" ht="15.75" thickBot="1" x14ac:dyDescent="0.3">
      <c r="A142" s="136" t="s">
        <v>61</v>
      </c>
      <c r="B142" s="1241" t="s">
        <v>124</v>
      </c>
      <c r="C142" s="1242"/>
      <c r="D142" s="1242"/>
      <c r="E142" s="1318"/>
    </row>
    <row r="143" spans="1:9" ht="23.25" thickBot="1" x14ac:dyDescent="0.3">
      <c r="A143" s="7" t="s">
        <v>123</v>
      </c>
      <c r="B143" s="1243" t="s">
        <v>106</v>
      </c>
      <c r="C143" s="1244"/>
      <c r="D143" s="1244"/>
      <c r="E143" s="1315"/>
    </row>
    <row r="144" spans="1:9" ht="17.25" customHeight="1" thickBot="1" x14ac:dyDescent="0.3">
      <c r="A144" s="5" t="s">
        <v>17</v>
      </c>
      <c r="B144" s="1245" t="s">
        <v>106</v>
      </c>
      <c r="C144" s="1246"/>
      <c r="D144" s="1246"/>
      <c r="E144" s="1298"/>
    </row>
    <row r="145" spans="1:9" ht="15.75" thickBot="1" x14ac:dyDescent="0.3">
      <c r="A145" s="5" t="s">
        <v>18</v>
      </c>
      <c r="B145" s="1248" t="s">
        <v>106</v>
      </c>
      <c r="C145" s="1249"/>
      <c r="D145" s="1249"/>
      <c r="E145" s="1316"/>
    </row>
    <row r="146" spans="1:9" ht="12.75" customHeight="1" x14ac:dyDescent="0.25">
      <c r="A146" s="1250"/>
      <c r="B146" s="8">
        <v>2018</v>
      </c>
      <c r="C146" s="8">
        <v>2019</v>
      </c>
      <c r="D146" s="8">
        <v>2020</v>
      </c>
      <c r="E146" s="8">
        <v>2021</v>
      </c>
    </row>
    <row r="147" spans="1:9" ht="9" customHeight="1" thickBot="1" x14ac:dyDescent="0.3">
      <c r="A147" s="1251"/>
      <c r="B147" s="9" t="s">
        <v>10</v>
      </c>
      <c r="C147" s="9" t="s">
        <v>11</v>
      </c>
      <c r="D147" s="9" t="s">
        <v>11</v>
      </c>
      <c r="E147" s="9" t="s">
        <v>11</v>
      </c>
    </row>
    <row r="148" spans="1:9" ht="15.75" thickBot="1" x14ac:dyDescent="0.3">
      <c r="A148" s="5" t="s">
        <v>19</v>
      </c>
      <c r="B148" s="10"/>
      <c r="C148" s="10"/>
      <c r="D148" s="10"/>
      <c r="E148" s="10"/>
    </row>
    <row r="149" spans="1:9" ht="15.75" thickBot="1" x14ac:dyDescent="0.3">
      <c r="A149" s="5" t="s">
        <v>20</v>
      </c>
      <c r="B149" s="10"/>
      <c r="C149" s="10"/>
      <c r="D149" s="10"/>
      <c r="E149" s="10"/>
    </row>
    <row r="150" spans="1:9" ht="15.75" thickBot="1" x14ac:dyDescent="0.3">
      <c r="A150" s="5" t="s">
        <v>21</v>
      </c>
      <c r="B150" s="10" t="e">
        <f>B149/B148</f>
        <v>#DIV/0!</v>
      </c>
      <c r="C150" s="10" t="e">
        <f>C149/C148</f>
        <v>#DIV/0!</v>
      </c>
      <c r="D150" s="10" t="e">
        <f>D149/D148</f>
        <v>#DIV/0!</v>
      </c>
      <c r="E150" s="10" t="e">
        <f>E149/E148</f>
        <v>#DIV/0!</v>
      </c>
    </row>
    <row r="151" spans="1:9" ht="15.75" thickBot="1" x14ac:dyDescent="0.3">
      <c r="A151" s="5" t="s">
        <v>22</v>
      </c>
      <c r="B151" s="260" t="s">
        <v>23</v>
      </c>
      <c r="C151" s="11" t="e">
        <f t="shared" ref="C151:E153" si="5">C148/B148-1</f>
        <v>#DIV/0!</v>
      </c>
      <c r="D151" s="11" t="e">
        <f t="shared" si="5"/>
        <v>#DIV/0!</v>
      </c>
      <c r="E151" s="11" t="e">
        <f t="shared" si="5"/>
        <v>#DIV/0!</v>
      </c>
      <c r="F151" s="12"/>
      <c r="G151" s="12"/>
      <c r="H151" s="12"/>
      <c r="I151" s="12"/>
    </row>
    <row r="152" spans="1:9" ht="15.75" thickBot="1" x14ac:dyDescent="0.3">
      <c r="A152" s="5" t="s">
        <v>24</v>
      </c>
      <c r="B152" s="260" t="s">
        <v>23</v>
      </c>
      <c r="C152" s="11" t="e">
        <f t="shared" si="5"/>
        <v>#DIV/0!</v>
      </c>
      <c r="D152" s="11" t="e">
        <f t="shared" si="5"/>
        <v>#DIV/0!</v>
      </c>
      <c r="E152" s="11" t="e">
        <f t="shared" si="5"/>
        <v>#DIV/0!</v>
      </c>
    </row>
    <row r="153" spans="1:9" ht="23.25" thickBot="1" x14ac:dyDescent="0.3">
      <c r="A153" s="5" t="s">
        <v>25</v>
      </c>
      <c r="B153" s="260" t="s">
        <v>23</v>
      </c>
      <c r="C153" s="11" t="e">
        <f t="shared" si="5"/>
        <v>#DIV/0!</v>
      </c>
      <c r="D153" s="11" t="e">
        <f t="shared" si="5"/>
        <v>#DIV/0!</v>
      </c>
      <c r="E153" s="11" t="e">
        <f t="shared" si="5"/>
        <v>#DIV/0!</v>
      </c>
    </row>
    <row r="154" spans="1:9" ht="15.75" thickBot="1" x14ac:dyDescent="0.3">
      <c r="A154" s="1252" t="s">
        <v>635</v>
      </c>
      <c r="B154" s="1253"/>
      <c r="C154" s="1253"/>
      <c r="D154" s="1253"/>
      <c r="E154" s="1300"/>
    </row>
    <row r="155" spans="1:9" ht="12.75" customHeight="1" x14ac:dyDescent="0.25">
      <c r="A155" s="1250"/>
      <c r="B155" s="8">
        <v>2018</v>
      </c>
      <c r="C155" s="8">
        <v>2019</v>
      </c>
      <c r="D155" s="8">
        <v>2020</v>
      </c>
      <c r="E155" s="8">
        <v>2021</v>
      </c>
    </row>
    <row r="156" spans="1:9" ht="9" customHeight="1" thickBot="1" x14ac:dyDescent="0.3">
      <c r="A156" s="1251"/>
      <c r="B156" s="9" t="s">
        <v>10</v>
      </c>
      <c r="C156" s="9" t="s">
        <v>11</v>
      </c>
      <c r="D156" s="9" t="s">
        <v>11</v>
      </c>
      <c r="E156" s="9" t="s">
        <v>11</v>
      </c>
    </row>
    <row r="157" spans="1:9" ht="15.75" thickBot="1" x14ac:dyDescent="0.3">
      <c r="A157" s="13" t="s">
        <v>58</v>
      </c>
      <c r="B157" s="14"/>
      <c r="C157" s="14"/>
      <c r="D157" s="14"/>
      <c r="E157" s="14"/>
    </row>
    <row r="158" spans="1:9" ht="15.75" thickBot="1" x14ac:dyDescent="0.3">
      <c r="A158" s="13" t="s">
        <v>59</v>
      </c>
      <c r="B158" s="15"/>
      <c r="C158" s="14"/>
      <c r="D158" s="14"/>
      <c r="E158" s="14"/>
    </row>
    <row r="159" spans="1:9" ht="24.75" thickBot="1" x14ac:dyDescent="0.3">
      <c r="A159" s="16" t="s">
        <v>74</v>
      </c>
      <c r="B159" s="15">
        <f>B158+B157</f>
        <v>0</v>
      </c>
      <c r="C159" s="15">
        <f>C158+C157</f>
        <v>0</v>
      </c>
      <c r="D159" s="15">
        <f>D158+D157</f>
        <v>0</v>
      </c>
      <c r="E159" s="15">
        <f>E158+E157</f>
        <v>0</v>
      </c>
    </row>
    <row r="160" spans="1:9" ht="30" customHeight="1" thickBot="1" x14ac:dyDescent="0.3">
      <c r="A160" s="21" t="s">
        <v>67</v>
      </c>
      <c r="B160" s="1272" t="s">
        <v>800</v>
      </c>
      <c r="C160" s="1270"/>
      <c r="D160" s="1270"/>
      <c r="E160" s="1305"/>
    </row>
    <row r="161" spans="1:5" ht="15.75" customHeight="1" thickBot="1" x14ac:dyDescent="0.3">
      <c r="A161" s="1245" t="s">
        <v>68</v>
      </c>
      <c r="B161" s="1246"/>
      <c r="C161" s="1246"/>
      <c r="D161" s="1246"/>
      <c r="E161" s="1298"/>
    </row>
    <row r="162" spans="1:5" ht="34.5" thickBot="1" x14ac:dyDescent="0.3">
      <c r="A162" s="261" t="s">
        <v>801</v>
      </c>
      <c r="B162" s="60">
        <v>1236</v>
      </c>
      <c r="C162" s="60">
        <v>1236</v>
      </c>
      <c r="D162" s="60">
        <v>1236</v>
      </c>
      <c r="E162" s="60">
        <v>1236</v>
      </c>
    </row>
    <row r="163" spans="1:5" ht="15.75" customHeight="1" thickBot="1" x14ac:dyDescent="0.3">
      <c r="A163" s="5" t="s">
        <v>802</v>
      </c>
      <c r="B163" s="60">
        <v>20</v>
      </c>
      <c r="C163" s="60">
        <v>20</v>
      </c>
      <c r="D163" s="60">
        <v>20</v>
      </c>
      <c r="E163" s="60">
        <v>20</v>
      </c>
    </row>
    <row r="164" spans="1:5" ht="23.25" customHeight="1" thickBot="1" x14ac:dyDescent="0.3">
      <c r="A164" s="5" t="s">
        <v>111</v>
      </c>
      <c r="B164" s="4" t="s">
        <v>112</v>
      </c>
      <c r="C164" s="4" t="s">
        <v>113</v>
      </c>
      <c r="D164" s="4" t="s">
        <v>113</v>
      </c>
      <c r="E164" s="4" t="s">
        <v>113</v>
      </c>
    </row>
    <row r="165" spans="1:5" ht="23.25" customHeight="1" thickBot="1" x14ac:dyDescent="0.3">
      <c r="A165" s="1278" t="s">
        <v>69</v>
      </c>
      <c r="B165" s="1279"/>
      <c r="C165" s="1279"/>
      <c r="D165" s="1279"/>
      <c r="E165" s="1355"/>
    </row>
    <row r="166" spans="1:5" ht="23.25" customHeight="1" thickBot="1" x14ac:dyDescent="0.3">
      <c r="A166" s="1280" t="s">
        <v>70</v>
      </c>
      <c r="B166" s="1281"/>
      <c r="C166" s="1281"/>
      <c r="D166" s="1281"/>
      <c r="E166" s="1354"/>
    </row>
    <row r="167" spans="1:5" ht="12.75" customHeight="1" x14ac:dyDescent="0.25">
      <c r="A167" s="1250"/>
      <c r="B167" s="8">
        <v>2018</v>
      </c>
      <c r="C167" s="8">
        <v>2019</v>
      </c>
      <c r="D167" s="8">
        <v>2020</v>
      </c>
      <c r="E167" s="8">
        <v>2021</v>
      </c>
    </row>
    <row r="168" spans="1:5" ht="9" customHeight="1" thickBot="1" x14ac:dyDescent="0.3">
      <c r="A168" s="1251"/>
      <c r="B168" s="9" t="s">
        <v>10</v>
      </c>
      <c r="C168" s="9" t="s">
        <v>11</v>
      </c>
      <c r="D168" s="9" t="s">
        <v>11</v>
      </c>
      <c r="E168" s="9" t="s">
        <v>11</v>
      </c>
    </row>
    <row r="169" spans="1:5" ht="26.25" customHeight="1" thickBot="1" x14ac:dyDescent="0.3">
      <c r="A169" s="7" t="s">
        <v>16</v>
      </c>
      <c r="B169" s="1243" t="s">
        <v>803</v>
      </c>
      <c r="C169" s="1244"/>
      <c r="D169" s="1244"/>
      <c r="E169" s="1315"/>
    </row>
    <row r="170" spans="1:5" ht="16.5" customHeight="1" thickBot="1" x14ac:dyDescent="0.3">
      <c r="A170" s="5" t="s">
        <v>17</v>
      </c>
      <c r="B170" s="1245" t="s">
        <v>803</v>
      </c>
      <c r="C170" s="1246"/>
      <c r="D170" s="1246"/>
      <c r="E170" s="1298"/>
    </row>
    <row r="171" spans="1:5" ht="15.75" customHeight="1" thickBot="1" x14ac:dyDescent="0.3">
      <c r="A171" s="5" t="s">
        <v>18</v>
      </c>
      <c r="B171" s="1248" t="s">
        <v>794</v>
      </c>
      <c r="C171" s="1249"/>
      <c r="D171" s="1249"/>
      <c r="E171" s="1316"/>
    </row>
    <row r="172" spans="1:5" ht="12.75" customHeight="1" x14ac:dyDescent="0.25">
      <c r="A172" s="1250"/>
      <c r="B172" s="8">
        <v>2018</v>
      </c>
      <c r="C172" s="8">
        <v>2019</v>
      </c>
      <c r="D172" s="8">
        <v>2020</v>
      </c>
      <c r="E172" s="8">
        <v>2021</v>
      </c>
    </row>
    <row r="173" spans="1:5" ht="9" customHeight="1" thickBot="1" x14ac:dyDescent="0.3">
      <c r="A173" s="1251"/>
      <c r="B173" s="9" t="s">
        <v>10</v>
      </c>
      <c r="C173" s="9" t="s">
        <v>11</v>
      </c>
      <c r="D173" s="9" t="s">
        <v>11</v>
      </c>
      <c r="E173" s="9" t="s">
        <v>11</v>
      </c>
    </row>
    <row r="174" spans="1:5" ht="15.75" customHeight="1" thickBot="1" x14ac:dyDescent="0.3">
      <c r="A174" s="5" t="s">
        <v>19</v>
      </c>
      <c r="B174" s="10">
        <v>1236</v>
      </c>
      <c r="C174" s="60">
        <v>1236</v>
      </c>
      <c r="D174" s="60">
        <v>1236</v>
      </c>
      <c r="E174" s="60">
        <v>1236</v>
      </c>
    </row>
    <row r="175" spans="1:5" ht="15.75" thickBot="1" x14ac:dyDescent="0.3">
      <c r="A175" s="5" t="s">
        <v>20</v>
      </c>
      <c r="B175" s="10">
        <v>20666</v>
      </c>
      <c r="C175" s="10">
        <v>20904</v>
      </c>
      <c r="D175" s="10">
        <v>21149</v>
      </c>
      <c r="E175" s="10">
        <v>21401</v>
      </c>
    </row>
    <row r="176" spans="1:5" ht="15.75" thickBot="1" x14ac:dyDescent="0.3">
      <c r="A176" s="5" t="s">
        <v>21</v>
      </c>
      <c r="B176" s="10">
        <f>B175/B174</f>
        <v>16.720064724919094</v>
      </c>
      <c r="C176" s="10">
        <f>C175/C174</f>
        <v>16.912621359223301</v>
      </c>
      <c r="D176" s="10">
        <f>D175/D174</f>
        <v>17.110841423948219</v>
      </c>
      <c r="E176" s="10">
        <f>E175/E174</f>
        <v>17.314724919093852</v>
      </c>
    </row>
    <row r="177" spans="1:5" ht="15.75" thickBot="1" x14ac:dyDescent="0.3">
      <c r="A177" s="5" t="s">
        <v>22</v>
      </c>
      <c r="B177" s="260"/>
      <c r="C177" s="11">
        <f t="shared" ref="C177:E179" si="6">C174/B174-1</f>
        <v>0</v>
      </c>
      <c r="D177" s="11">
        <f t="shared" si="6"/>
        <v>0</v>
      </c>
      <c r="E177" s="11">
        <f t="shared" si="6"/>
        <v>0</v>
      </c>
    </row>
    <row r="178" spans="1:5" ht="15.75" thickBot="1" x14ac:dyDescent="0.3">
      <c r="A178" s="5" t="s">
        <v>24</v>
      </c>
      <c r="B178" s="260"/>
      <c r="C178" s="11">
        <f t="shared" si="6"/>
        <v>1.1516500532275264E-2</v>
      </c>
      <c r="D178" s="11">
        <f t="shared" si="6"/>
        <v>1.1720244929200208E-2</v>
      </c>
      <c r="E178" s="11">
        <f t="shared" si="6"/>
        <v>1.1915456995602591E-2</v>
      </c>
    </row>
    <row r="179" spans="1:5" ht="23.25" thickBot="1" x14ac:dyDescent="0.3">
      <c r="A179" s="5" t="s">
        <v>25</v>
      </c>
      <c r="B179" s="260"/>
      <c r="C179" s="11">
        <f t="shared" si="6"/>
        <v>1.1516500532275264E-2</v>
      </c>
      <c r="D179" s="11">
        <f t="shared" si="6"/>
        <v>1.1720244929199986E-2</v>
      </c>
      <c r="E179" s="11">
        <f t="shared" si="6"/>
        <v>1.1915456995602591E-2</v>
      </c>
    </row>
    <row r="180" spans="1:5" ht="12.75" customHeight="1" x14ac:dyDescent="0.25">
      <c r="A180" s="1250"/>
      <c r="B180" s="8">
        <v>2018</v>
      </c>
      <c r="C180" s="8">
        <v>2019</v>
      </c>
      <c r="D180" s="8">
        <v>2020</v>
      </c>
      <c r="E180" s="8">
        <v>2021</v>
      </c>
    </row>
    <row r="181" spans="1:5" ht="9" customHeight="1" thickBot="1" x14ac:dyDescent="0.3">
      <c r="A181" s="1251"/>
      <c r="B181" s="9" t="s">
        <v>10</v>
      </c>
      <c r="C181" s="9" t="s">
        <v>11</v>
      </c>
      <c r="D181" s="9" t="s">
        <v>11</v>
      </c>
      <c r="E181" s="9" t="s">
        <v>11</v>
      </c>
    </row>
    <row r="182" spans="1:5" ht="15.75" thickBot="1" x14ac:dyDescent="0.3">
      <c r="A182" s="1252" t="s">
        <v>636</v>
      </c>
      <c r="B182" s="1253"/>
      <c r="C182" s="1253"/>
      <c r="D182" s="1253"/>
      <c r="E182" s="1300"/>
    </row>
    <row r="183" spans="1:5" ht="12.75" customHeight="1" x14ac:dyDescent="0.25">
      <c r="A183" s="1250"/>
      <c r="B183" s="8">
        <v>2018</v>
      </c>
      <c r="C183" s="8">
        <v>2019</v>
      </c>
      <c r="D183" s="8">
        <v>2020</v>
      </c>
      <c r="E183" s="8">
        <v>2021</v>
      </c>
    </row>
    <row r="184" spans="1:5" ht="9" customHeight="1" thickBot="1" x14ac:dyDescent="0.3">
      <c r="A184" s="1251"/>
      <c r="B184" s="9" t="s">
        <v>10</v>
      </c>
      <c r="C184" s="9" t="s">
        <v>11</v>
      </c>
      <c r="D184" s="9" t="s">
        <v>11</v>
      </c>
      <c r="E184" s="9" t="s">
        <v>11</v>
      </c>
    </row>
    <row r="185" spans="1:5" ht="15.75" thickBot="1" x14ac:dyDescent="0.3">
      <c r="A185" s="13" t="s">
        <v>26</v>
      </c>
      <c r="B185" s="14">
        <v>10980</v>
      </c>
      <c r="C185" s="14">
        <v>10980</v>
      </c>
      <c r="D185" s="14">
        <v>10980</v>
      </c>
      <c r="E185" s="14">
        <v>10980</v>
      </c>
    </row>
    <row r="186" spans="1:5" ht="24.75" thickBot="1" x14ac:dyDescent="0.3">
      <c r="A186" s="13" t="s">
        <v>28</v>
      </c>
      <c r="B186" s="14">
        <v>1756</v>
      </c>
      <c r="C186" s="14">
        <v>1756</v>
      </c>
      <c r="D186" s="14">
        <v>1756</v>
      </c>
      <c r="E186" s="14">
        <v>1756</v>
      </c>
    </row>
    <row r="187" spans="1:5" ht="15.75" thickBot="1" x14ac:dyDescent="0.3">
      <c r="A187" s="13" t="s">
        <v>30</v>
      </c>
      <c r="B187" s="15">
        <v>7930</v>
      </c>
      <c r="C187" s="14">
        <v>8168</v>
      </c>
      <c r="D187" s="14">
        <v>8413</v>
      </c>
      <c r="E187" s="14">
        <v>8665</v>
      </c>
    </row>
    <row r="188" spans="1:5" ht="15.75" thickBot="1" x14ac:dyDescent="0.3">
      <c r="A188" s="13" t="s">
        <v>32</v>
      </c>
      <c r="B188" s="15"/>
      <c r="C188" s="14"/>
      <c r="D188" s="14"/>
      <c r="E188" s="14"/>
    </row>
    <row r="189" spans="1:5" ht="24.75" thickBot="1" x14ac:dyDescent="0.3">
      <c r="A189" s="13" t="s">
        <v>34</v>
      </c>
      <c r="B189" s="15"/>
      <c r="C189" s="14"/>
      <c r="D189" s="14"/>
      <c r="E189" s="14"/>
    </row>
    <row r="190" spans="1:5" ht="15.75" thickBot="1" x14ac:dyDescent="0.3">
      <c r="A190" s="13" t="s">
        <v>36</v>
      </c>
      <c r="B190" s="15"/>
      <c r="C190" s="14"/>
      <c r="D190" s="14"/>
      <c r="E190" s="14"/>
    </row>
    <row r="191" spans="1:5" ht="24.75" thickBot="1" x14ac:dyDescent="0.3">
      <c r="A191" s="13" t="s">
        <v>38</v>
      </c>
      <c r="B191" s="15"/>
      <c r="C191" s="14"/>
      <c r="D191" s="14"/>
      <c r="E191" s="14"/>
    </row>
    <row r="192" spans="1:5" ht="36.75" thickBot="1" x14ac:dyDescent="0.3">
      <c r="A192" s="137" t="s">
        <v>71</v>
      </c>
      <c r="B192" s="138">
        <f>B191+B190+B189+B188+B187+B186+B185</f>
        <v>20666</v>
      </c>
      <c r="C192" s="138">
        <f>C191+C190+C189+C188+C187+C186+C185</f>
        <v>20904</v>
      </c>
      <c r="D192" s="138">
        <f>D191+D190+D189+D188+D187+D186+D185</f>
        <v>21149</v>
      </c>
      <c r="E192" s="138">
        <f>E191+E190+E189+E188+E187+E186+E185</f>
        <v>21401</v>
      </c>
    </row>
    <row r="193" spans="1:5" ht="15.75" thickBot="1" x14ac:dyDescent="0.3">
      <c r="A193" s="17" t="s">
        <v>41</v>
      </c>
      <c r="B193" s="18">
        <f>IF(B192-B175=0,0,"Error")</f>
        <v>0</v>
      </c>
      <c r="C193" s="18">
        <f>IF(C192-C175=0,0,"Error")</f>
        <v>0</v>
      </c>
      <c r="D193" s="18">
        <f>IF(D192-D175=0,0,"Error")</f>
        <v>0</v>
      </c>
      <c r="E193" s="18">
        <f>IF(E192-E175=0,0,"Error")</f>
        <v>0</v>
      </c>
    </row>
    <row r="194" spans="1:5" ht="23.25" thickBot="1" x14ac:dyDescent="0.3">
      <c r="A194" s="139" t="s">
        <v>1486</v>
      </c>
      <c r="B194" s="1243" t="s">
        <v>804</v>
      </c>
      <c r="C194" s="1244"/>
      <c r="D194" s="1244"/>
      <c r="E194" s="1315"/>
    </row>
    <row r="195" spans="1:5" ht="15.75" thickBot="1" x14ac:dyDescent="0.3">
      <c r="A195" s="5" t="s">
        <v>17</v>
      </c>
      <c r="B195" s="1245" t="s">
        <v>804</v>
      </c>
      <c r="C195" s="1246"/>
      <c r="D195" s="1246"/>
      <c r="E195" s="1298"/>
    </row>
    <row r="196" spans="1:5" ht="15.75" thickBot="1" x14ac:dyDescent="0.3">
      <c r="A196" s="5" t="s">
        <v>18</v>
      </c>
      <c r="B196" s="1248" t="s">
        <v>805</v>
      </c>
      <c r="C196" s="1249"/>
      <c r="D196" s="1249"/>
      <c r="E196" s="1316"/>
    </row>
    <row r="197" spans="1:5" ht="12.75" customHeight="1" x14ac:dyDescent="0.25">
      <c r="A197" s="1250"/>
      <c r="B197" s="8">
        <v>2018</v>
      </c>
      <c r="C197" s="8">
        <v>2019</v>
      </c>
      <c r="D197" s="8">
        <v>2020</v>
      </c>
      <c r="E197" s="8">
        <v>2021</v>
      </c>
    </row>
    <row r="198" spans="1:5" ht="9" customHeight="1" thickBot="1" x14ac:dyDescent="0.3">
      <c r="A198" s="1251"/>
      <c r="B198" s="9" t="s">
        <v>10</v>
      </c>
      <c r="C198" s="9" t="s">
        <v>11</v>
      </c>
      <c r="D198" s="9" t="s">
        <v>11</v>
      </c>
      <c r="E198" s="9" t="s">
        <v>11</v>
      </c>
    </row>
    <row r="199" spans="1:5" ht="15.75" thickBot="1" x14ac:dyDescent="0.3">
      <c r="A199" s="5" t="s">
        <v>19</v>
      </c>
      <c r="B199" s="10">
        <v>20</v>
      </c>
      <c r="C199" s="10">
        <v>20</v>
      </c>
      <c r="D199" s="10">
        <v>20</v>
      </c>
      <c r="E199" s="10">
        <v>20</v>
      </c>
    </row>
    <row r="200" spans="1:5" ht="15.75" thickBot="1" x14ac:dyDescent="0.3">
      <c r="A200" s="5" t="s">
        <v>20</v>
      </c>
      <c r="B200" s="10">
        <v>0</v>
      </c>
      <c r="C200" s="10">
        <v>0</v>
      </c>
      <c r="D200" s="10">
        <v>0</v>
      </c>
      <c r="E200" s="10">
        <v>0</v>
      </c>
    </row>
    <row r="201" spans="1:5" ht="15.75" thickBot="1" x14ac:dyDescent="0.3">
      <c r="A201" s="5" t="s">
        <v>21</v>
      </c>
      <c r="B201" s="10">
        <f>B200/B199</f>
        <v>0</v>
      </c>
      <c r="C201" s="10">
        <f>C200/C199</f>
        <v>0</v>
      </c>
      <c r="D201" s="10">
        <f>D200/D199</f>
        <v>0</v>
      </c>
      <c r="E201" s="10">
        <f>E200/E199</f>
        <v>0</v>
      </c>
    </row>
    <row r="202" spans="1:5" ht="15.75" thickBot="1" x14ac:dyDescent="0.3">
      <c r="A202" s="5" t="s">
        <v>22</v>
      </c>
      <c r="B202" s="260"/>
      <c r="C202" s="11">
        <f t="shared" ref="C202:E204" si="7">C199/B199-1</f>
        <v>0</v>
      </c>
      <c r="D202" s="11">
        <f t="shared" si="7"/>
        <v>0</v>
      </c>
      <c r="E202" s="11">
        <f t="shared" si="7"/>
        <v>0</v>
      </c>
    </row>
    <row r="203" spans="1:5" ht="15.75" thickBot="1" x14ac:dyDescent="0.3">
      <c r="A203" s="5" t="s">
        <v>24</v>
      </c>
      <c r="B203" s="260"/>
      <c r="C203" s="11" t="e">
        <f t="shared" si="7"/>
        <v>#DIV/0!</v>
      </c>
      <c r="D203" s="11" t="e">
        <f t="shared" si="7"/>
        <v>#DIV/0!</v>
      </c>
      <c r="E203" s="11" t="e">
        <f t="shared" si="7"/>
        <v>#DIV/0!</v>
      </c>
    </row>
    <row r="204" spans="1:5" ht="23.25" thickBot="1" x14ac:dyDescent="0.3">
      <c r="A204" s="5" t="s">
        <v>25</v>
      </c>
      <c r="B204" s="260"/>
      <c r="C204" s="11" t="e">
        <f t="shared" si="7"/>
        <v>#DIV/0!</v>
      </c>
      <c r="D204" s="11" t="e">
        <f t="shared" si="7"/>
        <v>#DIV/0!</v>
      </c>
      <c r="E204" s="11" t="e">
        <f t="shared" si="7"/>
        <v>#DIV/0!</v>
      </c>
    </row>
    <row r="205" spans="1:5" ht="15.75" thickBot="1" x14ac:dyDescent="0.3">
      <c r="A205" s="1252" t="s">
        <v>635</v>
      </c>
      <c r="B205" s="1253"/>
      <c r="C205" s="1253"/>
      <c r="D205" s="1253"/>
      <c r="E205" s="1300"/>
    </row>
    <row r="206" spans="1:5" ht="12.75" customHeight="1" x14ac:dyDescent="0.25">
      <c r="A206" s="1250"/>
      <c r="B206" s="8">
        <v>2018</v>
      </c>
      <c r="C206" s="8">
        <v>2019</v>
      </c>
      <c r="D206" s="8">
        <v>2020</v>
      </c>
      <c r="E206" s="8">
        <v>2021</v>
      </c>
    </row>
    <row r="207" spans="1:5" ht="9" customHeight="1" thickBot="1" x14ac:dyDescent="0.3">
      <c r="A207" s="1251"/>
      <c r="B207" s="9" t="s">
        <v>10</v>
      </c>
      <c r="C207" s="9" t="s">
        <v>11</v>
      </c>
      <c r="D207" s="9" t="s">
        <v>11</v>
      </c>
      <c r="E207" s="9" t="s">
        <v>11</v>
      </c>
    </row>
    <row r="208" spans="1:5" ht="15.75" thickBot="1" x14ac:dyDescent="0.3">
      <c r="A208" s="13" t="s">
        <v>26</v>
      </c>
      <c r="B208" s="14"/>
      <c r="C208" s="14"/>
      <c r="D208" s="14"/>
      <c r="E208" s="14"/>
    </row>
    <row r="209" spans="1:5" ht="24.75" thickBot="1" x14ac:dyDescent="0.3">
      <c r="A209" s="13" t="s">
        <v>28</v>
      </c>
      <c r="B209" s="14"/>
      <c r="C209" s="14"/>
      <c r="D209" s="14"/>
      <c r="E209" s="14"/>
    </row>
    <row r="210" spans="1:5" ht="15.75" thickBot="1" x14ac:dyDescent="0.3">
      <c r="A210" s="13" t="s">
        <v>30</v>
      </c>
      <c r="B210" s="15">
        <v>0</v>
      </c>
      <c r="C210" s="14">
        <v>0</v>
      </c>
      <c r="D210" s="14">
        <v>0</v>
      </c>
      <c r="E210" s="14">
        <v>0</v>
      </c>
    </row>
    <row r="211" spans="1:5" ht="15.75" thickBot="1" x14ac:dyDescent="0.3">
      <c r="A211" s="13" t="s">
        <v>32</v>
      </c>
      <c r="B211" s="15"/>
      <c r="C211" s="14"/>
      <c r="D211" s="14"/>
      <c r="E211" s="14"/>
    </row>
    <row r="212" spans="1:5" ht="24.75" thickBot="1" x14ac:dyDescent="0.3">
      <c r="A212" s="13" t="s">
        <v>34</v>
      </c>
      <c r="B212" s="15"/>
      <c r="C212" s="14"/>
      <c r="D212" s="14"/>
      <c r="E212" s="14"/>
    </row>
    <row r="213" spans="1:5" ht="15.75" thickBot="1" x14ac:dyDescent="0.3">
      <c r="A213" s="13" t="s">
        <v>36</v>
      </c>
      <c r="B213" s="15"/>
      <c r="C213" s="14"/>
      <c r="D213" s="14"/>
      <c r="E213" s="14"/>
    </row>
    <row r="214" spans="1:5" ht="24.75" thickBot="1" x14ac:dyDescent="0.3">
      <c r="A214" s="13" t="s">
        <v>38</v>
      </c>
      <c r="B214" s="15"/>
      <c r="C214" s="14"/>
      <c r="D214" s="14"/>
      <c r="E214" s="14"/>
    </row>
    <row r="215" spans="1:5" ht="36.75" thickBot="1" x14ac:dyDescent="0.3">
      <c r="A215" s="137" t="s">
        <v>71</v>
      </c>
      <c r="B215" s="140">
        <f>B214+B212+B213+B211+B210+B209+B208</f>
        <v>0</v>
      </c>
      <c r="C215" s="140">
        <f>C214+C212+C213+C211+C210+C209+C208</f>
        <v>0</v>
      </c>
      <c r="D215" s="140">
        <f>D214+D212+D213+D211+D210+D209+D208</f>
        <v>0</v>
      </c>
      <c r="E215" s="140">
        <f>E214+E212+E213+E211+E210+E209+E208</f>
        <v>0</v>
      </c>
    </row>
    <row r="216" spans="1:5" ht="15.75" thickBot="1" x14ac:dyDescent="0.3">
      <c r="A216" s="17" t="s">
        <v>41</v>
      </c>
      <c r="B216" s="18">
        <f>IF(B215-B200=0,0,"Error")</f>
        <v>0</v>
      </c>
      <c r="C216" s="18">
        <f>IF(C215-C200=0,0,"Error")</f>
        <v>0</v>
      </c>
      <c r="D216" s="18">
        <f>IF(D215-D200=0,0,"Error")</f>
        <v>0</v>
      </c>
      <c r="E216" s="18">
        <f>IF(E215-E200=0,0,"Error")</f>
        <v>0</v>
      </c>
    </row>
    <row r="217" spans="1:5" ht="15.75" thickBot="1" x14ac:dyDescent="0.3">
      <c r="A217" s="1275" t="s">
        <v>63</v>
      </c>
      <c r="B217" s="1276"/>
      <c r="C217" s="1276"/>
      <c r="D217" s="1276"/>
      <c r="E217" s="1317"/>
    </row>
    <row r="218" spans="1:5" ht="15.75" thickBot="1" x14ac:dyDescent="0.3">
      <c r="A218" s="1275" t="s">
        <v>56</v>
      </c>
      <c r="B218" s="1276"/>
      <c r="C218" s="1276"/>
      <c r="D218" s="1276"/>
      <c r="E218" s="1317"/>
    </row>
    <row r="219" spans="1:5" ht="15.75" thickBot="1" x14ac:dyDescent="0.3">
      <c r="A219" s="20" t="s">
        <v>61</v>
      </c>
      <c r="B219" s="1241" t="s">
        <v>124</v>
      </c>
      <c r="C219" s="1242"/>
      <c r="D219" s="1242"/>
      <c r="E219" s="1318"/>
    </row>
    <row r="220" spans="1:5" ht="15.75" thickBot="1" x14ac:dyDescent="0.3">
      <c r="A220" s="7" t="s">
        <v>16</v>
      </c>
      <c r="B220" s="1243" t="s">
        <v>106</v>
      </c>
      <c r="C220" s="1244"/>
      <c r="D220" s="1244"/>
      <c r="E220" s="1315"/>
    </row>
    <row r="221" spans="1:5" ht="17.25" customHeight="1" thickBot="1" x14ac:dyDescent="0.3">
      <c r="A221" s="5" t="s">
        <v>17</v>
      </c>
      <c r="B221" s="1245" t="s">
        <v>106</v>
      </c>
      <c r="C221" s="1246"/>
      <c r="D221" s="1246"/>
      <c r="E221" s="1298"/>
    </row>
    <row r="222" spans="1:5" ht="15.75" thickBot="1" x14ac:dyDescent="0.3">
      <c r="A222" s="5" t="s">
        <v>18</v>
      </c>
      <c r="B222" s="1248" t="s">
        <v>106</v>
      </c>
      <c r="C222" s="1249"/>
      <c r="D222" s="1249"/>
      <c r="E222" s="1316"/>
    </row>
    <row r="223" spans="1:5" ht="12.75" customHeight="1" x14ac:dyDescent="0.25">
      <c r="A223" s="1250"/>
      <c r="B223" s="8">
        <v>2018</v>
      </c>
      <c r="C223" s="8">
        <v>2019</v>
      </c>
      <c r="D223" s="8">
        <v>2020</v>
      </c>
      <c r="E223" s="8">
        <v>2021</v>
      </c>
    </row>
    <row r="224" spans="1:5" ht="9" customHeight="1" thickBot="1" x14ac:dyDescent="0.3">
      <c r="A224" s="1251"/>
      <c r="B224" s="9" t="s">
        <v>10</v>
      </c>
      <c r="C224" s="9" t="s">
        <v>11</v>
      </c>
      <c r="D224" s="9" t="s">
        <v>11</v>
      </c>
      <c r="E224" s="9" t="s">
        <v>11</v>
      </c>
    </row>
    <row r="225" spans="1:9" ht="15.75" thickBot="1" x14ac:dyDescent="0.3">
      <c r="A225" s="5" t="s">
        <v>19</v>
      </c>
      <c r="B225" s="10"/>
      <c r="C225" s="10"/>
      <c r="D225" s="10"/>
      <c r="E225" s="10"/>
    </row>
    <row r="226" spans="1:9" ht="15.75" thickBot="1" x14ac:dyDescent="0.3">
      <c r="A226" s="5" t="s">
        <v>20</v>
      </c>
      <c r="B226" s="10"/>
      <c r="C226" s="10"/>
      <c r="D226" s="10"/>
      <c r="E226" s="10"/>
    </row>
    <row r="227" spans="1:9" ht="15.75" thickBot="1" x14ac:dyDescent="0.3">
      <c r="A227" s="5" t="s">
        <v>21</v>
      </c>
      <c r="B227" s="10" t="e">
        <f>B226/B225</f>
        <v>#DIV/0!</v>
      </c>
      <c r="C227" s="10" t="e">
        <f>C226/C225</f>
        <v>#DIV/0!</v>
      </c>
      <c r="D227" s="10" t="e">
        <f>D226/D225</f>
        <v>#DIV/0!</v>
      </c>
      <c r="E227" s="10" t="e">
        <f>E226/E225</f>
        <v>#DIV/0!</v>
      </c>
    </row>
    <row r="228" spans="1:9" ht="15.75" thickBot="1" x14ac:dyDescent="0.3">
      <c r="A228" s="5" t="s">
        <v>22</v>
      </c>
      <c r="B228" s="260" t="s">
        <v>23</v>
      </c>
      <c r="C228" s="11" t="e">
        <f t="shared" ref="C228:E230" si="8">C225/B225-1</f>
        <v>#DIV/0!</v>
      </c>
      <c r="D228" s="11" t="e">
        <f t="shared" si="8"/>
        <v>#DIV/0!</v>
      </c>
      <c r="E228" s="11" t="e">
        <f t="shared" si="8"/>
        <v>#DIV/0!</v>
      </c>
      <c r="F228" s="12"/>
      <c r="G228" s="12"/>
      <c r="H228" s="12"/>
      <c r="I228" s="12"/>
    </row>
    <row r="229" spans="1:9" ht="15.75" thickBot="1" x14ac:dyDescent="0.3">
      <c r="A229" s="5" t="s">
        <v>24</v>
      </c>
      <c r="B229" s="260" t="s">
        <v>23</v>
      </c>
      <c r="C229" s="11" t="e">
        <f t="shared" si="8"/>
        <v>#DIV/0!</v>
      </c>
      <c r="D229" s="11" t="e">
        <f t="shared" si="8"/>
        <v>#DIV/0!</v>
      </c>
      <c r="E229" s="11" t="e">
        <f t="shared" si="8"/>
        <v>#DIV/0!</v>
      </c>
    </row>
    <row r="230" spans="1:9" ht="23.25" thickBot="1" x14ac:dyDescent="0.3">
      <c r="A230" s="5" t="s">
        <v>25</v>
      </c>
      <c r="B230" s="260" t="s">
        <v>23</v>
      </c>
      <c r="C230" s="11" t="e">
        <f t="shared" si="8"/>
        <v>#DIV/0!</v>
      </c>
      <c r="D230" s="11" t="e">
        <f t="shared" si="8"/>
        <v>#DIV/0!</v>
      </c>
      <c r="E230" s="11" t="e">
        <f t="shared" si="8"/>
        <v>#DIV/0!</v>
      </c>
    </row>
    <row r="231" spans="1:9" ht="15.75" thickBot="1" x14ac:dyDescent="0.3">
      <c r="A231" s="1252" t="s">
        <v>633</v>
      </c>
      <c r="B231" s="1253"/>
      <c r="C231" s="1253"/>
      <c r="D231" s="1253"/>
      <c r="E231" s="1300"/>
    </row>
    <row r="232" spans="1:9" ht="12.75" customHeight="1" x14ac:dyDescent="0.25">
      <c r="A232" s="1250"/>
      <c r="B232" s="8">
        <v>2018</v>
      </c>
      <c r="C232" s="8">
        <v>2019</v>
      </c>
      <c r="D232" s="8">
        <v>2020</v>
      </c>
      <c r="E232" s="8">
        <v>2021</v>
      </c>
    </row>
    <row r="233" spans="1:9" ht="9" customHeight="1" thickBot="1" x14ac:dyDescent="0.3">
      <c r="A233" s="1251"/>
      <c r="B233" s="9" t="s">
        <v>10</v>
      </c>
      <c r="C233" s="9" t="s">
        <v>11</v>
      </c>
      <c r="D233" s="9" t="s">
        <v>11</v>
      </c>
      <c r="E233" s="9" t="s">
        <v>11</v>
      </c>
    </row>
    <row r="234" spans="1:9" ht="15.75" thickBot="1" x14ac:dyDescent="0.3">
      <c r="A234" s="13" t="s">
        <v>58</v>
      </c>
      <c r="B234" s="14"/>
      <c r="C234" s="14"/>
      <c r="D234" s="14"/>
      <c r="E234" s="14"/>
    </row>
    <row r="235" spans="1:9" ht="15.75" thickBot="1" x14ac:dyDescent="0.3">
      <c r="A235" s="13" t="s">
        <v>59</v>
      </c>
      <c r="B235" s="15"/>
      <c r="C235" s="14"/>
      <c r="D235" s="14"/>
      <c r="E235" s="14"/>
    </row>
    <row r="236" spans="1:9" ht="15.75" thickBot="1" x14ac:dyDescent="0.3">
      <c r="A236" s="16" t="s">
        <v>40</v>
      </c>
      <c r="B236" s="15">
        <f>B235+B234</f>
        <v>0</v>
      </c>
      <c r="C236" s="15">
        <f>C235+C234</f>
        <v>0</v>
      </c>
      <c r="D236" s="15">
        <f>D235+D234</f>
        <v>0</v>
      </c>
      <c r="E236" s="15">
        <f>E235+E234</f>
        <v>0</v>
      </c>
    </row>
    <row r="237" spans="1:9" ht="15.75" thickBot="1" x14ac:dyDescent="0.3">
      <c r="A237" s="20" t="s">
        <v>61</v>
      </c>
      <c r="B237" s="1241" t="s">
        <v>124</v>
      </c>
      <c r="C237" s="1242"/>
      <c r="D237" s="1242"/>
      <c r="E237" s="1318"/>
    </row>
    <row r="238" spans="1:9" ht="23.25" thickBot="1" x14ac:dyDescent="0.3">
      <c r="A238" s="7" t="s">
        <v>123</v>
      </c>
      <c r="B238" s="1243" t="s">
        <v>106</v>
      </c>
      <c r="C238" s="1244"/>
      <c r="D238" s="1244"/>
      <c r="E238" s="1315"/>
    </row>
    <row r="239" spans="1:9" ht="17.25" customHeight="1" thickBot="1" x14ac:dyDescent="0.3">
      <c r="A239" s="5" t="s">
        <v>17</v>
      </c>
      <c r="B239" s="1245" t="s">
        <v>106</v>
      </c>
      <c r="C239" s="1246"/>
      <c r="D239" s="1246"/>
      <c r="E239" s="1298"/>
    </row>
    <row r="240" spans="1:9" ht="15.75" thickBot="1" x14ac:dyDescent="0.3">
      <c r="A240" s="5" t="s">
        <v>18</v>
      </c>
      <c r="B240" s="1248" t="s">
        <v>106</v>
      </c>
      <c r="C240" s="1249"/>
      <c r="D240" s="1249"/>
      <c r="E240" s="1316"/>
    </row>
    <row r="241" spans="1:9" ht="12.75" customHeight="1" x14ac:dyDescent="0.25">
      <c r="A241" s="1250"/>
      <c r="B241" s="8">
        <v>2018</v>
      </c>
      <c r="C241" s="8">
        <v>2019</v>
      </c>
      <c r="D241" s="8">
        <v>2020</v>
      </c>
      <c r="E241" s="8">
        <v>2021</v>
      </c>
    </row>
    <row r="242" spans="1:9" ht="9" customHeight="1" thickBot="1" x14ac:dyDescent="0.3">
      <c r="A242" s="1251"/>
      <c r="B242" s="9" t="s">
        <v>10</v>
      </c>
      <c r="C242" s="9" t="s">
        <v>11</v>
      </c>
      <c r="D242" s="9" t="s">
        <v>11</v>
      </c>
      <c r="E242" s="9" t="s">
        <v>11</v>
      </c>
    </row>
    <row r="243" spans="1:9" ht="15.75" thickBot="1" x14ac:dyDescent="0.3">
      <c r="A243" s="5" t="s">
        <v>19</v>
      </c>
      <c r="B243" s="10"/>
      <c r="C243" s="10"/>
      <c r="D243" s="10"/>
      <c r="E243" s="10"/>
    </row>
    <row r="244" spans="1:9" ht="15.75" thickBot="1" x14ac:dyDescent="0.3">
      <c r="A244" s="5" t="s">
        <v>20</v>
      </c>
      <c r="B244" s="10"/>
      <c r="C244" s="10"/>
      <c r="D244" s="10"/>
      <c r="E244" s="10"/>
    </row>
    <row r="245" spans="1:9" ht="15.75" thickBot="1" x14ac:dyDescent="0.3">
      <c r="A245" s="5" t="s">
        <v>21</v>
      </c>
      <c r="B245" s="10" t="e">
        <f>B244/B243</f>
        <v>#DIV/0!</v>
      </c>
      <c r="C245" s="10" t="e">
        <f>C244/C243</f>
        <v>#DIV/0!</v>
      </c>
      <c r="D245" s="10" t="e">
        <f>D244/D243</f>
        <v>#DIV/0!</v>
      </c>
      <c r="E245" s="10" t="e">
        <f>E244/E243</f>
        <v>#DIV/0!</v>
      </c>
    </row>
    <row r="246" spans="1:9" ht="15.75" thickBot="1" x14ac:dyDescent="0.3">
      <c r="A246" s="5" t="s">
        <v>22</v>
      </c>
      <c r="B246" s="260" t="s">
        <v>23</v>
      </c>
      <c r="C246" s="11" t="e">
        <f t="shared" ref="C246:E248" si="9">C243/B243-1</f>
        <v>#DIV/0!</v>
      </c>
      <c r="D246" s="11" t="e">
        <f t="shared" si="9"/>
        <v>#DIV/0!</v>
      </c>
      <c r="E246" s="11" t="e">
        <f t="shared" si="9"/>
        <v>#DIV/0!</v>
      </c>
      <c r="F246" s="12"/>
      <c r="G246" s="12"/>
      <c r="H246" s="12"/>
      <c r="I246" s="12"/>
    </row>
    <row r="247" spans="1:9" ht="15.75" thickBot="1" x14ac:dyDescent="0.3">
      <c r="A247" s="5" t="s">
        <v>24</v>
      </c>
      <c r="B247" s="260" t="s">
        <v>23</v>
      </c>
      <c r="C247" s="11" t="e">
        <f t="shared" si="9"/>
        <v>#DIV/0!</v>
      </c>
      <c r="D247" s="11" t="e">
        <f t="shared" si="9"/>
        <v>#DIV/0!</v>
      </c>
      <c r="E247" s="11" t="e">
        <f t="shared" si="9"/>
        <v>#DIV/0!</v>
      </c>
    </row>
    <row r="248" spans="1:9" ht="23.25" thickBot="1" x14ac:dyDescent="0.3">
      <c r="A248" s="5" t="s">
        <v>25</v>
      </c>
      <c r="B248" s="260" t="s">
        <v>23</v>
      </c>
      <c r="C248" s="11" t="e">
        <f t="shared" si="9"/>
        <v>#DIV/0!</v>
      </c>
      <c r="D248" s="11" t="e">
        <f t="shared" si="9"/>
        <v>#DIV/0!</v>
      </c>
      <c r="E248" s="11" t="e">
        <f t="shared" si="9"/>
        <v>#DIV/0!</v>
      </c>
    </row>
    <row r="249" spans="1:9" ht="15.75" thickBot="1" x14ac:dyDescent="0.3">
      <c r="A249" s="1252" t="s">
        <v>635</v>
      </c>
      <c r="B249" s="1253"/>
      <c r="C249" s="1253"/>
      <c r="D249" s="1253"/>
      <c r="E249" s="1300"/>
    </row>
    <row r="250" spans="1:9" ht="12.75" customHeight="1" x14ac:dyDescent="0.25">
      <c r="A250" s="1250"/>
      <c r="B250" s="8">
        <v>2018</v>
      </c>
      <c r="C250" s="8">
        <v>2019</v>
      </c>
      <c r="D250" s="8">
        <v>2020</v>
      </c>
      <c r="E250" s="8">
        <v>2021</v>
      </c>
    </row>
    <row r="251" spans="1:9" ht="9" customHeight="1" thickBot="1" x14ac:dyDescent="0.3">
      <c r="A251" s="1251"/>
      <c r="B251" s="9" t="s">
        <v>10</v>
      </c>
      <c r="C251" s="9" t="s">
        <v>11</v>
      </c>
      <c r="D251" s="9" t="s">
        <v>11</v>
      </c>
      <c r="E251" s="9" t="s">
        <v>11</v>
      </c>
    </row>
    <row r="252" spans="1:9" ht="15.75" thickBot="1" x14ac:dyDescent="0.3">
      <c r="A252" s="13" t="s">
        <v>58</v>
      </c>
      <c r="B252" s="14"/>
      <c r="C252" s="14"/>
      <c r="D252" s="14"/>
      <c r="E252" s="14"/>
    </row>
    <row r="253" spans="1:9" ht="15.75" thickBot="1" x14ac:dyDescent="0.3">
      <c r="A253" s="13" t="s">
        <v>59</v>
      </c>
      <c r="B253" s="15"/>
      <c r="C253" s="14"/>
      <c r="D253" s="14"/>
      <c r="E253" s="14"/>
    </row>
    <row r="254" spans="1:9" ht="24.75" thickBot="1" x14ac:dyDescent="0.3">
      <c r="A254" s="16" t="s">
        <v>74</v>
      </c>
      <c r="B254" s="15">
        <f>B253+B252</f>
        <v>0</v>
      </c>
      <c r="C254" s="15">
        <f>C253+C252</f>
        <v>0</v>
      </c>
      <c r="D254" s="15">
        <f>D253+D252</f>
        <v>0</v>
      </c>
      <c r="E254" s="15">
        <f>E253+E252</f>
        <v>0</v>
      </c>
    </row>
    <row r="255" spans="1:9" ht="15.75" thickBot="1" x14ac:dyDescent="0.3">
      <c r="A255" s="1275" t="s">
        <v>63</v>
      </c>
      <c r="B255" s="1276"/>
      <c r="C255" s="1276"/>
      <c r="D255" s="1276"/>
      <c r="E255" s="1317"/>
    </row>
    <row r="256" spans="1:9" ht="15.75" thickBot="1" x14ac:dyDescent="0.3">
      <c r="A256" s="1275" t="s">
        <v>64</v>
      </c>
      <c r="B256" s="1276"/>
      <c r="C256" s="1276"/>
      <c r="D256" s="1276"/>
      <c r="E256" s="1317"/>
    </row>
    <row r="257" spans="1:9" ht="15.75" thickBot="1" x14ac:dyDescent="0.3">
      <c r="A257" s="20" t="s">
        <v>61</v>
      </c>
      <c r="B257" s="1241" t="s">
        <v>124</v>
      </c>
      <c r="C257" s="1242"/>
      <c r="D257" s="1242"/>
      <c r="E257" s="1318"/>
    </row>
    <row r="258" spans="1:9" ht="15.75" thickBot="1" x14ac:dyDescent="0.3">
      <c r="A258" s="7" t="s">
        <v>16</v>
      </c>
      <c r="B258" s="1243" t="s">
        <v>106</v>
      </c>
      <c r="C258" s="1244"/>
      <c r="D258" s="1244"/>
      <c r="E258" s="1315"/>
    </row>
    <row r="259" spans="1:9" ht="17.25" customHeight="1" thickBot="1" x14ac:dyDescent="0.3">
      <c r="A259" s="5" t="s">
        <v>17</v>
      </c>
      <c r="B259" s="1245" t="s">
        <v>106</v>
      </c>
      <c r="C259" s="1246"/>
      <c r="D259" s="1246"/>
      <c r="E259" s="1298"/>
    </row>
    <row r="260" spans="1:9" ht="15.75" thickBot="1" x14ac:dyDescent="0.3">
      <c r="A260" s="5" t="s">
        <v>18</v>
      </c>
      <c r="B260" s="1248" t="s">
        <v>106</v>
      </c>
      <c r="C260" s="1249"/>
      <c r="D260" s="1249"/>
      <c r="E260" s="1316"/>
    </row>
    <row r="261" spans="1:9" ht="12.75" customHeight="1" x14ac:dyDescent="0.25">
      <c r="A261" s="1250"/>
      <c r="B261" s="8">
        <v>2018</v>
      </c>
      <c r="C261" s="8">
        <v>2019</v>
      </c>
      <c r="D261" s="8">
        <v>2020</v>
      </c>
      <c r="E261" s="8">
        <v>2021</v>
      </c>
    </row>
    <row r="262" spans="1:9" ht="9" customHeight="1" thickBot="1" x14ac:dyDescent="0.3">
      <c r="A262" s="1251"/>
      <c r="B262" s="9" t="s">
        <v>10</v>
      </c>
      <c r="C262" s="9" t="s">
        <v>11</v>
      </c>
      <c r="D262" s="9" t="s">
        <v>11</v>
      </c>
      <c r="E262" s="9" t="s">
        <v>11</v>
      </c>
    </row>
    <row r="263" spans="1:9" ht="15.75" thickBot="1" x14ac:dyDescent="0.3">
      <c r="A263" s="5" t="s">
        <v>19</v>
      </c>
      <c r="B263" s="10"/>
      <c r="C263" s="10"/>
      <c r="D263" s="10"/>
      <c r="E263" s="10"/>
    </row>
    <row r="264" spans="1:9" ht="15.75" thickBot="1" x14ac:dyDescent="0.3">
      <c r="A264" s="5" t="s">
        <v>20</v>
      </c>
      <c r="B264" s="10"/>
      <c r="C264" s="10"/>
      <c r="D264" s="10"/>
      <c r="E264" s="10"/>
    </row>
    <row r="265" spans="1:9" ht="15.75" thickBot="1" x14ac:dyDescent="0.3">
      <c r="A265" s="5" t="s">
        <v>21</v>
      </c>
      <c r="B265" s="10" t="e">
        <f>B264/B263</f>
        <v>#DIV/0!</v>
      </c>
      <c r="C265" s="10" t="e">
        <f>C264/C263</f>
        <v>#DIV/0!</v>
      </c>
      <c r="D265" s="10" t="e">
        <f>D264/D263</f>
        <v>#DIV/0!</v>
      </c>
      <c r="E265" s="10" t="e">
        <f>E264/E263</f>
        <v>#DIV/0!</v>
      </c>
    </row>
    <row r="266" spans="1:9" ht="15.75" thickBot="1" x14ac:dyDescent="0.3">
      <c r="A266" s="5" t="s">
        <v>22</v>
      </c>
      <c r="B266" s="260" t="s">
        <v>23</v>
      </c>
      <c r="C266" s="11" t="e">
        <f t="shared" ref="C266:E268" si="10">C263/B263-1</f>
        <v>#DIV/0!</v>
      </c>
      <c r="D266" s="11" t="e">
        <f t="shared" si="10"/>
        <v>#DIV/0!</v>
      </c>
      <c r="E266" s="11" t="e">
        <f t="shared" si="10"/>
        <v>#DIV/0!</v>
      </c>
      <c r="F266" s="12"/>
      <c r="G266" s="12"/>
      <c r="H266" s="12"/>
      <c r="I266" s="12"/>
    </row>
    <row r="267" spans="1:9" ht="15.75" thickBot="1" x14ac:dyDescent="0.3">
      <c r="A267" s="5" t="s">
        <v>24</v>
      </c>
      <c r="B267" s="260" t="s">
        <v>23</v>
      </c>
      <c r="C267" s="11" t="e">
        <f t="shared" si="10"/>
        <v>#DIV/0!</v>
      </c>
      <c r="D267" s="11" t="e">
        <f t="shared" si="10"/>
        <v>#DIV/0!</v>
      </c>
      <c r="E267" s="11" t="e">
        <f t="shared" si="10"/>
        <v>#DIV/0!</v>
      </c>
    </row>
    <row r="268" spans="1:9" ht="23.25" thickBot="1" x14ac:dyDescent="0.3">
      <c r="A268" s="5" t="s">
        <v>25</v>
      </c>
      <c r="B268" s="260" t="s">
        <v>23</v>
      </c>
      <c r="C268" s="11" t="e">
        <f t="shared" si="10"/>
        <v>#DIV/0!</v>
      </c>
      <c r="D268" s="11" t="e">
        <f t="shared" si="10"/>
        <v>#DIV/0!</v>
      </c>
      <c r="E268" s="11" t="e">
        <f t="shared" si="10"/>
        <v>#DIV/0!</v>
      </c>
    </row>
    <row r="269" spans="1:9" ht="15.75" thickBot="1" x14ac:dyDescent="0.3">
      <c r="A269" s="1252" t="s">
        <v>633</v>
      </c>
      <c r="B269" s="1253"/>
      <c r="C269" s="1253"/>
      <c r="D269" s="1253"/>
      <c r="E269" s="1300"/>
    </row>
    <row r="270" spans="1:9" ht="12.75" customHeight="1" x14ac:dyDescent="0.25">
      <c r="A270" s="1250"/>
      <c r="B270" s="8">
        <v>2018</v>
      </c>
      <c r="C270" s="8">
        <v>2019</v>
      </c>
      <c r="D270" s="8">
        <v>2020</v>
      </c>
      <c r="E270" s="8">
        <v>2021</v>
      </c>
    </row>
    <row r="271" spans="1:9" ht="9" customHeight="1" thickBot="1" x14ac:dyDescent="0.3">
      <c r="A271" s="1251"/>
      <c r="B271" s="9" t="s">
        <v>10</v>
      </c>
      <c r="C271" s="9" t="s">
        <v>11</v>
      </c>
      <c r="D271" s="9" t="s">
        <v>11</v>
      </c>
      <c r="E271" s="9" t="s">
        <v>11</v>
      </c>
    </row>
    <row r="272" spans="1:9" ht="15.75" thickBot="1" x14ac:dyDescent="0.3">
      <c r="A272" s="13" t="s">
        <v>58</v>
      </c>
      <c r="B272" s="14"/>
      <c r="C272" s="14"/>
      <c r="D272" s="14"/>
      <c r="E272" s="14"/>
    </row>
    <row r="273" spans="1:9" ht="15.75" thickBot="1" x14ac:dyDescent="0.3">
      <c r="A273" s="13" t="s">
        <v>59</v>
      </c>
      <c r="B273" s="15"/>
      <c r="C273" s="14"/>
      <c r="D273" s="14"/>
      <c r="E273" s="14"/>
    </row>
    <row r="274" spans="1:9" ht="15.75" thickBot="1" x14ac:dyDescent="0.3">
      <c r="A274" s="16" t="s">
        <v>40</v>
      </c>
      <c r="B274" s="15">
        <f>B273+B272</f>
        <v>0</v>
      </c>
      <c r="C274" s="15">
        <f>C273+C272</f>
        <v>0</v>
      </c>
      <c r="D274" s="15">
        <f>D273+D272</f>
        <v>0</v>
      </c>
      <c r="E274" s="15">
        <f>E273+E272</f>
        <v>0</v>
      </c>
    </row>
    <row r="275" spans="1:9" ht="15.75" thickBot="1" x14ac:dyDescent="0.3">
      <c r="A275" s="20" t="s">
        <v>61</v>
      </c>
      <c r="B275" s="1241" t="s">
        <v>124</v>
      </c>
      <c r="C275" s="1242"/>
      <c r="D275" s="1242"/>
      <c r="E275" s="1318"/>
    </row>
    <row r="276" spans="1:9" ht="23.25" thickBot="1" x14ac:dyDescent="0.3">
      <c r="A276" s="7" t="s">
        <v>123</v>
      </c>
      <c r="B276" s="1243" t="s">
        <v>106</v>
      </c>
      <c r="C276" s="1244"/>
      <c r="D276" s="1244"/>
      <c r="E276" s="1315"/>
    </row>
    <row r="277" spans="1:9" ht="17.25" customHeight="1" thickBot="1" x14ac:dyDescent="0.3">
      <c r="A277" s="5" t="s">
        <v>17</v>
      </c>
      <c r="B277" s="1245" t="s">
        <v>106</v>
      </c>
      <c r="C277" s="1246"/>
      <c r="D277" s="1246"/>
      <c r="E277" s="1298"/>
    </row>
    <row r="278" spans="1:9" ht="15.75" thickBot="1" x14ac:dyDescent="0.3">
      <c r="A278" s="5" t="s">
        <v>18</v>
      </c>
      <c r="B278" s="1248" t="s">
        <v>106</v>
      </c>
      <c r="C278" s="1249"/>
      <c r="D278" s="1249"/>
      <c r="E278" s="1316"/>
    </row>
    <row r="279" spans="1:9" ht="12.75" customHeight="1" x14ac:dyDescent="0.25">
      <c r="A279" s="1250"/>
      <c r="B279" s="8">
        <v>2018</v>
      </c>
      <c r="C279" s="8">
        <v>2019</v>
      </c>
      <c r="D279" s="8">
        <v>2020</v>
      </c>
      <c r="E279" s="8">
        <v>2021</v>
      </c>
    </row>
    <row r="280" spans="1:9" ht="9" customHeight="1" thickBot="1" x14ac:dyDescent="0.3">
      <c r="A280" s="1251"/>
      <c r="B280" s="9" t="s">
        <v>10</v>
      </c>
      <c r="C280" s="9" t="s">
        <v>11</v>
      </c>
      <c r="D280" s="9" t="s">
        <v>11</v>
      </c>
      <c r="E280" s="9" t="s">
        <v>11</v>
      </c>
    </row>
    <row r="281" spans="1:9" ht="15.75" thickBot="1" x14ac:dyDescent="0.3">
      <c r="A281" s="5" t="s">
        <v>19</v>
      </c>
      <c r="B281" s="10"/>
      <c r="C281" s="10"/>
      <c r="D281" s="10"/>
      <c r="E281" s="10"/>
    </row>
    <row r="282" spans="1:9" ht="15.75" thickBot="1" x14ac:dyDescent="0.3">
      <c r="A282" s="5" t="s">
        <v>20</v>
      </c>
      <c r="B282" s="10"/>
      <c r="C282" s="10"/>
      <c r="D282" s="10"/>
      <c r="E282" s="10"/>
    </row>
    <row r="283" spans="1:9" ht="15.75" thickBot="1" x14ac:dyDescent="0.3">
      <c r="A283" s="5" t="s">
        <v>21</v>
      </c>
      <c r="B283" s="10" t="e">
        <f>B282/B281</f>
        <v>#DIV/0!</v>
      </c>
      <c r="C283" s="10" t="e">
        <f>C282/C281</f>
        <v>#DIV/0!</v>
      </c>
      <c r="D283" s="10" t="e">
        <f>D282/D281</f>
        <v>#DIV/0!</v>
      </c>
      <c r="E283" s="10" t="e">
        <f>E282/E281</f>
        <v>#DIV/0!</v>
      </c>
    </row>
    <row r="284" spans="1:9" ht="15.75" thickBot="1" x14ac:dyDescent="0.3">
      <c r="A284" s="5" t="s">
        <v>22</v>
      </c>
      <c r="B284" s="260" t="s">
        <v>23</v>
      </c>
      <c r="C284" s="11" t="e">
        <f t="shared" ref="C284:E286" si="11">C281/B281-1</f>
        <v>#DIV/0!</v>
      </c>
      <c r="D284" s="11" t="e">
        <f t="shared" si="11"/>
        <v>#DIV/0!</v>
      </c>
      <c r="E284" s="11" t="e">
        <f t="shared" si="11"/>
        <v>#DIV/0!</v>
      </c>
      <c r="F284" s="12"/>
      <c r="G284" s="12"/>
      <c r="H284" s="12"/>
      <c r="I284" s="12"/>
    </row>
    <row r="285" spans="1:9" ht="15.75" thickBot="1" x14ac:dyDescent="0.3">
      <c r="A285" s="5" t="s">
        <v>24</v>
      </c>
      <c r="B285" s="260" t="s">
        <v>23</v>
      </c>
      <c r="C285" s="11" t="e">
        <f t="shared" si="11"/>
        <v>#DIV/0!</v>
      </c>
      <c r="D285" s="11" t="e">
        <f t="shared" si="11"/>
        <v>#DIV/0!</v>
      </c>
      <c r="E285" s="11" t="e">
        <f t="shared" si="11"/>
        <v>#DIV/0!</v>
      </c>
    </row>
    <row r="286" spans="1:9" ht="23.25" thickBot="1" x14ac:dyDescent="0.3">
      <c r="A286" s="5" t="s">
        <v>25</v>
      </c>
      <c r="B286" s="260" t="s">
        <v>23</v>
      </c>
      <c r="C286" s="11" t="e">
        <f t="shared" si="11"/>
        <v>#DIV/0!</v>
      </c>
      <c r="D286" s="11" t="e">
        <f t="shared" si="11"/>
        <v>#DIV/0!</v>
      </c>
      <c r="E286" s="11" t="e">
        <f t="shared" si="11"/>
        <v>#DIV/0!</v>
      </c>
    </row>
    <row r="287" spans="1:9" ht="15.75" thickBot="1" x14ac:dyDescent="0.3">
      <c r="A287" s="1252" t="s">
        <v>635</v>
      </c>
      <c r="B287" s="1253"/>
      <c r="C287" s="1253"/>
      <c r="D287" s="1253"/>
      <c r="E287" s="1300"/>
    </row>
    <row r="288" spans="1:9" ht="12.75" customHeight="1" x14ac:dyDescent="0.25">
      <c r="A288" s="1250"/>
      <c r="B288" s="8">
        <v>2018</v>
      </c>
      <c r="C288" s="8">
        <v>2019</v>
      </c>
      <c r="D288" s="8">
        <v>2020</v>
      </c>
      <c r="E288" s="8">
        <v>2021</v>
      </c>
    </row>
    <row r="289" spans="1:5" ht="9" customHeight="1" thickBot="1" x14ac:dyDescent="0.3">
      <c r="A289" s="1251"/>
      <c r="B289" s="9" t="s">
        <v>10</v>
      </c>
      <c r="C289" s="9" t="s">
        <v>11</v>
      </c>
      <c r="D289" s="9" t="s">
        <v>11</v>
      </c>
      <c r="E289" s="9" t="s">
        <v>11</v>
      </c>
    </row>
    <row r="290" spans="1:5" ht="15.75" thickBot="1" x14ac:dyDescent="0.3">
      <c r="A290" s="13" t="s">
        <v>58</v>
      </c>
      <c r="B290" s="14"/>
      <c r="C290" s="14"/>
      <c r="D290" s="14"/>
      <c r="E290" s="14"/>
    </row>
    <row r="291" spans="1:5" ht="15.75" thickBot="1" x14ac:dyDescent="0.3">
      <c r="A291" s="13" t="s">
        <v>59</v>
      </c>
      <c r="B291" s="15"/>
      <c r="C291" s="14"/>
      <c r="D291" s="14"/>
      <c r="E291" s="14"/>
    </row>
    <row r="292" spans="1:5" ht="24.75" thickBot="1" x14ac:dyDescent="0.3">
      <c r="A292" s="16" t="s">
        <v>74</v>
      </c>
      <c r="B292" s="15">
        <f>B291+B290</f>
        <v>0</v>
      </c>
      <c r="C292" s="15">
        <f>C291+C290</f>
        <v>0</v>
      </c>
      <c r="D292" s="15">
        <f>D291+D290</f>
        <v>0</v>
      </c>
      <c r="E292" s="15">
        <f>E291+E290</f>
        <v>0</v>
      </c>
    </row>
    <row r="293" spans="1:5" ht="15.75" thickBot="1" x14ac:dyDescent="0.3">
      <c r="A293" s="22"/>
      <c r="B293" s="23"/>
      <c r="C293" s="23"/>
      <c r="D293" s="23"/>
      <c r="E293" s="23"/>
    </row>
    <row r="294" spans="1:5" ht="27" customHeight="1" thickBot="1" x14ac:dyDescent="0.3">
      <c r="A294" s="6" t="s">
        <v>82</v>
      </c>
      <c r="B294" s="24">
        <f>B282+B264+B244+B226+B200+B175+B149+B131+B111+B90+B64+B41</f>
        <v>37880</v>
      </c>
      <c r="C294" s="24">
        <f>C282+C264+C244+C226+C200+C175+C149+C131+C111+C90+C64+C41</f>
        <v>34270</v>
      </c>
      <c r="D294" s="24">
        <f>D282+D264+D244+D226+D200+D175+D149+D131+D111+D90+D64+D41</f>
        <v>34672</v>
      </c>
      <c r="E294" s="24">
        <f>E282+E264+E244+E226+E200+E175+E149+E131+E111+E90+E64+E41</f>
        <v>35085</v>
      </c>
    </row>
    <row r="295" spans="1:5" ht="36.75" thickBot="1" x14ac:dyDescent="0.3">
      <c r="A295" s="6" t="s">
        <v>83</v>
      </c>
      <c r="B295" s="24">
        <f>B297+B299+B301+B303+B305+B307+B309+B311+B313</f>
        <v>37880</v>
      </c>
      <c r="C295" s="24">
        <f>C297+C299+C301+C303+C305+C307+C309+C311+C313</f>
        <v>34270</v>
      </c>
      <c r="D295" s="24">
        <f>D297+D299+D301+D303+D305+D307+D309+D311+D313</f>
        <v>34672</v>
      </c>
      <c r="E295" s="24">
        <f>E297+E299+E301+E303+E305+E307+E309+E311+E313</f>
        <v>35085</v>
      </c>
    </row>
    <row r="296" spans="1:5" ht="36.75" thickBot="1" x14ac:dyDescent="0.3">
      <c r="A296" s="25" t="s">
        <v>84</v>
      </c>
      <c r="B296" s="26"/>
      <c r="C296" s="27">
        <f>C295/B295-1</f>
        <v>-9.5300950369588189E-2</v>
      </c>
      <c r="D296" s="27">
        <f>D295/C295-1</f>
        <v>1.1730376422526945E-2</v>
      </c>
      <c r="E296" s="27">
        <f>E295/D295-1</f>
        <v>1.1911628980156852E-2</v>
      </c>
    </row>
    <row r="297" spans="1:5" ht="15.75" thickBot="1" x14ac:dyDescent="0.3">
      <c r="A297" s="13" t="s">
        <v>26</v>
      </c>
      <c r="B297" s="14">
        <f>B208+B185+B72+B49</f>
        <v>18000</v>
      </c>
      <c r="C297" s="14">
        <f>C208+C185+C72+C49</f>
        <v>18000</v>
      </c>
      <c r="D297" s="14">
        <f>D208+D185+D72+D49</f>
        <v>18000</v>
      </c>
      <c r="E297" s="14">
        <f>E208+E185+E72+E49</f>
        <v>18000</v>
      </c>
    </row>
    <row r="298" spans="1:5" ht="15.75" thickBot="1" x14ac:dyDescent="0.3">
      <c r="A298" s="28" t="s">
        <v>85</v>
      </c>
      <c r="B298" s="15"/>
      <c r="C298" s="29">
        <f>C297/B297-1</f>
        <v>0</v>
      </c>
      <c r="D298" s="29">
        <f>D297/C297-1</f>
        <v>0</v>
      </c>
      <c r="E298" s="29">
        <f>E297/D297-1</f>
        <v>0</v>
      </c>
    </row>
    <row r="299" spans="1:5" ht="24.75" thickBot="1" x14ac:dyDescent="0.3">
      <c r="A299" s="13" t="s">
        <v>28</v>
      </c>
      <c r="B299" s="14">
        <f>B209+B186+B73+B50</f>
        <v>2880</v>
      </c>
      <c r="C299" s="14">
        <f>C209+C186+C73+C50</f>
        <v>2880</v>
      </c>
      <c r="D299" s="14">
        <f>D209+D186+D73+D50</f>
        <v>2880</v>
      </c>
      <c r="E299" s="14">
        <f>E209+E186+E73+E50</f>
        <v>2880</v>
      </c>
    </row>
    <row r="300" spans="1:5" ht="24.75" thickBot="1" x14ac:dyDescent="0.3">
      <c r="A300" s="28" t="s">
        <v>86</v>
      </c>
      <c r="B300" s="15"/>
      <c r="C300" s="29">
        <f>C299/B299-1</f>
        <v>0</v>
      </c>
      <c r="D300" s="29">
        <f>D299/C299-1</f>
        <v>0</v>
      </c>
      <c r="E300" s="29">
        <f>E299/D299-1</f>
        <v>0</v>
      </c>
    </row>
    <row r="301" spans="1:5" ht="15.75" thickBot="1" x14ac:dyDescent="0.3">
      <c r="A301" s="13" t="s">
        <v>30</v>
      </c>
      <c r="B301" s="14">
        <f>B210+B187+B74+B51</f>
        <v>13000</v>
      </c>
      <c r="C301" s="14">
        <f>C210+C187+C74+C51</f>
        <v>13390</v>
      </c>
      <c r="D301" s="14">
        <f>D210+D187+D74+D51</f>
        <v>13792</v>
      </c>
      <c r="E301" s="14">
        <f>E210+E187+E74+E51</f>
        <v>14205</v>
      </c>
    </row>
    <row r="302" spans="1:5" ht="24.75" thickBot="1" x14ac:dyDescent="0.3">
      <c r="A302" s="28" t="s">
        <v>87</v>
      </c>
      <c r="B302" s="15"/>
      <c r="C302" s="29">
        <f>C301/B301-1</f>
        <v>3.0000000000000027E-2</v>
      </c>
      <c r="D302" s="29">
        <f>D301/C301-1</f>
        <v>3.0022404779686429E-2</v>
      </c>
      <c r="E302" s="29">
        <f>E301/D301-1</f>
        <v>2.9944895591647258E-2</v>
      </c>
    </row>
    <row r="303" spans="1:5" ht="15.75" thickBot="1" x14ac:dyDescent="0.3">
      <c r="A303" s="13" t="s">
        <v>32</v>
      </c>
      <c r="B303" s="14">
        <f>B211+B188+B75+B52</f>
        <v>0</v>
      </c>
      <c r="C303" s="14">
        <f>C211+C188+C75+C52</f>
        <v>0</v>
      </c>
      <c r="D303" s="14">
        <f>D211+D188+D75+D52</f>
        <v>0</v>
      </c>
      <c r="E303" s="14">
        <f>E211+E188+E75+E52</f>
        <v>0</v>
      </c>
    </row>
    <row r="304" spans="1:5" ht="24.75" thickBot="1" x14ac:dyDescent="0.3">
      <c r="A304" s="28" t="s">
        <v>88</v>
      </c>
      <c r="B304" s="15"/>
      <c r="C304" s="29" t="e">
        <f>C303/B303-1</f>
        <v>#DIV/0!</v>
      </c>
      <c r="D304" s="29" t="e">
        <f>D303/C303-1</f>
        <v>#DIV/0!</v>
      </c>
      <c r="E304" s="29" t="e">
        <f>E303/D303-1</f>
        <v>#DIV/0!</v>
      </c>
    </row>
    <row r="305" spans="1:5" ht="24.75" thickBot="1" x14ac:dyDescent="0.3">
      <c r="A305" s="13" t="s">
        <v>34</v>
      </c>
      <c r="B305" s="14">
        <f>B212+B189+B76+B53</f>
        <v>0</v>
      </c>
      <c r="C305" s="14">
        <f>C212+C189+C76+C53</f>
        <v>0</v>
      </c>
      <c r="D305" s="14">
        <f>D212+D189+D76+D53</f>
        <v>0</v>
      </c>
      <c r="E305" s="14">
        <f>E212+E189+E76+E53</f>
        <v>0</v>
      </c>
    </row>
    <row r="306" spans="1:5" ht="24.75" thickBot="1" x14ac:dyDescent="0.3">
      <c r="A306" s="28" t="s">
        <v>89</v>
      </c>
      <c r="B306" s="15"/>
      <c r="C306" s="29" t="e">
        <f>C305/B305-1</f>
        <v>#DIV/0!</v>
      </c>
      <c r="D306" s="29" t="e">
        <f>D305/C305-1</f>
        <v>#DIV/0!</v>
      </c>
      <c r="E306" s="29" t="e">
        <f>E305/D305-1</f>
        <v>#DIV/0!</v>
      </c>
    </row>
    <row r="307" spans="1:5" ht="15.75" thickBot="1" x14ac:dyDescent="0.3">
      <c r="A307" s="13" t="s">
        <v>36</v>
      </c>
      <c r="B307" s="14">
        <f>B213+B190+B77+B54</f>
        <v>0</v>
      </c>
      <c r="C307" s="14">
        <f>C213+C190+C77+C54</f>
        <v>0</v>
      </c>
      <c r="D307" s="14">
        <f>D213+D190+D77+D54</f>
        <v>0</v>
      </c>
      <c r="E307" s="14">
        <f>E213+E190+E77+E54</f>
        <v>0</v>
      </c>
    </row>
    <row r="308" spans="1:5" ht="24.75" thickBot="1" x14ac:dyDescent="0.3">
      <c r="A308" s="28" t="s">
        <v>90</v>
      </c>
      <c r="B308" s="15"/>
      <c r="C308" s="29" t="e">
        <f>C307/B307-1</f>
        <v>#DIV/0!</v>
      </c>
      <c r="D308" s="29" t="e">
        <f>D307/C307-1</f>
        <v>#DIV/0!</v>
      </c>
      <c r="E308" s="29" t="e">
        <f>E307/D307-1</f>
        <v>#DIV/0!</v>
      </c>
    </row>
    <row r="309" spans="1:5" ht="24.75" thickBot="1" x14ac:dyDescent="0.3">
      <c r="A309" s="13" t="s">
        <v>38</v>
      </c>
      <c r="B309" s="14">
        <f>B214+B191+B78+B55</f>
        <v>0</v>
      </c>
      <c r="C309" s="14">
        <f>C214+C191+C78+C55</f>
        <v>0</v>
      </c>
      <c r="D309" s="14">
        <f>D214+D191+D78+D55</f>
        <v>0</v>
      </c>
      <c r="E309" s="14">
        <f>E214+E191+E78+E55</f>
        <v>0</v>
      </c>
    </row>
    <row r="310" spans="1:5" ht="24.75" thickBot="1" x14ac:dyDescent="0.3">
      <c r="A310" s="28" t="s">
        <v>91</v>
      </c>
      <c r="B310" s="15"/>
      <c r="C310" s="29" t="e">
        <f>C309/B309-1</f>
        <v>#DIV/0!</v>
      </c>
      <c r="D310" s="29" t="e">
        <f>D309/C309-1</f>
        <v>#DIV/0!</v>
      </c>
      <c r="E310" s="29" t="e">
        <f>E309/D309-1</f>
        <v>#DIV/0!</v>
      </c>
    </row>
    <row r="311" spans="1:5" ht="15.75" thickBot="1" x14ac:dyDescent="0.3">
      <c r="A311" s="13" t="s">
        <v>92</v>
      </c>
      <c r="B311" s="14">
        <f>B98+B119+B139+B157+B234+B252+B272+B290</f>
        <v>0</v>
      </c>
      <c r="C311" s="14">
        <f>C98+C119+C139+C157+C234+C252+C272+C290</f>
        <v>0</v>
      </c>
      <c r="D311" s="14">
        <f>D98+D119+D139+D157+D234+D252+D272+D290</f>
        <v>0</v>
      </c>
      <c r="E311" s="14">
        <f>E98+E119+E139+E157+E234+E252+E272+E290</f>
        <v>0</v>
      </c>
    </row>
    <row r="312" spans="1:5" ht="24.75" thickBot="1" x14ac:dyDescent="0.3">
      <c r="A312" s="28" t="s">
        <v>93</v>
      </c>
      <c r="B312" s="15"/>
      <c r="C312" s="29" t="e">
        <f>C311/B311-1</f>
        <v>#DIV/0!</v>
      </c>
      <c r="D312" s="29" t="e">
        <f>D311/C311-1</f>
        <v>#DIV/0!</v>
      </c>
      <c r="E312" s="29" t="e">
        <f>E311/D311-1</f>
        <v>#DIV/0!</v>
      </c>
    </row>
    <row r="313" spans="1:5" ht="15.75" thickBot="1" x14ac:dyDescent="0.3">
      <c r="A313" s="13" t="s">
        <v>94</v>
      </c>
      <c r="B313" s="14">
        <f>B99+B120+B140+B158+B235+B253+B273+B291</f>
        <v>4000</v>
      </c>
      <c r="C313" s="14">
        <f>C99+C120+C140+C158+C235+C253+C273+C291</f>
        <v>0</v>
      </c>
      <c r="D313" s="14">
        <f>D99+D120+D140+D158+D235+D253+D273+D291</f>
        <v>0</v>
      </c>
      <c r="E313" s="14">
        <f>E99+E120+E140+E158+E235+E253+E273+E291</f>
        <v>0</v>
      </c>
    </row>
    <row r="314" spans="1:5" ht="24.75" thickBot="1" x14ac:dyDescent="0.3">
      <c r="A314" s="28" t="s">
        <v>95</v>
      </c>
      <c r="B314" s="15"/>
      <c r="C314" s="29">
        <f>C313/B313-1</f>
        <v>-1</v>
      </c>
      <c r="D314" s="29" t="e">
        <f>D313/C313-1</f>
        <v>#DIV/0!</v>
      </c>
      <c r="E314" s="29" t="e">
        <f>E313/D313-1</f>
        <v>#DIV/0!</v>
      </c>
    </row>
    <row r="315" spans="1:5" ht="15.75" thickBot="1" x14ac:dyDescent="0.3">
      <c r="A315" s="17" t="s">
        <v>41</v>
      </c>
      <c r="B315" s="18">
        <f>IF(B295-B294=0,0,"Error")</f>
        <v>0</v>
      </c>
      <c r="C315" s="18">
        <f>IF(C295-C294=0,0,"Error")</f>
        <v>0</v>
      </c>
      <c r="D315" s="18">
        <f>IF(D295-D294=0,0,"Error")</f>
        <v>0</v>
      </c>
      <c r="E315" s="18">
        <f>IF(E295-E294=0,0,"Error")</f>
        <v>0</v>
      </c>
    </row>
    <row r="316" spans="1:5" ht="36.75" thickBot="1" x14ac:dyDescent="0.3">
      <c r="A316" s="30" t="s">
        <v>96</v>
      </c>
      <c r="B316" s="14" t="s">
        <v>23</v>
      </c>
      <c r="C316" s="14" t="s">
        <v>23</v>
      </c>
      <c r="D316" s="14" t="s">
        <v>23</v>
      </c>
      <c r="E316" s="14" t="s">
        <v>23</v>
      </c>
    </row>
    <row r="317" spans="1:5" ht="36.75" thickBot="1" x14ac:dyDescent="0.3">
      <c r="A317" s="30" t="s">
        <v>97</v>
      </c>
      <c r="B317" s="14" t="s">
        <v>23</v>
      </c>
      <c r="C317" s="14" t="s">
        <v>23</v>
      </c>
      <c r="D317" s="14" t="s">
        <v>23</v>
      </c>
      <c r="E317" s="14" t="s">
        <v>23</v>
      </c>
    </row>
  </sheetData>
  <mergeCells count="115">
    <mergeCell ref="B17:E17"/>
    <mergeCell ref="A18:E18"/>
    <mergeCell ref="A47:A48"/>
    <mergeCell ref="B58:E58"/>
    <mergeCell ref="A19:E21"/>
    <mergeCell ref="B22:E22"/>
    <mergeCell ref="A23:A24"/>
    <mergeCell ref="B28:E28"/>
    <mergeCell ref="B106:E106"/>
    <mergeCell ref="A96:A97"/>
    <mergeCell ref="A101:A103"/>
    <mergeCell ref="B101:E103"/>
    <mergeCell ref="B104:E104"/>
    <mergeCell ref="B105:E105"/>
    <mergeCell ref="A29:E29"/>
    <mergeCell ref="A33:E33"/>
    <mergeCell ref="A62:A63"/>
    <mergeCell ref="A69:E69"/>
    <mergeCell ref="A70:A71"/>
    <mergeCell ref="A81:E81"/>
    <mergeCell ref="B107:E107"/>
    <mergeCell ref="A82:E82"/>
    <mergeCell ref="B83:E83"/>
    <mergeCell ref="B84:E84"/>
    <mergeCell ref="B85:E85"/>
    <mergeCell ref="B86:E86"/>
    <mergeCell ref="A87:A88"/>
    <mergeCell ref="B5:E5"/>
    <mergeCell ref="B6:E6"/>
    <mergeCell ref="B7:E7"/>
    <mergeCell ref="C8:E8"/>
    <mergeCell ref="C9:E9"/>
    <mergeCell ref="C10:E10"/>
    <mergeCell ref="B59:E59"/>
    <mergeCell ref="B60:E60"/>
    <mergeCell ref="A34:E34"/>
    <mergeCell ref="B35:E35"/>
    <mergeCell ref="B36:E36"/>
    <mergeCell ref="B37:E37"/>
    <mergeCell ref="A38:A39"/>
    <mergeCell ref="A46:E46"/>
    <mergeCell ref="B15:E15"/>
    <mergeCell ref="B16:E16"/>
    <mergeCell ref="A95:E95"/>
    <mergeCell ref="A122:E122"/>
    <mergeCell ref="A123:E123"/>
    <mergeCell ref="B124:E124"/>
    <mergeCell ref="B125:E125"/>
    <mergeCell ref="B126:E126"/>
    <mergeCell ref="B127:E127"/>
    <mergeCell ref="A108:A109"/>
    <mergeCell ref="A116:E116"/>
    <mergeCell ref="A117:A118"/>
    <mergeCell ref="B143:E143"/>
    <mergeCell ref="B144:E144"/>
    <mergeCell ref="B145:E145"/>
    <mergeCell ref="A146:A147"/>
    <mergeCell ref="A154:E154"/>
    <mergeCell ref="A155:A156"/>
    <mergeCell ref="A128:A129"/>
    <mergeCell ref="A136:E136"/>
    <mergeCell ref="A137:A138"/>
    <mergeCell ref="B142:E142"/>
    <mergeCell ref="B196:E196"/>
    <mergeCell ref="A197:A198"/>
    <mergeCell ref="A205:E205"/>
    <mergeCell ref="A206:A207"/>
    <mergeCell ref="A182:E182"/>
    <mergeCell ref="A183:A184"/>
    <mergeCell ref="B194:E194"/>
    <mergeCell ref="B195:E195"/>
    <mergeCell ref="B160:E160"/>
    <mergeCell ref="A161:E161"/>
    <mergeCell ref="A165:E165"/>
    <mergeCell ref="A166:E166"/>
    <mergeCell ref="A288:A289"/>
    <mergeCell ref="B259:E259"/>
    <mergeCell ref="B260:E260"/>
    <mergeCell ref="A261:A262"/>
    <mergeCell ref="A269:E269"/>
    <mergeCell ref="A270:A271"/>
    <mergeCell ref="A255:E255"/>
    <mergeCell ref="A256:E256"/>
    <mergeCell ref="B275:E275"/>
    <mergeCell ref="B276:E276"/>
    <mergeCell ref="B277:E277"/>
    <mergeCell ref="B278:E278"/>
    <mergeCell ref="A279:A280"/>
    <mergeCell ref="A287:E287"/>
    <mergeCell ref="B257:E257"/>
    <mergeCell ref="B258:E258"/>
    <mergeCell ref="B238:E238"/>
    <mergeCell ref="B239:E239"/>
    <mergeCell ref="B240:E240"/>
    <mergeCell ref="A241:A242"/>
    <mergeCell ref="A249:E249"/>
    <mergeCell ref="A250:A251"/>
    <mergeCell ref="A12:E12"/>
    <mergeCell ref="A13:E13"/>
    <mergeCell ref="A223:A224"/>
    <mergeCell ref="A231:E231"/>
    <mergeCell ref="A232:A233"/>
    <mergeCell ref="B237:E237"/>
    <mergeCell ref="A217:E217"/>
    <mergeCell ref="A218:E218"/>
    <mergeCell ref="B219:E219"/>
    <mergeCell ref="B220:E220"/>
    <mergeCell ref="B221:E221"/>
    <mergeCell ref="B222:E222"/>
    <mergeCell ref="A167:A168"/>
    <mergeCell ref="B169:E169"/>
    <mergeCell ref="B170:E170"/>
    <mergeCell ref="B171:E171"/>
    <mergeCell ref="A172:A173"/>
    <mergeCell ref="A180:A181"/>
  </mergeCells>
  <printOptions horizontalCentered="1" verticalCentered="1"/>
  <pageMargins left="0.7" right="0.7" top="0.75" bottom="0.75" header="0.3" footer="0.3"/>
  <pageSetup scale="57" orientation="portrait" r:id="rId1"/>
  <rowBreaks count="4" manualBreakCount="4">
    <brk id="80" max="16383" man="1"/>
    <brk id="135" max="16383" man="1"/>
    <brk id="204" max="16383" man="1"/>
    <brk id="274"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2:I109"/>
  <sheetViews>
    <sheetView view="pageBreakPreview" zoomScale="60" zoomScaleNormal="100" workbookViewId="0">
      <selection activeCell="P33" sqref="P33"/>
    </sheetView>
  </sheetViews>
  <sheetFormatPr defaultRowHeight="15" x14ac:dyDescent="0.25"/>
  <cols>
    <col min="1" max="1" width="45.140625" customWidth="1"/>
    <col min="2" max="2" width="18.5703125" customWidth="1"/>
    <col min="3" max="4" width="11.7109375" customWidth="1"/>
    <col min="5" max="5" width="13.42578125" customWidth="1"/>
    <col min="6" max="6" width="11" customWidth="1"/>
    <col min="7" max="7" width="11" bestFit="1" customWidth="1"/>
  </cols>
  <sheetData>
    <row r="2" spans="1:5" ht="15.75" x14ac:dyDescent="0.25">
      <c r="A2" s="848" t="s">
        <v>898</v>
      </c>
      <c r="B2" s="188"/>
      <c r="C2" s="188"/>
      <c r="D2" s="188"/>
    </row>
    <row r="3" spans="1:5" ht="15.75" thickBot="1" x14ac:dyDescent="0.3"/>
    <row r="4" spans="1:5" ht="16.5" thickBot="1" x14ac:dyDescent="0.3">
      <c r="A4" s="845" t="s">
        <v>897</v>
      </c>
      <c r="B4" s="2434" t="s">
        <v>1507</v>
      </c>
      <c r="C4" s="2435"/>
      <c r="D4" s="2435"/>
      <c r="E4" s="2436"/>
    </row>
    <row r="5" spans="1:5" ht="16.5" thickBot="1" x14ac:dyDescent="0.3">
      <c r="A5" s="843" t="s">
        <v>895</v>
      </c>
      <c r="B5" s="2288" t="s">
        <v>1506</v>
      </c>
      <c r="C5" s="2289"/>
      <c r="D5" s="2289"/>
      <c r="E5" s="2290"/>
    </row>
    <row r="6" spans="1:5" ht="108" customHeight="1" thickBot="1" x14ac:dyDescent="0.3">
      <c r="A6" s="843" t="s">
        <v>914</v>
      </c>
      <c r="B6" s="2291" t="s">
        <v>1505</v>
      </c>
      <c r="C6" s="2292"/>
      <c r="D6" s="2292"/>
      <c r="E6" s="2293"/>
    </row>
    <row r="7" spans="1:5" ht="16.5" thickBot="1" x14ac:dyDescent="0.3">
      <c r="A7" s="843" t="s">
        <v>891</v>
      </c>
      <c r="B7" s="844" t="s">
        <v>3</v>
      </c>
      <c r="C7" s="2437" t="s">
        <v>7</v>
      </c>
      <c r="D7" s="2294"/>
      <c r="E7" s="2295"/>
    </row>
    <row r="8" spans="1:5" ht="16.5" thickBot="1" x14ac:dyDescent="0.3">
      <c r="A8" s="843" t="s">
        <v>138</v>
      </c>
      <c r="B8" s="923" t="s">
        <v>1504</v>
      </c>
      <c r="C8" s="2291" t="s">
        <v>1503</v>
      </c>
      <c r="D8" s="2292"/>
      <c r="E8" s="2293"/>
    </row>
    <row r="9" spans="1:5" ht="18" customHeight="1" x14ac:dyDescent="0.25">
      <c r="A9" s="1" t="s">
        <v>122</v>
      </c>
      <c r="B9" s="1"/>
      <c r="C9" s="1"/>
      <c r="D9" s="1"/>
      <c r="E9" s="1"/>
    </row>
    <row r="10" spans="1:5" ht="18" customHeight="1" x14ac:dyDescent="0.25">
      <c r="A10" s="1558" t="s">
        <v>948</v>
      </c>
      <c r="B10" s="1558"/>
      <c r="C10" s="1558"/>
      <c r="D10" s="1558"/>
      <c r="E10" s="1558"/>
    </row>
    <row r="11" spans="1:5" ht="15.75" thickBot="1" x14ac:dyDescent="0.3"/>
    <row r="12" spans="1:5" ht="15.75" thickBot="1" x14ac:dyDescent="0.3">
      <c r="A12" s="922" t="s">
        <v>2</v>
      </c>
      <c r="B12" s="2391" t="s">
        <v>138</v>
      </c>
      <c r="C12" s="2391"/>
      <c r="D12" s="2391"/>
      <c r="E12" s="2391"/>
    </row>
    <row r="13" spans="1:5" ht="15.75" thickBot="1" x14ac:dyDescent="0.3">
      <c r="A13" s="922" t="s">
        <v>3</v>
      </c>
      <c r="B13" s="2392" t="s">
        <v>4</v>
      </c>
      <c r="C13" s="2393"/>
      <c r="D13" s="2393"/>
      <c r="E13" s="2394"/>
    </row>
    <row r="14" spans="1:5" ht="15.75" thickBot="1" x14ac:dyDescent="0.3">
      <c r="A14" s="922" t="s">
        <v>5</v>
      </c>
      <c r="B14" s="2395" t="s">
        <v>6</v>
      </c>
      <c r="C14" s="2396"/>
      <c r="D14" s="2396"/>
      <c r="E14" s="2397"/>
    </row>
    <row r="15" spans="1:5" ht="15.75" thickBot="1" x14ac:dyDescent="0.3">
      <c r="A15" s="2398" t="s">
        <v>7</v>
      </c>
      <c r="B15" s="2399"/>
      <c r="C15" s="2399"/>
      <c r="D15" s="2399"/>
      <c r="E15" s="2400"/>
    </row>
    <row r="16" spans="1:5" ht="15.75" thickBot="1" x14ac:dyDescent="0.3">
      <c r="A16" s="2383" t="s">
        <v>185</v>
      </c>
      <c r="B16" s="2384"/>
      <c r="C16" s="2384"/>
      <c r="D16" s="2384"/>
      <c r="E16" s="2385"/>
    </row>
    <row r="17" spans="1:8" ht="36.75" customHeight="1" thickBot="1" x14ac:dyDescent="0.3">
      <c r="A17" s="2383"/>
      <c r="B17" s="2384"/>
      <c r="C17" s="2384"/>
      <c r="D17" s="2384"/>
      <c r="E17" s="2385"/>
    </row>
    <row r="18" spans="1:8" ht="15.75" thickBot="1" x14ac:dyDescent="0.3">
      <c r="A18" s="2383"/>
      <c r="B18" s="2384"/>
      <c r="C18" s="2384"/>
      <c r="D18" s="2384"/>
      <c r="E18" s="2385"/>
    </row>
    <row r="19" spans="1:8" ht="120" customHeight="1" thickBot="1" x14ac:dyDescent="0.3">
      <c r="A19" s="921" t="s">
        <v>8</v>
      </c>
      <c r="B19" s="2386" t="s">
        <v>1502</v>
      </c>
      <c r="C19" s="2387"/>
      <c r="D19" s="2387"/>
      <c r="E19" s="2388"/>
    </row>
    <row r="20" spans="1:8" ht="23.25" customHeight="1" x14ac:dyDescent="0.25">
      <c r="A20" s="2389" t="s">
        <v>9</v>
      </c>
      <c r="B20" s="920">
        <v>2018</v>
      </c>
      <c r="C20" s="920">
        <v>2019</v>
      </c>
      <c r="D20" s="920">
        <v>2020</v>
      </c>
      <c r="E20" s="920">
        <v>2021</v>
      </c>
    </row>
    <row r="21" spans="1:8" ht="15.75" thickBot="1" x14ac:dyDescent="0.3">
      <c r="A21" s="2390"/>
      <c r="B21" s="919" t="s">
        <v>10</v>
      </c>
      <c r="C21" s="919" t="s">
        <v>11</v>
      </c>
      <c r="D21" s="919" t="s">
        <v>11</v>
      </c>
      <c r="E21" s="919" t="s">
        <v>11</v>
      </c>
    </row>
    <row r="22" spans="1:8" ht="15.75" thickBot="1" x14ac:dyDescent="0.3">
      <c r="A22" s="917" t="s">
        <v>1501</v>
      </c>
      <c r="B22" s="918">
        <v>1200</v>
      </c>
      <c r="C22" s="918">
        <v>1440</v>
      </c>
      <c r="D22" s="918">
        <v>1560</v>
      </c>
      <c r="E22" s="918">
        <v>1620</v>
      </c>
    </row>
    <row r="23" spans="1:8" ht="15.75" thickBot="1" x14ac:dyDescent="0.3">
      <c r="A23" s="899" t="s">
        <v>12</v>
      </c>
      <c r="B23" s="2386" t="s">
        <v>187</v>
      </c>
      <c r="C23" s="2387"/>
      <c r="D23" s="2387"/>
      <c r="E23" s="2388"/>
    </row>
    <row r="24" spans="1:8" ht="23.25" customHeight="1" thickBot="1" x14ac:dyDescent="0.3">
      <c r="A24" s="2380" t="s">
        <v>13</v>
      </c>
      <c r="B24" s="2381"/>
      <c r="C24" s="2381"/>
      <c r="D24" s="2381"/>
      <c r="E24" s="2382"/>
      <c r="F24" s="35"/>
      <c r="H24" s="35"/>
    </row>
    <row r="25" spans="1:8" ht="15.75" thickBot="1" x14ac:dyDescent="0.3">
      <c r="A25" s="917" t="s">
        <v>1500</v>
      </c>
      <c r="B25" s="916">
        <v>1</v>
      </c>
      <c r="C25" s="916">
        <v>1.2</v>
      </c>
      <c r="D25" s="916">
        <v>1.3</v>
      </c>
      <c r="E25" s="916">
        <v>1.35</v>
      </c>
    </row>
    <row r="26" spans="1:8" ht="15.75" thickBot="1" x14ac:dyDescent="0.3">
      <c r="A26" s="2374" t="s">
        <v>14</v>
      </c>
      <c r="B26" s="2375"/>
      <c r="C26" s="2375"/>
      <c r="D26" s="2375"/>
      <c r="E26" s="2376"/>
    </row>
    <row r="27" spans="1:8" ht="15.75" thickBot="1" x14ac:dyDescent="0.3">
      <c r="A27" s="2374" t="s">
        <v>15</v>
      </c>
      <c r="B27" s="2375"/>
      <c r="C27" s="2375"/>
      <c r="D27" s="2375"/>
      <c r="E27" s="2376"/>
    </row>
    <row r="28" spans="1:8" ht="15.75" thickBot="1" x14ac:dyDescent="0.3">
      <c r="A28" s="912" t="s">
        <v>16</v>
      </c>
      <c r="B28" s="2377" t="s">
        <v>188</v>
      </c>
      <c r="C28" s="2378"/>
      <c r="D28" s="2378"/>
      <c r="E28" s="2379"/>
    </row>
    <row r="29" spans="1:8" ht="17.25" customHeight="1" thickBot="1" x14ac:dyDescent="0.3">
      <c r="A29" s="908" t="s">
        <v>17</v>
      </c>
      <c r="B29" s="2380" t="s">
        <v>186</v>
      </c>
      <c r="C29" s="2381"/>
      <c r="D29" s="2381"/>
      <c r="E29" s="2382"/>
    </row>
    <row r="30" spans="1:8" ht="15.75" thickBot="1" x14ac:dyDescent="0.3">
      <c r="A30" s="908" t="s">
        <v>18</v>
      </c>
      <c r="B30" s="2401" t="s">
        <v>1499</v>
      </c>
      <c r="C30" s="2402"/>
      <c r="D30" s="2402"/>
      <c r="E30" s="2403"/>
    </row>
    <row r="31" spans="1:8" ht="12.75" customHeight="1" x14ac:dyDescent="0.25">
      <c r="A31" s="2389"/>
      <c r="B31" s="905">
        <v>2018</v>
      </c>
      <c r="C31" s="905">
        <v>2019</v>
      </c>
      <c r="D31" s="905">
        <v>2020</v>
      </c>
      <c r="E31" s="905">
        <v>2021</v>
      </c>
    </row>
    <row r="32" spans="1:8" ht="9" customHeight="1" thickBot="1" x14ac:dyDescent="0.3">
      <c r="A32" s="2390"/>
      <c r="B32" s="904" t="s">
        <v>10</v>
      </c>
      <c r="C32" s="904" t="s">
        <v>11</v>
      </c>
      <c r="D32" s="904" t="s">
        <v>11</v>
      </c>
      <c r="E32" s="904" t="s">
        <v>11</v>
      </c>
    </row>
    <row r="33" spans="1:9" ht="15.75" thickBot="1" x14ac:dyDescent="0.3">
      <c r="A33" s="908" t="s">
        <v>19</v>
      </c>
      <c r="B33" s="909">
        <v>1200</v>
      </c>
      <c r="C33" s="909">
        <v>1440</v>
      </c>
      <c r="D33" s="909">
        <v>1560</v>
      </c>
      <c r="E33" s="909">
        <v>1620</v>
      </c>
    </row>
    <row r="34" spans="1:9" ht="15.75" thickBot="1" x14ac:dyDescent="0.3">
      <c r="A34" s="908" t="s">
        <v>20</v>
      </c>
      <c r="B34" s="909">
        <v>46100</v>
      </c>
      <c r="C34" s="909">
        <v>47100</v>
      </c>
      <c r="D34" s="909">
        <v>47100</v>
      </c>
      <c r="E34" s="909">
        <v>47100</v>
      </c>
    </row>
    <row r="35" spans="1:9" ht="15.75" thickBot="1" x14ac:dyDescent="0.3">
      <c r="A35" s="908" t="s">
        <v>21</v>
      </c>
      <c r="B35" s="909">
        <f>B34/B33</f>
        <v>38.416666666666664</v>
      </c>
      <c r="C35" s="909">
        <f>C34/C33</f>
        <v>32.708333333333336</v>
      </c>
      <c r="D35" s="909">
        <f>D34/D33</f>
        <v>30.192307692307693</v>
      </c>
      <c r="E35" s="909">
        <f>E34/E33</f>
        <v>29.074074074074073</v>
      </c>
    </row>
    <row r="36" spans="1:9" ht="15.75" thickBot="1" x14ac:dyDescent="0.3">
      <c r="A36" s="908" t="s">
        <v>22</v>
      </c>
      <c r="B36" s="907" t="s">
        <v>23</v>
      </c>
      <c r="C36" s="906">
        <f t="shared" ref="C36:E38" si="0">C33/B33-1</f>
        <v>0.19999999999999996</v>
      </c>
      <c r="D36" s="906">
        <f t="shared" si="0"/>
        <v>8.3333333333333259E-2</v>
      </c>
      <c r="E36" s="906">
        <f t="shared" si="0"/>
        <v>3.8461538461538547E-2</v>
      </c>
      <c r="F36" s="12"/>
      <c r="G36" s="12"/>
      <c r="H36" s="12"/>
      <c r="I36" s="12"/>
    </row>
    <row r="37" spans="1:9" ht="15.75" thickBot="1" x14ac:dyDescent="0.3">
      <c r="A37" s="908" t="s">
        <v>24</v>
      </c>
      <c r="B37" s="907" t="s">
        <v>23</v>
      </c>
      <c r="C37" s="906">
        <f t="shared" si="0"/>
        <v>2.1691973969631295E-2</v>
      </c>
      <c r="D37" s="906">
        <f t="shared" si="0"/>
        <v>0</v>
      </c>
      <c r="E37" s="906">
        <f t="shared" si="0"/>
        <v>0</v>
      </c>
    </row>
    <row r="38" spans="1:9" ht="15.75" thickBot="1" x14ac:dyDescent="0.3">
      <c r="A38" s="908" t="s">
        <v>25</v>
      </c>
      <c r="B38" s="907" t="s">
        <v>23</v>
      </c>
      <c r="C38" s="906">
        <f t="shared" si="0"/>
        <v>-0.14859002169197388</v>
      </c>
      <c r="D38" s="906">
        <f t="shared" si="0"/>
        <v>-7.6923076923076983E-2</v>
      </c>
      <c r="E38" s="906">
        <f t="shared" si="0"/>
        <v>-3.703703703703709E-2</v>
      </c>
    </row>
    <row r="39" spans="1:9" ht="15.75" thickBot="1" x14ac:dyDescent="0.3">
      <c r="A39" s="2404" t="s">
        <v>1494</v>
      </c>
      <c r="B39" s="2405"/>
      <c r="C39" s="2405"/>
      <c r="D39" s="2405"/>
      <c r="E39" s="2406"/>
    </row>
    <row r="40" spans="1:9" ht="12.75" customHeight="1" x14ac:dyDescent="0.25">
      <c r="A40" s="2389"/>
      <c r="B40" s="905">
        <v>2018</v>
      </c>
      <c r="C40" s="905">
        <v>2019</v>
      </c>
      <c r="D40" s="905">
        <v>2020</v>
      </c>
      <c r="E40" s="905">
        <v>2021</v>
      </c>
    </row>
    <row r="41" spans="1:9" ht="9" customHeight="1" thickBot="1" x14ac:dyDescent="0.3">
      <c r="A41" s="2390"/>
      <c r="B41" s="904" t="s">
        <v>10</v>
      </c>
      <c r="C41" s="904" t="s">
        <v>11</v>
      </c>
      <c r="D41" s="904" t="s">
        <v>11</v>
      </c>
      <c r="E41" s="904" t="s">
        <v>11</v>
      </c>
    </row>
    <row r="42" spans="1:9" ht="15.75" thickBot="1" x14ac:dyDescent="0.3">
      <c r="A42" s="892" t="s">
        <v>1498</v>
      </c>
      <c r="B42" s="887">
        <v>32000</v>
      </c>
      <c r="C42" s="887">
        <v>32000</v>
      </c>
      <c r="D42" s="887">
        <v>32000</v>
      </c>
      <c r="E42" s="887">
        <v>32000</v>
      </c>
    </row>
    <row r="43" spans="1:9" ht="24.75" thickBot="1" x14ac:dyDescent="0.3">
      <c r="A43" s="891" t="s">
        <v>27</v>
      </c>
      <c r="B43" s="890"/>
      <c r="C43" s="914">
        <v>0</v>
      </c>
      <c r="D43" s="914">
        <v>0</v>
      </c>
      <c r="E43" s="915">
        <v>0</v>
      </c>
    </row>
    <row r="44" spans="1:9" ht="15.75" thickBot="1" x14ac:dyDescent="0.3">
      <c r="A44" s="892" t="s">
        <v>1497</v>
      </c>
      <c r="B44" s="887">
        <v>5100</v>
      </c>
      <c r="C44" s="887">
        <v>5100</v>
      </c>
      <c r="D44" s="887">
        <v>5100</v>
      </c>
      <c r="E44" s="887">
        <v>5100</v>
      </c>
    </row>
    <row r="45" spans="1:9" ht="24.75" thickBot="1" x14ac:dyDescent="0.3">
      <c r="A45" s="891" t="s">
        <v>29</v>
      </c>
      <c r="B45" s="890"/>
      <c r="C45" s="914">
        <v>0</v>
      </c>
      <c r="D45" s="914">
        <v>0</v>
      </c>
      <c r="E45" s="914">
        <v>0</v>
      </c>
    </row>
    <row r="46" spans="1:9" ht="15.75" thickBot="1" x14ac:dyDescent="0.3">
      <c r="A46" s="892" t="s">
        <v>1496</v>
      </c>
      <c r="B46" s="890">
        <v>8000</v>
      </c>
      <c r="C46" s="887">
        <v>9000</v>
      </c>
      <c r="D46" s="887">
        <v>9000</v>
      </c>
      <c r="E46" s="887">
        <v>9000</v>
      </c>
    </row>
    <row r="47" spans="1:9" ht="24.75" thickBot="1" x14ac:dyDescent="0.3">
      <c r="A47" s="891" t="s">
        <v>31</v>
      </c>
      <c r="B47" s="890"/>
      <c r="C47" s="913">
        <v>0.125</v>
      </c>
      <c r="D47" s="913">
        <v>0</v>
      </c>
      <c r="E47" s="893">
        <v>0</v>
      </c>
    </row>
    <row r="48" spans="1:9" ht="15.75" thickBot="1" x14ac:dyDescent="0.3">
      <c r="A48" s="911" t="s">
        <v>1495</v>
      </c>
      <c r="B48" s="890">
        <f>B42+B44+B46</f>
        <v>45100</v>
      </c>
      <c r="C48" s="890">
        <f>C42+C44+C46</f>
        <v>46100</v>
      </c>
      <c r="D48" s="890">
        <f>D42+D44+D46</f>
        <v>46100</v>
      </c>
      <c r="E48" s="890">
        <f>E42+E44+E46</f>
        <v>46100</v>
      </c>
    </row>
    <row r="49" spans="1:9" ht="15.75" thickBot="1" x14ac:dyDescent="0.3">
      <c r="A49" s="2374" t="s">
        <v>55</v>
      </c>
      <c r="B49" s="2375"/>
      <c r="C49" s="2375"/>
      <c r="D49" s="2375"/>
      <c r="E49" s="2376"/>
    </row>
    <row r="50" spans="1:9" ht="15.75" thickBot="1" x14ac:dyDescent="0.3">
      <c r="A50" s="2374" t="s">
        <v>56</v>
      </c>
      <c r="B50" s="2375"/>
      <c r="C50" s="2375"/>
      <c r="D50" s="2375"/>
      <c r="E50" s="2376"/>
    </row>
    <row r="51" spans="1:9" ht="15.75" thickBot="1" x14ac:dyDescent="0.3">
      <c r="A51" s="908" t="s">
        <v>1493</v>
      </c>
      <c r="B51" s="2407" t="s">
        <v>125</v>
      </c>
      <c r="C51" s="2408"/>
      <c r="D51" s="2408"/>
      <c r="E51" s="2409"/>
    </row>
    <row r="52" spans="1:9" ht="15.75" thickBot="1" x14ac:dyDescent="0.3">
      <c r="A52" s="912" t="s">
        <v>16</v>
      </c>
      <c r="B52" s="2407" t="s">
        <v>125</v>
      </c>
      <c r="C52" s="2408"/>
      <c r="D52" s="2408"/>
      <c r="E52" s="2409"/>
    </row>
    <row r="53" spans="1:9" ht="17.25" customHeight="1" thickBot="1" x14ac:dyDescent="0.3">
      <c r="A53" s="908" t="s">
        <v>17</v>
      </c>
      <c r="B53" s="2380" t="s">
        <v>107</v>
      </c>
      <c r="C53" s="2381"/>
      <c r="D53" s="2381"/>
      <c r="E53" s="2382"/>
    </row>
    <row r="54" spans="1:9" ht="15.75" thickBot="1" x14ac:dyDescent="0.3">
      <c r="A54" s="908" t="s">
        <v>18</v>
      </c>
      <c r="B54" s="2401" t="s">
        <v>73</v>
      </c>
      <c r="C54" s="2402"/>
      <c r="D54" s="2402"/>
      <c r="E54" s="2403"/>
    </row>
    <row r="55" spans="1:9" ht="12.75" customHeight="1" x14ac:dyDescent="0.25">
      <c r="A55" s="2389"/>
      <c r="B55" s="905">
        <v>2018</v>
      </c>
      <c r="C55" s="905">
        <v>2019</v>
      </c>
      <c r="D55" s="905">
        <v>2020</v>
      </c>
      <c r="E55" s="905">
        <v>2021</v>
      </c>
    </row>
    <row r="56" spans="1:9" ht="9" customHeight="1" thickBot="1" x14ac:dyDescent="0.3">
      <c r="A56" s="2390"/>
      <c r="B56" s="904" t="s">
        <v>10</v>
      </c>
      <c r="C56" s="904" t="s">
        <v>11</v>
      </c>
      <c r="D56" s="904" t="s">
        <v>11</v>
      </c>
      <c r="E56" s="904" t="s">
        <v>11</v>
      </c>
    </row>
    <row r="57" spans="1:9" ht="15.75" thickBot="1" x14ac:dyDescent="0.3">
      <c r="A57" s="908" t="s">
        <v>19</v>
      </c>
      <c r="B57" s="909">
        <v>10</v>
      </c>
      <c r="C57" s="909">
        <v>10</v>
      </c>
      <c r="D57" s="909">
        <v>10</v>
      </c>
      <c r="E57" s="909">
        <v>10</v>
      </c>
    </row>
    <row r="58" spans="1:9" ht="15.75" thickBot="1" x14ac:dyDescent="0.3">
      <c r="A58" s="908" t="s">
        <v>20</v>
      </c>
      <c r="B58" s="909">
        <v>100</v>
      </c>
      <c r="C58" s="909">
        <v>100</v>
      </c>
      <c r="D58" s="909">
        <v>100</v>
      </c>
      <c r="E58" s="909">
        <v>100</v>
      </c>
    </row>
    <row r="59" spans="1:9" ht="15.75" thickBot="1" x14ac:dyDescent="0.3">
      <c r="A59" s="908" t="s">
        <v>21</v>
      </c>
      <c r="B59" s="909">
        <f>B58/B57</f>
        <v>10</v>
      </c>
      <c r="C59" s="909">
        <f>C58/C57</f>
        <v>10</v>
      </c>
      <c r="D59" s="909">
        <f>D58/D57</f>
        <v>10</v>
      </c>
      <c r="E59" s="909">
        <f>E58/E57</f>
        <v>10</v>
      </c>
    </row>
    <row r="60" spans="1:9" ht="15.75" thickBot="1" x14ac:dyDescent="0.3">
      <c r="A60" s="908" t="s">
        <v>22</v>
      </c>
      <c r="B60" s="907" t="s">
        <v>23</v>
      </c>
      <c r="C60" s="906">
        <f t="shared" ref="C60:E62" si="1">C57/B57-1</f>
        <v>0</v>
      </c>
      <c r="D60" s="906">
        <f t="shared" si="1"/>
        <v>0</v>
      </c>
      <c r="E60" s="906">
        <f t="shared" si="1"/>
        <v>0</v>
      </c>
      <c r="F60" s="12"/>
      <c r="G60" s="12"/>
      <c r="H60" s="12"/>
      <c r="I60" s="12"/>
    </row>
    <row r="61" spans="1:9" ht="15.75" thickBot="1" x14ac:dyDescent="0.3">
      <c r="A61" s="908" t="s">
        <v>24</v>
      </c>
      <c r="B61" s="907" t="s">
        <v>23</v>
      </c>
      <c r="C61" s="906">
        <f t="shared" si="1"/>
        <v>0</v>
      </c>
      <c r="D61" s="906">
        <f t="shared" si="1"/>
        <v>0</v>
      </c>
      <c r="E61" s="906">
        <f t="shared" si="1"/>
        <v>0</v>
      </c>
    </row>
    <row r="62" spans="1:9" ht="15.75" thickBot="1" x14ac:dyDescent="0.3">
      <c r="A62" s="908" t="s">
        <v>25</v>
      </c>
      <c r="B62" s="907" t="s">
        <v>23</v>
      </c>
      <c r="C62" s="906">
        <f t="shared" si="1"/>
        <v>0</v>
      </c>
      <c r="D62" s="906">
        <f t="shared" si="1"/>
        <v>0</v>
      </c>
      <c r="E62" s="906">
        <f t="shared" si="1"/>
        <v>0</v>
      </c>
    </row>
    <row r="63" spans="1:9" ht="15.75" thickBot="1" x14ac:dyDescent="0.3">
      <c r="A63" s="2404" t="s">
        <v>1494</v>
      </c>
      <c r="B63" s="2405"/>
      <c r="C63" s="2405"/>
      <c r="D63" s="2405"/>
      <c r="E63" s="2406"/>
    </row>
    <row r="64" spans="1:9" ht="12.75" customHeight="1" x14ac:dyDescent="0.25">
      <c r="A64" s="2389"/>
      <c r="B64" s="905">
        <v>2018</v>
      </c>
      <c r="C64" s="905">
        <v>2019</v>
      </c>
      <c r="D64" s="905">
        <v>2020</v>
      </c>
      <c r="E64" s="905">
        <v>2021</v>
      </c>
    </row>
    <row r="65" spans="1:5" ht="9" customHeight="1" thickBot="1" x14ac:dyDescent="0.3">
      <c r="A65" s="2390"/>
      <c r="B65" s="904" t="s">
        <v>10</v>
      </c>
      <c r="C65" s="904" t="s">
        <v>11</v>
      </c>
      <c r="D65" s="904" t="s">
        <v>11</v>
      </c>
      <c r="E65" s="904" t="s">
        <v>11</v>
      </c>
    </row>
    <row r="66" spans="1:5" ht="15.75" thickBot="1" x14ac:dyDescent="0.3">
      <c r="A66" s="892" t="s">
        <v>58</v>
      </c>
      <c r="B66" s="887"/>
      <c r="C66" s="887"/>
      <c r="D66" s="887"/>
      <c r="E66" s="887"/>
    </row>
    <row r="67" spans="1:5" ht="15.75" thickBot="1" x14ac:dyDescent="0.3">
      <c r="A67" s="892" t="s">
        <v>59</v>
      </c>
      <c r="B67" s="890">
        <v>1000000</v>
      </c>
      <c r="C67" s="890">
        <v>1000000</v>
      </c>
      <c r="D67" s="890">
        <v>1000000</v>
      </c>
      <c r="E67" s="890">
        <v>1000000</v>
      </c>
    </row>
    <row r="68" spans="1:5" ht="15.75" thickBot="1" x14ac:dyDescent="0.3">
      <c r="A68" s="911" t="s">
        <v>40</v>
      </c>
      <c r="B68" s="890">
        <f>B67+B66</f>
        <v>1000000</v>
      </c>
      <c r="C68" s="890">
        <f>C67+C66</f>
        <v>1000000</v>
      </c>
      <c r="D68" s="890">
        <f>D67+D66</f>
        <v>1000000</v>
      </c>
      <c r="E68" s="890">
        <f>E67+E66</f>
        <v>1000000</v>
      </c>
    </row>
    <row r="69" spans="1:5" x14ac:dyDescent="0.25">
      <c r="A69" s="2413" t="s">
        <v>60</v>
      </c>
      <c r="B69" s="2416"/>
      <c r="C69" s="2417"/>
      <c r="D69" s="2417"/>
      <c r="E69" s="2418"/>
    </row>
    <row r="70" spans="1:5" x14ac:dyDescent="0.25">
      <c r="A70" s="2414"/>
      <c r="B70" s="2419"/>
      <c r="C70" s="2420"/>
      <c r="D70" s="2420"/>
      <c r="E70" s="2421"/>
    </row>
    <row r="71" spans="1:5" ht="15.75" thickBot="1" x14ac:dyDescent="0.3">
      <c r="A71" s="2415"/>
      <c r="B71" s="2422"/>
      <c r="C71" s="2423"/>
      <c r="D71" s="2423"/>
      <c r="E71" s="2424"/>
    </row>
    <row r="72" spans="1:5" ht="15.75" thickBot="1" x14ac:dyDescent="0.3">
      <c r="A72" s="2374" t="s">
        <v>63</v>
      </c>
      <c r="B72" s="2375"/>
      <c r="C72" s="2375"/>
      <c r="D72" s="2375"/>
      <c r="E72" s="2376"/>
    </row>
    <row r="73" spans="1:5" ht="15.75" thickBot="1" x14ac:dyDescent="0.3">
      <c r="A73" s="2374" t="s">
        <v>201</v>
      </c>
      <c r="B73" s="2375"/>
      <c r="C73" s="2375"/>
      <c r="D73" s="2375"/>
      <c r="E73" s="2376"/>
    </row>
    <row r="74" spans="1:5" s="235" customFormat="1" ht="15.75" thickBot="1" x14ac:dyDescent="0.3">
      <c r="A74" s="908" t="s">
        <v>1493</v>
      </c>
      <c r="B74" s="2438"/>
      <c r="C74" s="2439"/>
      <c r="D74" s="2439"/>
      <c r="E74" s="2440"/>
    </row>
    <row r="75" spans="1:5" s="235" customFormat="1" ht="15.75" thickBot="1" x14ac:dyDescent="0.3">
      <c r="A75" s="910" t="s">
        <v>123</v>
      </c>
      <c r="B75" s="2438" t="s">
        <v>1492</v>
      </c>
      <c r="C75" s="2439"/>
      <c r="D75" s="2439"/>
      <c r="E75" s="2440"/>
    </row>
    <row r="76" spans="1:5" s="235" customFormat="1" ht="17.25" customHeight="1" thickBot="1" x14ac:dyDescent="0.3">
      <c r="A76" s="908" t="s">
        <v>17</v>
      </c>
      <c r="B76" s="2380" t="s">
        <v>106</v>
      </c>
      <c r="C76" s="2381"/>
      <c r="D76" s="2381"/>
      <c r="E76" s="2382"/>
    </row>
    <row r="77" spans="1:5" s="235" customFormat="1" ht="15.75" thickBot="1" x14ac:dyDescent="0.3">
      <c r="A77" s="908" t="s">
        <v>18</v>
      </c>
      <c r="B77" s="2380" t="s">
        <v>106</v>
      </c>
      <c r="C77" s="2381"/>
      <c r="D77" s="2381"/>
      <c r="E77" s="2382"/>
    </row>
    <row r="78" spans="1:5" s="235" customFormat="1" ht="12.75" customHeight="1" x14ac:dyDescent="0.25">
      <c r="A78" s="2389"/>
      <c r="B78" s="905">
        <v>2018</v>
      </c>
      <c r="C78" s="905">
        <v>2019</v>
      </c>
      <c r="D78" s="905">
        <v>2020</v>
      </c>
      <c r="E78" s="905">
        <v>2021</v>
      </c>
    </row>
    <row r="79" spans="1:5" s="235" customFormat="1" ht="9" customHeight="1" thickBot="1" x14ac:dyDescent="0.3">
      <c r="A79" s="2390"/>
      <c r="B79" s="904" t="s">
        <v>10</v>
      </c>
      <c r="C79" s="904" t="s">
        <v>11</v>
      </c>
      <c r="D79" s="904" t="s">
        <v>11</v>
      </c>
      <c r="E79" s="904" t="s">
        <v>11</v>
      </c>
    </row>
    <row r="80" spans="1:5" s="235" customFormat="1" ht="15.75" thickBot="1" x14ac:dyDescent="0.3">
      <c r="A80" s="908" t="s">
        <v>19</v>
      </c>
      <c r="B80" s="909"/>
      <c r="C80" s="909"/>
      <c r="D80" s="909"/>
      <c r="E80" s="909"/>
    </row>
    <row r="81" spans="1:9" s="235" customFormat="1" ht="15.75" thickBot="1" x14ac:dyDescent="0.3">
      <c r="A81" s="908" t="s">
        <v>20</v>
      </c>
      <c r="B81" s="909"/>
      <c r="C81" s="909"/>
      <c r="D81" s="909"/>
      <c r="E81" s="909"/>
    </row>
    <row r="82" spans="1:9" s="235" customFormat="1" ht="15.75" thickBot="1" x14ac:dyDescent="0.3">
      <c r="A82" s="908" t="s">
        <v>21</v>
      </c>
      <c r="B82" s="909" t="e">
        <f>B81/B80</f>
        <v>#DIV/0!</v>
      </c>
      <c r="C82" s="909" t="e">
        <f>C81/C80</f>
        <v>#DIV/0!</v>
      </c>
      <c r="D82" s="909" t="e">
        <f>D81/D80</f>
        <v>#DIV/0!</v>
      </c>
      <c r="E82" s="909" t="e">
        <f>E81/E80</f>
        <v>#DIV/0!</v>
      </c>
    </row>
    <row r="83" spans="1:9" s="235" customFormat="1" ht="15.75" thickBot="1" x14ac:dyDescent="0.3">
      <c r="A83" s="908" t="s">
        <v>22</v>
      </c>
      <c r="B83" s="907" t="s">
        <v>23</v>
      </c>
      <c r="C83" s="906" t="e">
        <f t="shared" ref="C83:E85" si="2">C80/B80-1</f>
        <v>#DIV/0!</v>
      </c>
      <c r="D83" s="906" t="e">
        <f t="shared" si="2"/>
        <v>#DIV/0!</v>
      </c>
      <c r="E83" s="906" t="e">
        <f t="shared" si="2"/>
        <v>#DIV/0!</v>
      </c>
      <c r="F83" s="236"/>
      <c r="G83" s="236"/>
      <c r="H83" s="236"/>
      <c r="I83" s="236"/>
    </row>
    <row r="84" spans="1:9" s="235" customFormat="1" ht="15.75" thickBot="1" x14ac:dyDescent="0.3">
      <c r="A84" s="908" t="s">
        <v>24</v>
      </c>
      <c r="B84" s="907" t="s">
        <v>23</v>
      </c>
      <c r="C84" s="906" t="e">
        <f t="shared" si="2"/>
        <v>#DIV/0!</v>
      </c>
      <c r="D84" s="906" t="e">
        <f t="shared" si="2"/>
        <v>#DIV/0!</v>
      </c>
      <c r="E84" s="906" t="e">
        <f t="shared" si="2"/>
        <v>#DIV/0!</v>
      </c>
    </row>
    <row r="85" spans="1:9" s="235" customFormat="1" ht="15.75" thickBot="1" x14ac:dyDescent="0.3">
      <c r="A85" s="908" t="s">
        <v>25</v>
      </c>
      <c r="B85" s="907" t="s">
        <v>23</v>
      </c>
      <c r="C85" s="906" t="e">
        <f t="shared" si="2"/>
        <v>#DIV/0!</v>
      </c>
      <c r="D85" s="906" t="e">
        <f t="shared" si="2"/>
        <v>#DIV/0!</v>
      </c>
      <c r="E85" s="906" t="e">
        <f t="shared" si="2"/>
        <v>#DIV/0!</v>
      </c>
    </row>
    <row r="86" spans="1:9" s="235" customFormat="1" ht="15.75" thickBot="1" x14ac:dyDescent="0.3">
      <c r="A86" s="2410" t="s">
        <v>1491</v>
      </c>
      <c r="B86" s="2411"/>
      <c r="C86" s="2411"/>
      <c r="D86" s="2411"/>
      <c r="E86" s="2412"/>
    </row>
    <row r="87" spans="1:9" s="235" customFormat="1" ht="12.75" customHeight="1" x14ac:dyDescent="0.25">
      <c r="A87" s="2389"/>
      <c r="B87" s="905">
        <v>2018</v>
      </c>
      <c r="C87" s="905">
        <v>2019</v>
      </c>
      <c r="D87" s="905">
        <v>2020</v>
      </c>
      <c r="E87" s="905">
        <v>2021</v>
      </c>
    </row>
    <row r="88" spans="1:9" s="235" customFormat="1" ht="9" customHeight="1" thickBot="1" x14ac:dyDescent="0.3">
      <c r="A88" s="2390"/>
      <c r="B88" s="904" t="s">
        <v>10</v>
      </c>
      <c r="C88" s="904" t="s">
        <v>11</v>
      </c>
      <c r="D88" s="904" t="s">
        <v>11</v>
      </c>
      <c r="E88" s="904" t="s">
        <v>11</v>
      </c>
    </row>
    <row r="89" spans="1:9" s="235" customFormat="1" ht="15.75" thickBot="1" x14ac:dyDescent="0.3">
      <c r="A89" s="902" t="s">
        <v>58</v>
      </c>
      <c r="B89" s="903"/>
      <c r="C89" s="903"/>
      <c r="D89" s="903"/>
      <c r="E89" s="903"/>
    </row>
    <row r="90" spans="1:9" s="235" customFormat="1" ht="15.75" thickBot="1" x14ac:dyDescent="0.3">
      <c r="A90" s="902" t="s">
        <v>59</v>
      </c>
      <c r="B90" s="900"/>
      <c r="C90" s="900"/>
      <c r="D90" s="900"/>
      <c r="E90" s="900"/>
    </row>
    <row r="91" spans="1:9" s="235" customFormat="1" ht="15.75" thickBot="1" x14ac:dyDescent="0.3">
      <c r="A91" s="901" t="s">
        <v>74</v>
      </c>
      <c r="B91" s="900">
        <f>B90+B89</f>
        <v>0</v>
      </c>
      <c r="C91" s="900">
        <f>C90+C89</f>
        <v>0</v>
      </c>
      <c r="D91" s="900">
        <f>D90+D89</f>
        <v>0</v>
      </c>
      <c r="E91" s="900">
        <f>E90+E89</f>
        <v>0</v>
      </c>
    </row>
    <row r="92" spans="1:9" s="235" customFormat="1" x14ac:dyDescent="0.25">
      <c r="A92" s="2413" t="s">
        <v>62</v>
      </c>
      <c r="B92" s="2416"/>
      <c r="C92" s="2417"/>
      <c r="D92" s="2417"/>
      <c r="E92" s="2418"/>
    </row>
    <row r="93" spans="1:9" s="235" customFormat="1" x14ac:dyDescent="0.25">
      <c r="A93" s="2414"/>
      <c r="B93" s="2419"/>
      <c r="C93" s="2420"/>
      <c r="D93" s="2420"/>
      <c r="E93" s="2421"/>
    </row>
    <row r="94" spans="1:9" s="235" customFormat="1" ht="15.75" thickBot="1" x14ac:dyDescent="0.3">
      <c r="A94" s="2415"/>
      <c r="B94" s="2422"/>
      <c r="C94" s="2423"/>
      <c r="D94" s="2423"/>
      <c r="E94" s="2424"/>
    </row>
    <row r="95" spans="1:9" ht="27" customHeight="1" thickBot="1" x14ac:dyDescent="0.3">
      <c r="A95" s="899" t="s">
        <v>82</v>
      </c>
      <c r="B95" s="898">
        <v>46100000</v>
      </c>
      <c r="C95" s="898">
        <v>47100000</v>
      </c>
      <c r="D95" s="898">
        <v>47100000</v>
      </c>
      <c r="E95" s="898">
        <v>47100000</v>
      </c>
    </row>
    <row r="96" spans="1:9" ht="15.75" thickBot="1" x14ac:dyDescent="0.3">
      <c r="A96" s="897" t="s">
        <v>84</v>
      </c>
      <c r="B96" s="896"/>
      <c r="C96" s="895">
        <v>2.1700000000000001E-2</v>
      </c>
      <c r="D96" s="895">
        <v>0</v>
      </c>
      <c r="E96" s="895">
        <v>0</v>
      </c>
    </row>
    <row r="97" spans="1:5" ht="15.75" thickBot="1" x14ac:dyDescent="0.3">
      <c r="A97" s="892" t="s">
        <v>26</v>
      </c>
      <c r="B97" s="887">
        <v>32000000</v>
      </c>
      <c r="C97" s="887">
        <v>32000000</v>
      </c>
      <c r="D97" s="887">
        <v>32000000</v>
      </c>
      <c r="E97" s="887">
        <v>32000000</v>
      </c>
    </row>
    <row r="98" spans="1:5" ht="15.75" thickBot="1" x14ac:dyDescent="0.3">
      <c r="A98" s="891" t="s">
        <v>85</v>
      </c>
      <c r="B98" s="890"/>
      <c r="C98" s="889">
        <f>C97/B97-1</f>
        <v>0</v>
      </c>
      <c r="D98" s="889">
        <f>D97/C97-1</f>
        <v>0</v>
      </c>
      <c r="E98" s="894">
        <v>0</v>
      </c>
    </row>
    <row r="99" spans="1:5" ht="15.75" thickBot="1" x14ac:dyDescent="0.3">
      <c r="A99" s="892" t="s">
        <v>28</v>
      </c>
      <c r="B99" s="887">
        <v>5100000</v>
      </c>
      <c r="C99" s="887">
        <v>5100000</v>
      </c>
      <c r="D99" s="887">
        <v>5100000</v>
      </c>
      <c r="E99" s="887">
        <v>5100000</v>
      </c>
    </row>
    <row r="100" spans="1:5" ht="15.75" thickBot="1" x14ac:dyDescent="0.3">
      <c r="A100" s="891" t="s">
        <v>86</v>
      </c>
      <c r="B100" s="890"/>
      <c r="C100" s="889">
        <f>C99/B99-1</f>
        <v>0</v>
      </c>
      <c r="D100" s="889">
        <f>D99/C99-1</f>
        <v>0</v>
      </c>
      <c r="E100" s="889">
        <f>E99/D99-1</f>
        <v>0</v>
      </c>
    </row>
    <row r="101" spans="1:5" ht="15.75" thickBot="1" x14ac:dyDescent="0.3">
      <c r="A101" s="892" t="s">
        <v>30</v>
      </c>
      <c r="B101" s="890">
        <v>8000000</v>
      </c>
      <c r="C101" s="887">
        <v>9000000</v>
      </c>
      <c r="D101" s="887">
        <v>9000000</v>
      </c>
      <c r="E101" s="887">
        <v>9000000</v>
      </c>
    </row>
    <row r="102" spans="1:5" ht="15.75" thickBot="1" x14ac:dyDescent="0.3">
      <c r="A102" s="891" t="s">
        <v>87</v>
      </c>
      <c r="B102" s="890"/>
      <c r="C102" s="889">
        <f>C101/B101-1</f>
        <v>0.125</v>
      </c>
      <c r="D102" s="889">
        <f>D101/C101-1</f>
        <v>0</v>
      </c>
      <c r="E102" s="893">
        <v>0.06</v>
      </c>
    </row>
    <row r="103" spans="1:5" ht="15.75" thickBot="1" x14ac:dyDescent="0.3">
      <c r="A103" s="892" t="s">
        <v>94</v>
      </c>
      <c r="B103" s="887">
        <v>1000000</v>
      </c>
      <c r="C103" s="887">
        <v>1000000</v>
      </c>
      <c r="D103" s="887">
        <v>1000000</v>
      </c>
      <c r="E103" s="887">
        <v>1000000</v>
      </c>
    </row>
    <row r="104" spans="1:5" ht="15.75" thickBot="1" x14ac:dyDescent="0.3">
      <c r="A104" s="891" t="s">
        <v>95</v>
      </c>
      <c r="B104" s="890"/>
      <c r="C104" s="889">
        <f>C103/B103-1</f>
        <v>0</v>
      </c>
      <c r="D104" s="889">
        <f>D103/C103-1</f>
        <v>0</v>
      </c>
      <c r="E104" s="889">
        <f>E103/D103-1</f>
        <v>0</v>
      </c>
    </row>
    <row r="105" spans="1:5" x14ac:dyDescent="0.25">
      <c r="A105" s="2425" t="s">
        <v>1490</v>
      </c>
      <c r="B105" s="2428"/>
      <c r="C105" s="2428"/>
      <c r="D105" s="2428"/>
      <c r="E105" s="2429"/>
    </row>
    <row r="106" spans="1:5" x14ac:dyDescent="0.25">
      <c r="A106" s="2426"/>
      <c r="B106" s="2430"/>
      <c r="C106" s="2430"/>
      <c r="D106" s="2430"/>
      <c r="E106" s="2431"/>
    </row>
    <row r="107" spans="1:5" ht="15.75" thickBot="1" x14ac:dyDescent="0.3">
      <c r="A107" s="2427"/>
      <c r="B107" s="2432"/>
      <c r="C107" s="2432"/>
      <c r="D107" s="2432"/>
      <c r="E107" s="2433"/>
    </row>
    <row r="108" spans="1:5" ht="15.75" thickBot="1" x14ac:dyDescent="0.3">
      <c r="A108" s="888" t="s">
        <v>96</v>
      </c>
      <c r="B108" s="887">
        <v>30</v>
      </c>
      <c r="C108" s="887">
        <v>36</v>
      </c>
      <c r="D108" s="887">
        <v>36</v>
      </c>
      <c r="E108" s="887">
        <v>36</v>
      </c>
    </row>
    <row r="109" spans="1:5" ht="24.75" thickBot="1" x14ac:dyDescent="0.3">
      <c r="A109" s="888" t="s">
        <v>97</v>
      </c>
      <c r="B109" s="887">
        <v>2</v>
      </c>
      <c r="C109" s="887">
        <v>2</v>
      </c>
      <c r="D109" s="887">
        <v>2</v>
      </c>
      <c r="E109" s="887">
        <v>2</v>
      </c>
    </row>
  </sheetData>
  <mergeCells count="47">
    <mergeCell ref="A78:A79"/>
    <mergeCell ref="A63:E63"/>
    <mergeCell ref="A64:A65"/>
    <mergeCell ref="A69:A71"/>
    <mergeCell ref="B69:E71"/>
    <mergeCell ref="B74:E74"/>
    <mergeCell ref="B75:E75"/>
    <mergeCell ref="B76:E76"/>
    <mergeCell ref="B77:E77"/>
    <mergeCell ref="A72:E72"/>
    <mergeCell ref="A73:E73"/>
    <mergeCell ref="B4:E4"/>
    <mergeCell ref="B5:E5"/>
    <mergeCell ref="B6:E6"/>
    <mergeCell ref="C7:E7"/>
    <mergeCell ref="C8:E8"/>
    <mergeCell ref="A86:E86"/>
    <mergeCell ref="A87:A88"/>
    <mergeCell ref="A92:A94"/>
    <mergeCell ref="B92:E94"/>
    <mergeCell ref="A105:A107"/>
    <mergeCell ref="B105:E107"/>
    <mergeCell ref="A55:A56"/>
    <mergeCell ref="B30:E30"/>
    <mergeCell ref="A31:A32"/>
    <mergeCell ref="A39:E39"/>
    <mergeCell ref="A40:A41"/>
    <mergeCell ref="A49:E49"/>
    <mergeCell ref="A50:E50"/>
    <mergeCell ref="B51:E51"/>
    <mergeCell ref="B52:E52"/>
    <mergeCell ref="B53:E53"/>
    <mergeCell ref="B54:E54"/>
    <mergeCell ref="A10:E10"/>
    <mergeCell ref="B12:E12"/>
    <mergeCell ref="B13:E13"/>
    <mergeCell ref="B14:E14"/>
    <mergeCell ref="A15:E15"/>
    <mergeCell ref="A26:E26"/>
    <mergeCell ref="A27:E27"/>
    <mergeCell ref="B28:E28"/>
    <mergeCell ref="B29:E29"/>
    <mergeCell ref="A16:E18"/>
    <mergeCell ref="B19:E19"/>
    <mergeCell ref="A20:A21"/>
    <mergeCell ref="B23:E23"/>
    <mergeCell ref="A24:E24"/>
  </mergeCells>
  <pageMargins left="0.33" right="0.18" top="0.27" bottom="0.32" header="0.3" footer="0.3"/>
  <pageSetup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I330"/>
  <sheetViews>
    <sheetView view="pageBreakPreview" topLeftCell="A319" zoomScale="85" zoomScaleNormal="160" zoomScaleSheetLayoutView="85" workbookViewId="0">
      <selection activeCell="J334" sqref="J334"/>
    </sheetView>
  </sheetViews>
  <sheetFormatPr defaultRowHeight="15" x14ac:dyDescent="0.25"/>
  <cols>
    <col min="1" max="1" width="20.42578125" customWidth="1"/>
    <col min="2" max="2" width="21.42578125" customWidth="1"/>
    <col min="3" max="3" width="17.28515625" customWidth="1"/>
    <col min="4" max="4" width="15" customWidth="1"/>
    <col min="5" max="5" width="21.42578125" customWidth="1"/>
    <col min="6" max="6" width="11" customWidth="1"/>
    <col min="7" max="7" width="11" bestFit="1" customWidth="1"/>
  </cols>
  <sheetData>
    <row r="1" spans="1:5" x14ac:dyDescent="0.25">
      <c r="A1" s="189" t="s">
        <v>898</v>
      </c>
      <c r="B1" s="188"/>
      <c r="C1" s="188"/>
      <c r="D1" s="188"/>
    </row>
    <row r="3" spans="1:5" ht="15.75" thickBot="1" x14ac:dyDescent="0.3"/>
    <row r="4" spans="1:5" ht="48" thickBot="1" x14ac:dyDescent="0.3">
      <c r="A4" s="168" t="s">
        <v>897</v>
      </c>
      <c r="B4" s="1084" t="s">
        <v>1511</v>
      </c>
      <c r="C4" s="1085"/>
      <c r="D4" s="1085"/>
      <c r="E4" s="1086"/>
    </row>
    <row r="5" spans="1:5" ht="48" thickBot="1" x14ac:dyDescent="0.3">
      <c r="A5" s="36" t="s">
        <v>895</v>
      </c>
      <c r="B5" s="1087" t="s">
        <v>1510</v>
      </c>
      <c r="C5" s="1088"/>
      <c r="D5" s="1088"/>
      <c r="E5" s="1089"/>
    </row>
    <row r="6" spans="1:5" ht="48" thickBot="1" x14ac:dyDescent="0.3">
      <c r="A6" s="36" t="s">
        <v>914</v>
      </c>
      <c r="B6" s="1239" t="s">
        <v>1509</v>
      </c>
      <c r="C6" s="1095"/>
      <c r="D6" s="1095"/>
      <c r="E6" s="1096"/>
    </row>
    <row r="7" spans="1:5" ht="32.25" thickBot="1" x14ac:dyDescent="0.3">
      <c r="A7" s="36" t="s">
        <v>891</v>
      </c>
      <c r="B7" s="167" t="s">
        <v>912</v>
      </c>
      <c r="C7" s="1093" t="s">
        <v>7</v>
      </c>
      <c r="D7" s="1093"/>
      <c r="E7" s="1094"/>
    </row>
    <row r="8" spans="1:5" ht="136.5" customHeight="1" thickBot="1" x14ac:dyDescent="0.3">
      <c r="A8" s="36" t="s">
        <v>1508</v>
      </c>
      <c r="B8" s="186">
        <v>1110</v>
      </c>
      <c r="C8" s="1095" t="s">
        <v>260</v>
      </c>
      <c r="D8" s="1095"/>
      <c r="E8" s="1096"/>
    </row>
    <row r="9" spans="1:5" ht="18" customHeight="1" x14ac:dyDescent="0.25">
      <c r="A9" s="1247" t="s">
        <v>0</v>
      </c>
      <c r="B9" s="1247"/>
      <c r="C9" s="1247"/>
      <c r="D9" s="1247"/>
      <c r="E9" s="1247"/>
    </row>
    <row r="10" spans="1:5" x14ac:dyDescent="0.25">
      <c r="A10" s="1558" t="s">
        <v>1</v>
      </c>
      <c r="B10" s="1558"/>
      <c r="C10" s="1558"/>
      <c r="D10" s="1558"/>
      <c r="E10" s="1558"/>
    </row>
    <row r="11" spans="1:5" ht="15.75" thickBot="1" x14ac:dyDescent="0.3"/>
    <row r="12" spans="1:5" ht="26.25" thickBot="1" x14ac:dyDescent="0.3">
      <c r="A12" s="2" t="s">
        <v>2</v>
      </c>
      <c r="B12" s="1263" t="s">
        <v>258</v>
      </c>
      <c r="C12" s="1263"/>
      <c r="D12" s="1263"/>
      <c r="E12" s="1263"/>
    </row>
    <row r="13" spans="1:5" ht="15.75" thickBot="1" x14ac:dyDescent="0.3">
      <c r="A13" s="2" t="s">
        <v>3</v>
      </c>
      <c r="B13" s="1087" t="s">
        <v>259</v>
      </c>
      <c r="C13" s="1088"/>
      <c r="D13" s="1088"/>
      <c r="E13" s="1089"/>
    </row>
    <row r="14" spans="1:5" ht="26.25" thickBot="1" x14ac:dyDescent="0.3">
      <c r="A14" s="2" t="s">
        <v>5</v>
      </c>
      <c r="B14" s="1265" t="s">
        <v>6</v>
      </c>
      <c r="C14" s="1095"/>
      <c r="D14" s="1095"/>
      <c r="E14" s="1096"/>
    </row>
    <row r="15" spans="1:5" ht="15.75" thickBot="1" x14ac:dyDescent="0.3">
      <c r="A15" s="1266" t="s">
        <v>7</v>
      </c>
      <c r="B15" s="1267"/>
      <c r="C15" s="1267"/>
      <c r="D15" s="1267"/>
      <c r="E15" s="1297"/>
    </row>
    <row r="16" spans="1:5" ht="36.75" customHeight="1" thickBot="1" x14ac:dyDescent="0.3">
      <c r="A16" s="1268" t="s">
        <v>260</v>
      </c>
      <c r="B16" s="1269"/>
      <c r="C16" s="1269"/>
      <c r="D16" s="1269"/>
      <c r="E16" s="1301"/>
    </row>
    <row r="17" spans="1:8" ht="15.75" thickBot="1" x14ac:dyDescent="0.3">
      <c r="A17" s="1268"/>
      <c r="B17" s="1269"/>
      <c r="C17" s="1269"/>
      <c r="D17" s="1269"/>
      <c r="E17" s="1301"/>
    </row>
    <row r="18" spans="1:8" ht="33.75" customHeight="1" thickBot="1" x14ac:dyDescent="0.3">
      <c r="A18" s="1268"/>
      <c r="B18" s="1269"/>
      <c r="C18" s="1269"/>
      <c r="D18" s="1269"/>
      <c r="E18" s="1301"/>
    </row>
    <row r="19" spans="1:8" ht="51.75" customHeight="1" thickBot="1" x14ac:dyDescent="0.3">
      <c r="A19" s="3" t="s">
        <v>8</v>
      </c>
      <c r="B19" s="1302" t="s">
        <v>261</v>
      </c>
      <c r="C19" s="1303"/>
      <c r="D19" s="1303"/>
      <c r="E19" s="1304"/>
    </row>
    <row r="20" spans="1:8" x14ac:dyDescent="0.25">
      <c r="A20" s="1250" t="s">
        <v>102</v>
      </c>
      <c r="B20" s="262">
        <v>2018</v>
      </c>
      <c r="C20" s="262">
        <v>2019</v>
      </c>
      <c r="D20" s="262">
        <v>2020</v>
      </c>
      <c r="E20" s="262">
        <v>2021</v>
      </c>
    </row>
    <row r="21" spans="1:8" ht="15.75" thickBot="1" x14ac:dyDescent="0.3">
      <c r="A21" s="1251"/>
      <c r="B21" s="263" t="s">
        <v>10</v>
      </c>
      <c r="C21" s="263" t="s">
        <v>11</v>
      </c>
      <c r="D21" s="263" t="s">
        <v>11</v>
      </c>
      <c r="E21" s="263" t="s">
        <v>11</v>
      </c>
    </row>
    <row r="22" spans="1:8" ht="120" customHeight="1" thickBot="1" x14ac:dyDescent="0.3">
      <c r="A22" s="261" t="s">
        <v>262</v>
      </c>
      <c r="B22" s="4">
        <v>0.55000000000000004</v>
      </c>
      <c r="C22" s="4">
        <v>0.56000000000000005</v>
      </c>
      <c r="D22" s="4">
        <v>0.56999999999999995</v>
      </c>
      <c r="E22" s="4">
        <v>0.57999999999999996</v>
      </c>
    </row>
    <row r="23" spans="1:8" ht="24.75" thickBot="1" x14ac:dyDescent="0.3">
      <c r="A23" s="6" t="s">
        <v>12</v>
      </c>
      <c r="B23" s="1272" t="s">
        <v>263</v>
      </c>
      <c r="C23" s="1270"/>
      <c r="D23" s="1270"/>
      <c r="E23" s="1305"/>
    </row>
    <row r="24" spans="1:8" ht="23.25" customHeight="1" thickBot="1" x14ac:dyDescent="0.3">
      <c r="A24" s="1245" t="s">
        <v>103</v>
      </c>
      <c r="B24" s="1246"/>
      <c r="C24" s="1246"/>
      <c r="D24" s="1246"/>
      <c r="E24" s="1298"/>
      <c r="F24" s="35"/>
      <c r="H24" s="35"/>
    </row>
    <row r="25" spans="1:8" ht="27" customHeight="1" thickBot="1" x14ac:dyDescent="0.3">
      <c r="A25" s="261" t="s">
        <v>264</v>
      </c>
      <c r="B25" s="4">
        <v>0.04</v>
      </c>
      <c r="C25" s="4">
        <v>0.05</v>
      </c>
      <c r="D25" s="4">
        <v>0.06</v>
      </c>
      <c r="E25" s="4">
        <v>7.0000000000000007E-2</v>
      </c>
    </row>
    <row r="26" spans="1:8" ht="26.25" customHeight="1" thickBot="1" x14ac:dyDescent="0.3">
      <c r="A26" s="5" t="s">
        <v>265</v>
      </c>
      <c r="B26" s="4">
        <v>0.96</v>
      </c>
      <c r="C26" s="4">
        <v>0.95</v>
      </c>
      <c r="D26" s="4">
        <v>0.94</v>
      </c>
      <c r="E26" s="4">
        <v>0.93</v>
      </c>
    </row>
    <row r="27" spans="1:8" ht="27" customHeight="1" thickBot="1" x14ac:dyDescent="0.3">
      <c r="A27" s="5" t="s">
        <v>266</v>
      </c>
      <c r="B27" s="4">
        <v>0.12</v>
      </c>
      <c r="C27" s="4">
        <v>0.14000000000000001</v>
      </c>
      <c r="D27" s="4">
        <v>0.16</v>
      </c>
      <c r="E27" s="4">
        <v>0.18</v>
      </c>
    </row>
    <row r="28" spans="1:8" ht="46.5" customHeight="1" thickBot="1" x14ac:dyDescent="0.3">
      <c r="A28" s="5" t="s">
        <v>267</v>
      </c>
      <c r="B28" s="4">
        <v>0.25</v>
      </c>
      <c r="C28" s="4">
        <v>0.27</v>
      </c>
      <c r="D28" s="4">
        <v>0.28999999999999998</v>
      </c>
      <c r="E28" s="4">
        <v>0.3</v>
      </c>
    </row>
    <row r="29" spans="1:8" ht="105" customHeight="1" thickBot="1" x14ac:dyDescent="0.3">
      <c r="A29" s="5" t="s">
        <v>268</v>
      </c>
      <c r="B29" s="4">
        <v>0.55000000000000004</v>
      </c>
      <c r="C29" s="4">
        <v>0.56000000000000005</v>
      </c>
      <c r="D29" s="4">
        <v>0.56999999999999995</v>
      </c>
      <c r="E29" s="4">
        <v>0.57999999999999996</v>
      </c>
    </row>
    <row r="30" spans="1:8" ht="15.75" thickBot="1" x14ac:dyDescent="0.3">
      <c r="A30" s="1273" t="s">
        <v>14</v>
      </c>
      <c r="B30" s="1274"/>
      <c r="C30" s="1274"/>
      <c r="D30" s="1274"/>
      <c r="E30" s="1299"/>
    </row>
    <row r="31" spans="1:8" ht="15.75" thickBot="1" x14ac:dyDescent="0.3">
      <c r="A31" s="1275" t="s">
        <v>104</v>
      </c>
      <c r="B31" s="1276"/>
      <c r="C31" s="1276"/>
      <c r="D31" s="1276"/>
      <c r="E31" s="1317"/>
    </row>
    <row r="32" spans="1:8" ht="15.75" thickBot="1" x14ac:dyDescent="0.3">
      <c r="A32" s="7" t="s">
        <v>105</v>
      </c>
      <c r="B32" s="1243" t="s">
        <v>269</v>
      </c>
      <c r="C32" s="1244"/>
      <c r="D32" s="1244"/>
      <c r="E32" s="1315"/>
    </row>
    <row r="33" spans="1:9" ht="39.75" customHeight="1" thickBot="1" x14ac:dyDescent="0.3">
      <c r="A33" s="5" t="s">
        <v>17</v>
      </c>
      <c r="B33" s="1245" t="s">
        <v>270</v>
      </c>
      <c r="C33" s="1246"/>
      <c r="D33" s="1246"/>
      <c r="E33" s="1298"/>
    </row>
    <row r="34" spans="1:9" ht="15.75" thickBot="1" x14ac:dyDescent="0.3">
      <c r="A34" s="5" t="s">
        <v>18</v>
      </c>
      <c r="B34" s="1248" t="s">
        <v>271</v>
      </c>
      <c r="C34" s="1249"/>
      <c r="D34" s="1249"/>
      <c r="E34" s="1316"/>
    </row>
    <row r="35" spans="1:9" ht="12.75" customHeight="1" x14ac:dyDescent="0.25">
      <c r="A35" s="1250"/>
      <c r="B35" s="8">
        <v>2018</v>
      </c>
      <c r="C35" s="8">
        <v>2019</v>
      </c>
      <c r="D35" s="8">
        <v>2020</v>
      </c>
      <c r="E35" s="8">
        <v>2021</v>
      </c>
    </row>
    <row r="36" spans="1:9" ht="15.75" customHeight="1" thickBot="1" x14ac:dyDescent="0.3">
      <c r="A36" s="1251"/>
      <c r="B36" s="9" t="s">
        <v>10</v>
      </c>
      <c r="C36" s="9" t="s">
        <v>11</v>
      </c>
      <c r="D36" s="9" t="s">
        <v>11</v>
      </c>
      <c r="E36" s="9" t="s">
        <v>11</v>
      </c>
    </row>
    <row r="37" spans="1:9" ht="15.75" thickBot="1" x14ac:dyDescent="0.3">
      <c r="A37" s="5" t="s">
        <v>19</v>
      </c>
      <c r="B37" s="10">
        <v>200</v>
      </c>
      <c r="C37" s="10">
        <v>210</v>
      </c>
      <c r="D37" s="10">
        <v>220</v>
      </c>
      <c r="E37" s="10">
        <v>230</v>
      </c>
    </row>
    <row r="38" spans="1:9" ht="15.75" thickBot="1" x14ac:dyDescent="0.3">
      <c r="A38" s="5" t="s">
        <v>20</v>
      </c>
      <c r="B38" s="10">
        <v>13479750</v>
      </c>
      <c r="C38" s="10">
        <v>13479750</v>
      </c>
      <c r="D38" s="10">
        <v>13679750</v>
      </c>
      <c r="E38" s="10">
        <v>13779750</v>
      </c>
    </row>
    <row r="39" spans="1:9" ht="15.75" thickBot="1" x14ac:dyDescent="0.3">
      <c r="A39" s="5" t="s">
        <v>21</v>
      </c>
      <c r="B39" s="10">
        <f>B38/B37</f>
        <v>67398.75</v>
      </c>
      <c r="C39" s="10">
        <f>C38/C37</f>
        <v>64189.285714285717</v>
      </c>
      <c r="D39" s="10">
        <f>D38/D37</f>
        <v>62180.681818181816</v>
      </c>
      <c r="E39" s="10">
        <f>E38/E37</f>
        <v>59911.956521739128</v>
      </c>
    </row>
    <row r="40" spans="1:9" ht="15.75" thickBot="1" x14ac:dyDescent="0.3">
      <c r="A40" s="5" t="s">
        <v>22</v>
      </c>
      <c r="B40" s="260" t="s">
        <v>23</v>
      </c>
      <c r="C40" s="11">
        <f t="shared" ref="C40:E42" si="0">C37/B37-1</f>
        <v>5.0000000000000044E-2</v>
      </c>
      <c r="D40" s="11">
        <f t="shared" si="0"/>
        <v>4.7619047619047672E-2</v>
      </c>
      <c r="E40" s="11">
        <f t="shared" si="0"/>
        <v>4.5454545454545414E-2</v>
      </c>
      <c r="F40" s="12"/>
      <c r="G40" s="12"/>
      <c r="H40" s="12"/>
      <c r="I40" s="12"/>
    </row>
    <row r="41" spans="1:9" ht="23.25" thickBot="1" x14ac:dyDescent="0.3">
      <c r="A41" s="5" t="s">
        <v>24</v>
      </c>
      <c r="B41" s="260" t="s">
        <v>23</v>
      </c>
      <c r="C41" s="11">
        <f t="shared" si="0"/>
        <v>0</v>
      </c>
      <c r="D41" s="11">
        <f t="shared" si="0"/>
        <v>1.4837070420445464E-2</v>
      </c>
      <c r="E41" s="11">
        <f t="shared" si="0"/>
        <v>7.3100751110217743E-3</v>
      </c>
    </row>
    <row r="42" spans="1:9" ht="23.25" thickBot="1" x14ac:dyDescent="0.3">
      <c r="A42" s="5" t="s">
        <v>25</v>
      </c>
      <c r="B42" s="260" t="s">
        <v>23</v>
      </c>
      <c r="C42" s="11">
        <f t="shared" si="0"/>
        <v>-4.7619047619047561E-2</v>
      </c>
      <c r="D42" s="11">
        <f t="shared" si="0"/>
        <v>-3.1291887325938461E-2</v>
      </c>
      <c r="E42" s="11">
        <f t="shared" si="0"/>
        <v>-3.6486015111196535E-2</v>
      </c>
    </row>
    <row r="43" spans="1:9" ht="15.75" thickBot="1" x14ac:dyDescent="0.3">
      <c r="A43" s="1252" t="s">
        <v>633</v>
      </c>
      <c r="B43" s="1253"/>
      <c r="C43" s="1253"/>
      <c r="D43" s="1253"/>
      <c r="E43" s="1300"/>
    </row>
    <row r="44" spans="1:9" ht="12.75" customHeight="1" x14ac:dyDescent="0.25">
      <c r="A44" s="1250"/>
      <c r="B44" s="8">
        <v>2018</v>
      </c>
      <c r="C44" s="8">
        <v>2019</v>
      </c>
      <c r="D44" s="8">
        <v>2020</v>
      </c>
      <c r="E44" s="8">
        <v>2021</v>
      </c>
    </row>
    <row r="45" spans="1:9" ht="15.75" thickBot="1" x14ac:dyDescent="0.3">
      <c r="A45" s="1251"/>
      <c r="B45" s="9" t="s">
        <v>10</v>
      </c>
      <c r="C45" s="9" t="s">
        <v>11</v>
      </c>
      <c r="D45" s="9" t="s">
        <v>11</v>
      </c>
      <c r="E45" s="9" t="s">
        <v>11</v>
      </c>
    </row>
    <row r="46" spans="1:9" ht="15.75" thickBot="1" x14ac:dyDescent="0.3">
      <c r="A46" s="13" t="s">
        <v>26</v>
      </c>
      <c r="B46" s="14">
        <v>9250000</v>
      </c>
      <c r="C46" s="14">
        <v>9250000</v>
      </c>
      <c r="D46" s="14">
        <v>9250000</v>
      </c>
      <c r="E46" s="14">
        <v>9250000</v>
      </c>
    </row>
    <row r="47" spans="1:9" ht="24.75" thickBot="1" x14ac:dyDescent="0.3">
      <c r="A47" s="13" t="s">
        <v>28</v>
      </c>
      <c r="B47" s="14">
        <v>1544750</v>
      </c>
      <c r="C47" s="14">
        <v>1544750</v>
      </c>
      <c r="D47" s="14">
        <v>1544750</v>
      </c>
      <c r="E47" s="14">
        <v>1544750</v>
      </c>
    </row>
    <row r="48" spans="1:9" ht="24.75" thickBot="1" x14ac:dyDescent="0.3">
      <c r="A48" s="13" t="s">
        <v>30</v>
      </c>
      <c r="B48" s="15">
        <v>2625000</v>
      </c>
      <c r="C48" s="15">
        <v>2625000</v>
      </c>
      <c r="D48" s="15">
        <v>2825000</v>
      </c>
      <c r="E48" s="15">
        <v>2925000</v>
      </c>
    </row>
    <row r="49" spans="1:5" ht="15.75" thickBot="1" x14ac:dyDescent="0.3">
      <c r="A49" s="13" t="s">
        <v>32</v>
      </c>
      <c r="B49" s="15"/>
      <c r="C49" s="14"/>
      <c r="D49" s="14"/>
      <c r="E49" s="14"/>
    </row>
    <row r="50" spans="1:5" ht="24.75" thickBot="1" x14ac:dyDescent="0.3">
      <c r="A50" s="13" t="s">
        <v>34</v>
      </c>
      <c r="B50" s="15"/>
      <c r="C50" s="14"/>
      <c r="D50" s="14"/>
      <c r="E50" s="14"/>
    </row>
    <row r="51" spans="1:5" ht="15.75" thickBot="1" x14ac:dyDescent="0.3">
      <c r="A51" s="13" t="s">
        <v>36</v>
      </c>
      <c r="B51" s="15"/>
      <c r="C51" s="14"/>
      <c r="D51" s="14"/>
      <c r="E51" s="14"/>
    </row>
    <row r="52" spans="1:5" ht="24.75" thickBot="1" x14ac:dyDescent="0.3">
      <c r="A52" s="13" t="s">
        <v>38</v>
      </c>
      <c r="B52" s="15">
        <v>60000</v>
      </c>
      <c r="C52" s="15">
        <v>60000</v>
      </c>
      <c r="D52" s="15">
        <v>60000</v>
      </c>
      <c r="E52" s="15">
        <v>60000</v>
      </c>
    </row>
    <row r="53" spans="1:5" ht="24.75" thickBot="1" x14ac:dyDescent="0.3">
      <c r="A53" s="16" t="s">
        <v>40</v>
      </c>
      <c r="B53" s="14">
        <f>B52+B51+B50+B49+B48+B47+B46</f>
        <v>13479750</v>
      </c>
      <c r="C53" s="14">
        <f>C52+C51+C50+C49+C48+C47+C46</f>
        <v>13479750</v>
      </c>
      <c r="D53" s="14">
        <f>D52+D51+D50+D49+D48+D47+D46</f>
        <v>13679750</v>
      </c>
      <c r="E53" s="14">
        <f>E52+E51+E50+E49+E48+E47+E46</f>
        <v>13779750</v>
      </c>
    </row>
    <row r="54" spans="1:5" ht="15.75" thickBot="1" x14ac:dyDescent="0.3">
      <c r="A54" s="17" t="s">
        <v>41</v>
      </c>
      <c r="B54" s="18">
        <f>IF(B53-B38=0,0,"Error")</f>
        <v>0</v>
      </c>
      <c r="C54" s="18">
        <f>IF(C53-C38=0,0,"Error")</f>
        <v>0</v>
      </c>
      <c r="D54" s="18">
        <f>IF(D53-D38=0,0,"Error")</f>
        <v>0</v>
      </c>
      <c r="E54" s="18">
        <f>IF(E53-E38=0,0,"Error")</f>
        <v>0</v>
      </c>
    </row>
    <row r="55" spans="1:5" ht="30.75" customHeight="1" thickBot="1" x14ac:dyDescent="0.3">
      <c r="A55" s="213" t="s">
        <v>272</v>
      </c>
      <c r="B55" s="1330" t="s">
        <v>273</v>
      </c>
      <c r="C55" s="1331"/>
      <c r="D55" s="1331"/>
      <c r="E55" s="1332"/>
    </row>
    <row r="56" spans="1:5" ht="33.75" customHeight="1" thickBot="1" x14ac:dyDescent="0.3">
      <c r="A56" s="5" t="s">
        <v>17</v>
      </c>
      <c r="B56" s="1245" t="s">
        <v>274</v>
      </c>
      <c r="C56" s="1246"/>
      <c r="D56" s="1246"/>
      <c r="E56" s="1298"/>
    </row>
    <row r="57" spans="1:5" ht="15.75" thickBot="1" x14ac:dyDescent="0.3">
      <c r="A57" s="5" t="s">
        <v>18</v>
      </c>
      <c r="B57" s="1248" t="s">
        <v>108</v>
      </c>
      <c r="C57" s="1249"/>
      <c r="D57" s="1249"/>
      <c r="E57" s="1316"/>
    </row>
    <row r="58" spans="1:5" ht="12.75" customHeight="1" thickBot="1" x14ac:dyDescent="0.3">
      <c r="A58" s="5" t="s">
        <v>19</v>
      </c>
      <c r="B58" s="10">
        <v>60</v>
      </c>
      <c r="C58" s="10">
        <v>70</v>
      </c>
      <c r="D58" s="10">
        <v>80</v>
      </c>
      <c r="E58" s="10">
        <v>90</v>
      </c>
    </row>
    <row r="59" spans="1:5" ht="9" customHeight="1" x14ac:dyDescent="0.25">
      <c r="A59" s="1250"/>
      <c r="B59" s="8">
        <v>2018</v>
      </c>
      <c r="C59" s="8">
        <v>2019</v>
      </c>
      <c r="D59" s="8">
        <v>2020</v>
      </c>
      <c r="E59" s="8">
        <v>2021</v>
      </c>
    </row>
    <row r="60" spans="1:5" ht="15.75" thickBot="1" x14ac:dyDescent="0.3">
      <c r="A60" s="1251"/>
      <c r="B60" s="9" t="s">
        <v>10</v>
      </c>
      <c r="C60" s="9" t="s">
        <v>11</v>
      </c>
      <c r="D60" s="9" t="s">
        <v>11</v>
      </c>
      <c r="E60" s="9" t="s">
        <v>11</v>
      </c>
    </row>
    <row r="61" spans="1:5" ht="15.75" thickBot="1" x14ac:dyDescent="0.3">
      <c r="A61" s="5" t="s">
        <v>20</v>
      </c>
      <c r="B61" s="10">
        <v>16209755</v>
      </c>
      <c r="C61" s="10">
        <v>16209755</v>
      </c>
      <c r="D61" s="10">
        <v>16409755</v>
      </c>
      <c r="E61" s="10">
        <v>16509755</v>
      </c>
    </row>
    <row r="62" spans="1:5" ht="15.75" thickBot="1" x14ac:dyDescent="0.3">
      <c r="A62" s="5" t="s">
        <v>21</v>
      </c>
      <c r="B62" s="10">
        <f>B61/B58</f>
        <v>270162.58333333331</v>
      </c>
      <c r="C62" s="10">
        <f>C61/C58</f>
        <v>231567.92857142858</v>
      </c>
      <c r="D62" s="10">
        <f>D61/D58</f>
        <v>205121.9375</v>
      </c>
      <c r="E62" s="10">
        <f>E61/E58</f>
        <v>183441.72222222222</v>
      </c>
    </row>
    <row r="63" spans="1:5" ht="15.75" thickBot="1" x14ac:dyDescent="0.3">
      <c r="A63" s="5" t="s">
        <v>22</v>
      </c>
      <c r="B63" s="260"/>
      <c r="C63" s="11">
        <f>C58/B58-1</f>
        <v>0.16666666666666674</v>
      </c>
      <c r="D63" s="11">
        <f>D58/C58-1</f>
        <v>0.14285714285714279</v>
      </c>
      <c r="E63" s="11">
        <f>E58/D58-1</f>
        <v>0.125</v>
      </c>
    </row>
    <row r="64" spans="1:5" ht="23.25" thickBot="1" x14ac:dyDescent="0.3">
      <c r="A64" s="5" t="s">
        <v>24</v>
      </c>
      <c r="B64" s="260"/>
      <c r="C64" s="11">
        <f t="shared" ref="C64:E65" si="1">C61/B61-1</f>
        <v>0</v>
      </c>
      <c r="D64" s="11">
        <f t="shared" si="1"/>
        <v>1.2338249405990487E-2</v>
      </c>
      <c r="E64" s="11">
        <f t="shared" si="1"/>
        <v>6.0939361983161078E-3</v>
      </c>
    </row>
    <row r="65" spans="1:5" ht="24.75" customHeight="1" thickBot="1" x14ac:dyDescent="0.3">
      <c r="A65" s="5" t="s">
        <v>25</v>
      </c>
      <c r="B65" s="260"/>
      <c r="C65" s="11">
        <f t="shared" si="1"/>
        <v>-0.14285714285714279</v>
      </c>
      <c r="D65" s="11">
        <f t="shared" si="1"/>
        <v>-0.11420403176975846</v>
      </c>
      <c r="E65" s="11">
        <f t="shared" si="1"/>
        <v>-0.10569427893483008</v>
      </c>
    </row>
    <row r="66" spans="1:5" ht="12.75" customHeight="1" thickBot="1" x14ac:dyDescent="0.3">
      <c r="A66" s="1252" t="s">
        <v>634</v>
      </c>
      <c r="B66" s="1253"/>
      <c r="C66" s="1253"/>
      <c r="D66" s="1253"/>
      <c r="E66" s="1300"/>
    </row>
    <row r="67" spans="1:5" ht="9" customHeight="1" x14ac:dyDescent="0.25">
      <c r="A67" s="1250"/>
      <c r="B67" s="8">
        <v>2018</v>
      </c>
      <c r="C67" s="8">
        <v>2019</v>
      </c>
      <c r="D67" s="8">
        <v>2020</v>
      </c>
      <c r="E67" s="8">
        <v>2021</v>
      </c>
    </row>
    <row r="68" spans="1:5" ht="24.75" customHeight="1" thickBot="1" x14ac:dyDescent="0.3">
      <c r="A68" s="1251"/>
      <c r="B68" s="9" t="s">
        <v>10</v>
      </c>
      <c r="C68" s="9" t="s">
        <v>11</v>
      </c>
      <c r="D68" s="9" t="s">
        <v>11</v>
      </c>
      <c r="E68" s="9" t="s">
        <v>11</v>
      </c>
    </row>
    <row r="69" spans="1:5" ht="24.75" customHeight="1" thickBot="1" x14ac:dyDescent="0.3">
      <c r="A69" s="13" t="s">
        <v>26</v>
      </c>
      <c r="B69" s="14">
        <v>11765000</v>
      </c>
      <c r="C69" s="14">
        <v>11765000</v>
      </c>
      <c r="D69" s="14">
        <v>11765000</v>
      </c>
      <c r="E69" s="14">
        <v>11765000</v>
      </c>
    </row>
    <row r="70" spans="1:5" ht="24.75" customHeight="1" thickBot="1" x14ac:dyDescent="0.3">
      <c r="A70" s="13" t="s">
        <v>28</v>
      </c>
      <c r="B70" s="14">
        <v>1964755</v>
      </c>
      <c r="C70" s="14">
        <v>1964755</v>
      </c>
      <c r="D70" s="14">
        <v>1964755</v>
      </c>
      <c r="E70" s="14">
        <v>1964755</v>
      </c>
    </row>
    <row r="71" spans="1:5" ht="24.75" thickBot="1" x14ac:dyDescent="0.3">
      <c r="A71" s="13" t="s">
        <v>30</v>
      </c>
      <c r="B71" s="15">
        <v>2420000</v>
      </c>
      <c r="C71" s="14">
        <v>2420000</v>
      </c>
      <c r="D71" s="14">
        <v>2620000</v>
      </c>
      <c r="E71" s="14">
        <v>2720000</v>
      </c>
    </row>
    <row r="72" spans="1:5" ht="15.75" thickBot="1" x14ac:dyDescent="0.3">
      <c r="A72" s="13" t="s">
        <v>32</v>
      </c>
      <c r="B72" s="15"/>
      <c r="C72" s="14"/>
      <c r="D72" s="14"/>
      <c r="E72" s="14"/>
    </row>
    <row r="73" spans="1:5" ht="24.75" thickBot="1" x14ac:dyDescent="0.3">
      <c r="A73" s="13" t="s">
        <v>34</v>
      </c>
      <c r="B73" s="15"/>
      <c r="C73" s="14"/>
      <c r="D73" s="14"/>
      <c r="E73" s="14"/>
    </row>
    <row r="74" spans="1:5" ht="15.75" thickBot="1" x14ac:dyDescent="0.3">
      <c r="A74" s="13" t="s">
        <v>36</v>
      </c>
      <c r="B74" s="15"/>
      <c r="C74" s="14"/>
      <c r="D74" s="14"/>
      <c r="E74" s="14"/>
    </row>
    <row r="75" spans="1:5" ht="24.75" thickBot="1" x14ac:dyDescent="0.3">
      <c r="A75" s="13" t="s">
        <v>38</v>
      </c>
      <c r="B75" s="15">
        <v>60000</v>
      </c>
      <c r="C75" s="15">
        <v>60000</v>
      </c>
      <c r="D75" s="15">
        <v>60000</v>
      </c>
      <c r="E75" s="15">
        <v>60000</v>
      </c>
    </row>
    <row r="76" spans="1:5" ht="17.25" customHeight="1" thickBot="1" x14ac:dyDescent="0.3">
      <c r="A76" s="135" t="s">
        <v>43</v>
      </c>
      <c r="B76" s="15">
        <f>B75+B74+B73+B72+B71+B70+B69</f>
        <v>16209755</v>
      </c>
      <c r="C76" s="15">
        <f>C75+C74+C73+C72+C71+C70+C69</f>
        <v>16209755</v>
      </c>
      <c r="D76" s="15">
        <f>D75+D74+D73+D72+D71+D70+D69</f>
        <v>16409755</v>
      </c>
      <c r="E76" s="15">
        <f>E75+E74+E73+E72+E71+E70+E69</f>
        <v>16509755</v>
      </c>
    </row>
    <row r="77" spans="1:5" ht="15.75" thickBot="1" x14ac:dyDescent="0.3">
      <c r="A77" s="17" t="s">
        <v>41</v>
      </c>
      <c r="B77" s="18">
        <f>IF(B76-B61=0,0,"Error")</f>
        <v>0</v>
      </c>
      <c r="C77" s="18">
        <f>IF(C76-C61=0,0,"Error")</f>
        <v>0</v>
      </c>
      <c r="D77" s="18">
        <f>IF(D76-D61=0,0,"Error")</f>
        <v>0</v>
      </c>
      <c r="E77" s="18">
        <f>IF(E76-E61=0,0,"Error")</f>
        <v>0</v>
      </c>
    </row>
    <row r="78" spans="1:5" ht="15.75" thickBot="1" x14ac:dyDescent="0.3">
      <c r="A78" s="1275" t="s">
        <v>63</v>
      </c>
      <c r="B78" s="1276"/>
      <c r="C78" s="1276"/>
      <c r="D78" s="1276"/>
      <c r="E78" s="1317"/>
    </row>
    <row r="79" spans="1:5" ht="15.75" thickBot="1" x14ac:dyDescent="0.3">
      <c r="A79" s="1275" t="s">
        <v>56</v>
      </c>
      <c r="B79" s="1276"/>
      <c r="C79" s="1276"/>
      <c r="D79" s="1276"/>
      <c r="E79" s="1317"/>
    </row>
    <row r="80" spans="1:5" ht="23.25" thickBot="1" x14ac:dyDescent="0.3">
      <c r="A80" s="20" t="s">
        <v>79</v>
      </c>
      <c r="B80" s="1241" t="s">
        <v>124</v>
      </c>
      <c r="C80" s="1242"/>
      <c r="D80" s="1242"/>
      <c r="E80" s="1318"/>
    </row>
    <row r="81" spans="1:9" ht="17.25" customHeight="1" thickBot="1" x14ac:dyDescent="0.3">
      <c r="A81" s="7" t="s">
        <v>16</v>
      </c>
      <c r="B81" s="1243" t="s">
        <v>106</v>
      </c>
      <c r="C81" s="1244"/>
      <c r="D81" s="1244"/>
      <c r="E81" s="1315"/>
    </row>
    <row r="82" spans="1:9" ht="15.75" thickBot="1" x14ac:dyDescent="0.3">
      <c r="A82" s="5" t="s">
        <v>17</v>
      </c>
      <c r="B82" s="1245" t="s">
        <v>106</v>
      </c>
      <c r="C82" s="1246"/>
      <c r="D82" s="1246"/>
      <c r="E82" s="1298"/>
    </row>
    <row r="83" spans="1:9" ht="12.75" customHeight="1" thickBot="1" x14ac:dyDescent="0.3">
      <c r="A83" s="5" t="s">
        <v>18</v>
      </c>
      <c r="B83" s="1248" t="s">
        <v>106</v>
      </c>
      <c r="C83" s="1249"/>
      <c r="D83" s="1249"/>
      <c r="E83" s="1316"/>
    </row>
    <row r="84" spans="1:9" ht="9" customHeight="1" x14ac:dyDescent="0.25">
      <c r="A84" s="1250"/>
      <c r="B84" s="8">
        <v>2018</v>
      </c>
      <c r="C84" s="8">
        <v>2019</v>
      </c>
      <c r="D84" s="8">
        <v>2020</v>
      </c>
      <c r="E84" s="8">
        <v>2021</v>
      </c>
    </row>
    <row r="85" spans="1:9" ht="15.75" thickBot="1" x14ac:dyDescent="0.3">
      <c r="A85" s="1251"/>
      <c r="B85" s="9" t="s">
        <v>10</v>
      </c>
      <c r="C85" s="9" t="s">
        <v>11</v>
      </c>
      <c r="D85" s="9" t="s">
        <v>11</v>
      </c>
      <c r="E85" s="9" t="s">
        <v>11</v>
      </c>
    </row>
    <row r="86" spans="1:9" ht="15.75" thickBot="1" x14ac:dyDescent="0.3">
      <c r="A86" s="5" t="s">
        <v>19</v>
      </c>
      <c r="B86" s="10"/>
      <c r="C86" s="10"/>
      <c r="D86" s="10"/>
      <c r="E86" s="10"/>
    </row>
    <row r="87" spans="1:9" ht="15.75" thickBot="1" x14ac:dyDescent="0.3">
      <c r="A87" s="5" t="s">
        <v>20</v>
      </c>
      <c r="B87" s="10"/>
      <c r="C87" s="10"/>
      <c r="D87" s="10"/>
      <c r="E87" s="10"/>
    </row>
    <row r="88" spans="1:9" ht="15.75" thickBot="1" x14ac:dyDescent="0.3">
      <c r="A88" s="5" t="s">
        <v>21</v>
      </c>
      <c r="B88" s="10" t="e">
        <f>B87/B86</f>
        <v>#DIV/0!</v>
      </c>
      <c r="C88" s="10" t="e">
        <f>C87/C86</f>
        <v>#DIV/0!</v>
      </c>
      <c r="D88" s="10" t="e">
        <f>D87/D86</f>
        <v>#DIV/0!</v>
      </c>
      <c r="E88" s="10" t="e">
        <f>E87/E86</f>
        <v>#DIV/0!</v>
      </c>
    </row>
    <row r="89" spans="1:9" ht="15.75" thickBot="1" x14ac:dyDescent="0.3">
      <c r="A89" s="5" t="s">
        <v>22</v>
      </c>
      <c r="B89" s="260" t="s">
        <v>23</v>
      </c>
      <c r="C89" s="11" t="e">
        <f t="shared" ref="C89:E91" si="2">C86/B86-1</f>
        <v>#DIV/0!</v>
      </c>
      <c r="D89" s="11" t="e">
        <f t="shared" si="2"/>
        <v>#DIV/0!</v>
      </c>
      <c r="E89" s="11" t="e">
        <f t="shared" si="2"/>
        <v>#DIV/0!</v>
      </c>
      <c r="F89" s="12"/>
      <c r="G89" s="12"/>
      <c r="H89" s="12"/>
      <c r="I89" s="12"/>
    </row>
    <row r="90" spans="1:9" ht="23.25" thickBot="1" x14ac:dyDescent="0.3">
      <c r="A90" s="5" t="s">
        <v>24</v>
      </c>
      <c r="B90" s="260" t="s">
        <v>23</v>
      </c>
      <c r="C90" s="11" t="e">
        <f t="shared" si="2"/>
        <v>#DIV/0!</v>
      </c>
      <c r="D90" s="11" t="e">
        <f t="shared" si="2"/>
        <v>#DIV/0!</v>
      </c>
      <c r="E90" s="11" t="e">
        <f t="shared" si="2"/>
        <v>#DIV/0!</v>
      </c>
    </row>
    <row r="91" spans="1:9" ht="23.25" thickBot="1" x14ac:dyDescent="0.3">
      <c r="A91" s="5" t="s">
        <v>25</v>
      </c>
      <c r="B91" s="260" t="s">
        <v>23</v>
      </c>
      <c r="C91" s="11" t="e">
        <f t="shared" si="2"/>
        <v>#DIV/0!</v>
      </c>
      <c r="D91" s="11" t="e">
        <f t="shared" si="2"/>
        <v>#DIV/0!</v>
      </c>
      <c r="E91" s="11" t="e">
        <f t="shared" si="2"/>
        <v>#DIV/0!</v>
      </c>
    </row>
    <row r="92" spans="1:9" ht="15.75" thickBot="1" x14ac:dyDescent="0.3">
      <c r="A92" s="1252" t="s">
        <v>633</v>
      </c>
      <c r="B92" s="1253"/>
      <c r="C92" s="1253"/>
      <c r="D92" s="1253"/>
      <c r="E92" s="1300"/>
    </row>
    <row r="93" spans="1:9" ht="12.75" customHeight="1" x14ac:dyDescent="0.25">
      <c r="A93" s="1250"/>
      <c r="B93" s="8">
        <v>2018</v>
      </c>
      <c r="C93" s="8">
        <v>2019</v>
      </c>
      <c r="D93" s="8">
        <v>2020</v>
      </c>
      <c r="E93" s="8">
        <v>2021</v>
      </c>
    </row>
    <row r="94" spans="1:9" ht="9" customHeight="1" thickBot="1" x14ac:dyDescent="0.3">
      <c r="A94" s="1251"/>
      <c r="B94" s="9" t="s">
        <v>10</v>
      </c>
      <c r="C94" s="9" t="s">
        <v>11</v>
      </c>
      <c r="D94" s="9" t="s">
        <v>11</v>
      </c>
      <c r="E94" s="9" t="s">
        <v>11</v>
      </c>
    </row>
    <row r="95" spans="1:9" ht="29.25" customHeight="1" thickBot="1" x14ac:dyDescent="0.3">
      <c r="A95" s="13" t="s">
        <v>58</v>
      </c>
      <c r="B95" s="14"/>
      <c r="C95" s="14"/>
      <c r="D95" s="14"/>
      <c r="E95" s="14"/>
    </row>
    <row r="96" spans="1:9" ht="15.75" thickBot="1" x14ac:dyDescent="0.3">
      <c r="A96" s="13" t="s">
        <v>59</v>
      </c>
      <c r="B96" s="15"/>
      <c r="C96" s="14"/>
      <c r="D96" s="14"/>
      <c r="E96" s="14"/>
    </row>
    <row r="97" spans="1:9" ht="30" customHeight="1" thickBot="1" x14ac:dyDescent="0.3">
      <c r="A97" s="16" t="s">
        <v>40</v>
      </c>
      <c r="B97" s="15">
        <f>B96+B95</f>
        <v>0</v>
      </c>
      <c r="C97" s="15">
        <f>C96+C95</f>
        <v>0</v>
      </c>
      <c r="D97" s="15">
        <f>D96+D95</f>
        <v>0</v>
      </c>
      <c r="E97" s="15">
        <f>E96+E95</f>
        <v>0</v>
      </c>
    </row>
    <row r="98" spans="1:9" x14ac:dyDescent="0.25">
      <c r="A98" s="1254" t="s">
        <v>60</v>
      </c>
      <c r="B98" s="1322"/>
      <c r="C98" s="1289"/>
      <c r="D98" s="1289"/>
      <c r="E98" s="1290"/>
    </row>
    <row r="99" spans="1:9" x14ac:dyDescent="0.25">
      <c r="A99" s="1255"/>
      <c r="B99" s="1291"/>
      <c r="C99" s="1292"/>
      <c r="D99" s="1292"/>
      <c r="E99" s="1293"/>
    </row>
    <row r="100" spans="1:9" ht="15.75" thickBot="1" x14ac:dyDescent="0.3">
      <c r="A100" s="1256"/>
      <c r="B100" s="1294"/>
      <c r="C100" s="1295"/>
      <c r="D100" s="1295"/>
      <c r="E100" s="1296"/>
    </row>
    <row r="101" spans="1:9" ht="23.25" thickBot="1" x14ac:dyDescent="0.3">
      <c r="A101" s="20" t="s">
        <v>61</v>
      </c>
      <c r="B101" s="1241" t="s">
        <v>124</v>
      </c>
      <c r="C101" s="1242"/>
      <c r="D101" s="1242"/>
      <c r="E101" s="1318"/>
    </row>
    <row r="102" spans="1:9" ht="23.25" thickBot="1" x14ac:dyDescent="0.3">
      <c r="A102" s="7" t="s">
        <v>123</v>
      </c>
      <c r="B102" s="1243" t="s">
        <v>106</v>
      </c>
      <c r="C102" s="1244"/>
      <c r="D102" s="1244"/>
      <c r="E102" s="1315"/>
    </row>
    <row r="103" spans="1:9" ht="17.25" customHeight="1" thickBot="1" x14ac:dyDescent="0.3">
      <c r="A103" s="5" t="s">
        <v>17</v>
      </c>
      <c r="B103" s="1245" t="s">
        <v>106</v>
      </c>
      <c r="C103" s="1246"/>
      <c r="D103" s="1246"/>
      <c r="E103" s="1298"/>
    </row>
    <row r="104" spans="1:9" ht="15.75" thickBot="1" x14ac:dyDescent="0.3">
      <c r="A104" s="5" t="s">
        <v>18</v>
      </c>
      <c r="B104" s="1248" t="s">
        <v>106</v>
      </c>
      <c r="C104" s="1249"/>
      <c r="D104" s="1249"/>
      <c r="E104" s="1316"/>
    </row>
    <row r="105" spans="1:9" ht="12.75" customHeight="1" x14ac:dyDescent="0.25">
      <c r="A105" s="1250"/>
      <c r="B105" s="8">
        <v>2018</v>
      </c>
      <c r="C105" s="8">
        <v>2019</v>
      </c>
      <c r="D105" s="8">
        <v>2020</v>
      </c>
      <c r="E105" s="8">
        <v>2021</v>
      </c>
    </row>
    <row r="106" spans="1:9" ht="9" customHeight="1" thickBot="1" x14ac:dyDescent="0.3">
      <c r="A106" s="1251"/>
      <c r="B106" s="9" t="s">
        <v>10</v>
      </c>
      <c r="C106" s="9" t="s">
        <v>11</v>
      </c>
      <c r="D106" s="9" t="s">
        <v>11</v>
      </c>
      <c r="E106" s="9" t="s">
        <v>11</v>
      </c>
    </row>
    <row r="107" spans="1:9" ht="15.75" thickBot="1" x14ac:dyDescent="0.3">
      <c r="A107" s="5" t="s">
        <v>19</v>
      </c>
      <c r="B107" s="10"/>
      <c r="C107" s="10"/>
      <c r="D107" s="10"/>
      <c r="E107" s="10"/>
    </row>
    <row r="108" spans="1:9" ht="15.75" thickBot="1" x14ac:dyDescent="0.3">
      <c r="A108" s="5" t="s">
        <v>20</v>
      </c>
      <c r="B108" s="10"/>
      <c r="C108" s="10"/>
      <c r="D108" s="10"/>
      <c r="E108" s="10"/>
    </row>
    <row r="109" spans="1:9" ht="15.75" thickBot="1" x14ac:dyDescent="0.3">
      <c r="A109" s="5" t="s">
        <v>21</v>
      </c>
      <c r="B109" s="10" t="e">
        <f>B108/B107</f>
        <v>#DIV/0!</v>
      </c>
      <c r="C109" s="10" t="e">
        <f>C108/C107</f>
        <v>#DIV/0!</v>
      </c>
      <c r="D109" s="10" t="e">
        <f>D108/D107</f>
        <v>#DIV/0!</v>
      </c>
      <c r="E109" s="10" t="e">
        <f>E108/E107</f>
        <v>#DIV/0!</v>
      </c>
    </row>
    <row r="110" spans="1:9" ht="15.75" thickBot="1" x14ac:dyDescent="0.3">
      <c r="A110" s="5" t="s">
        <v>22</v>
      </c>
      <c r="B110" s="260" t="s">
        <v>23</v>
      </c>
      <c r="C110" s="11" t="e">
        <f t="shared" ref="C110:E112" si="3">C107/B107-1</f>
        <v>#DIV/0!</v>
      </c>
      <c r="D110" s="11" t="e">
        <f t="shared" si="3"/>
        <v>#DIV/0!</v>
      </c>
      <c r="E110" s="11" t="e">
        <f t="shared" si="3"/>
        <v>#DIV/0!</v>
      </c>
      <c r="F110" s="12"/>
      <c r="G110" s="12"/>
      <c r="H110" s="12"/>
      <c r="I110" s="12"/>
    </row>
    <row r="111" spans="1:9" ht="23.25" thickBot="1" x14ac:dyDescent="0.3">
      <c r="A111" s="5" t="s">
        <v>24</v>
      </c>
      <c r="B111" s="260" t="s">
        <v>23</v>
      </c>
      <c r="C111" s="11" t="e">
        <f t="shared" si="3"/>
        <v>#DIV/0!</v>
      </c>
      <c r="D111" s="11" t="e">
        <f t="shared" si="3"/>
        <v>#DIV/0!</v>
      </c>
      <c r="E111" s="11" t="e">
        <f t="shared" si="3"/>
        <v>#DIV/0!</v>
      </c>
    </row>
    <row r="112" spans="1:9" ht="23.25" thickBot="1" x14ac:dyDescent="0.3">
      <c r="A112" s="5" t="s">
        <v>25</v>
      </c>
      <c r="B112" s="260" t="s">
        <v>23</v>
      </c>
      <c r="C112" s="11" t="e">
        <f t="shared" si="3"/>
        <v>#DIV/0!</v>
      </c>
      <c r="D112" s="11" t="e">
        <f t="shared" si="3"/>
        <v>#DIV/0!</v>
      </c>
      <c r="E112" s="11" t="e">
        <f t="shared" si="3"/>
        <v>#DIV/0!</v>
      </c>
    </row>
    <row r="113" spans="1:5" ht="15.75" thickBot="1" x14ac:dyDescent="0.3">
      <c r="A113" s="1252" t="s">
        <v>635</v>
      </c>
      <c r="B113" s="1253"/>
      <c r="C113" s="1253"/>
      <c r="D113" s="1253"/>
      <c r="E113" s="1300"/>
    </row>
    <row r="114" spans="1:5" ht="12.75" customHeight="1" x14ac:dyDescent="0.25">
      <c r="A114" s="1250"/>
      <c r="B114" s="8">
        <v>2018</v>
      </c>
      <c r="C114" s="8">
        <v>2019</v>
      </c>
      <c r="D114" s="8">
        <v>2020</v>
      </c>
      <c r="E114" s="8">
        <v>2021</v>
      </c>
    </row>
    <row r="115" spans="1:5" ht="15.75" thickBot="1" x14ac:dyDescent="0.3">
      <c r="A115" s="1251"/>
      <c r="B115" s="9" t="s">
        <v>10</v>
      </c>
      <c r="C115" s="9" t="s">
        <v>11</v>
      </c>
      <c r="D115" s="9" t="s">
        <v>11</v>
      </c>
      <c r="E115" s="9" t="s">
        <v>11</v>
      </c>
    </row>
    <row r="116" spans="1:5" ht="24.75" thickBot="1" x14ac:dyDescent="0.3">
      <c r="A116" s="13" t="s">
        <v>58</v>
      </c>
      <c r="B116" s="14"/>
      <c r="C116" s="14"/>
      <c r="D116" s="14"/>
      <c r="E116" s="14"/>
    </row>
    <row r="117" spans="1:5" ht="15.75" thickBot="1" x14ac:dyDescent="0.3">
      <c r="A117" s="13" t="s">
        <v>59</v>
      </c>
      <c r="B117" s="15"/>
      <c r="C117" s="14"/>
      <c r="D117" s="14"/>
      <c r="E117" s="14"/>
    </row>
    <row r="118" spans="1:5" ht="24.75" thickBot="1" x14ac:dyDescent="0.3">
      <c r="A118" s="16" t="s">
        <v>74</v>
      </c>
      <c r="B118" s="15">
        <f>B117+B116</f>
        <v>0</v>
      </c>
      <c r="C118" s="15">
        <f>C117+C116</f>
        <v>0</v>
      </c>
      <c r="D118" s="15">
        <f>D117+D116</f>
        <v>0</v>
      </c>
      <c r="E118" s="15">
        <f>E117+E116</f>
        <v>0</v>
      </c>
    </row>
    <row r="119" spans="1:5" ht="15.75" thickBot="1" x14ac:dyDescent="0.3">
      <c r="A119" s="1275" t="s">
        <v>63</v>
      </c>
      <c r="B119" s="1276"/>
      <c r="C119" s="1276"/>
      <c r="D119" s="1276"/>
      <c r="E119" s="1317"/>
    </row>
    <row r="120" spans="1:5" ht="15.75" thickBot="1" x14ac:dyDescent="0.3">
      <c r="A120" s="1275" t="s">
        <v>64</v>
      </c>
      <c r="B120" s="1276"/>
      <c r="C120" s="1276"/>
      <c r="D120" s="1276"/>
      <c r="E120" s="1317"/>
    </row>
    <row r="121" spans="1:5" ht="23.25" thickBot="1" x14ac:dyDescent="0.3">
      <c r="A121" s="20" t="s">
        <v>61</v>
      </c>
      <c r="B121" s="1241" t="s">
        <v>124</v>
      </c>
      <c r="C121" s="1242"/>
      <c r="D121" s="1242"/>
      <c r="E121" s="1318"/>
    </row>
    <row r="122" spans="1:5" ht="15.75" thickBot="1" x14ac:dyDescent="0.3">
      <c r="A122" s="7" t="s">
        <v>16</v>
      </c>
      <c r="B122" s="1243" t="s">
        <v>106</v>
      </c>
      <c r="C122" s="1244"/>
      <c r="D122" s="1244"/>
      <c r="E122" s="1315"/>
    </row>
    <row r="123" spans="1:5" ht="17.25" customHeight="1" thickBot="1" x14ac:dyDescent="0.3">
      <c r="A123" s="5" t="s">
        <v>17</v>
      </c>
      <c r="B123" s="1245" t="s">
        <v>106</v>
      </c>
      <c r="C123" s="1246"/>
      <c r="D123" s="1246"/>
      <c r="E123" s="1298"/>
    </row>
    <row r="124" spans="1:5" ht="15.75" thickBot="1" x14ac:dyDescent="0.3">
      <c r="A124" s="5" t="s">
        <v>18</v>
      </c>
      <c r="B124" s="1248" t="s">
        <v>106</v>
      </c>
      <c r="C124" s="1249"/>
      <c r="D124" s="1249"/>
      <c r="E124" s="1316"/>
    </row>
    <row r="125" spans="1:5" ht="12.75" customHeight="1" x14ac:dyDescent="0.25">
      <c r="A125" s="1250"/>
      <c r="B125" s="8">
        <v>2018</v>
      </c>
      <c r="C125" s="8">
        <v>2019</v>
      </c>
      <c r="D125" s="8">
        <v>2020</v>
      </c>
      <c r="E125" s="8">
        <v>2021</v>
      </c>
    </row>
    <row r="126" spans="1:5" ht="9" customHeight="1" thickBot="1" x14ac:dyDescent="0.3">
      <c r="A126" s="1251"/>
      <c r="B126" s="9" t="s">
        <v>10</v>
      </c>
      <c r="C126" s="9" t="s">
        <v>11</v>
      </c>
      <c r="D126" s="9" t="s">
        <v>11</v>
      </c>
      <c r="E126" s="9" t="s">
        <v>11</v>
      </c>
    </row>
    <row r="127" spans="1:5" ht="15.75" thickBot="1" x14ac:dyDescent="0.3">
      <c r="A127" s="5" t="s">
        <v>19</v>
      </c>
      <c r="B127" s="10"/>
      <c r="C127" s="10"/>
      <c r="D127" s="10"/>
      <c r="E127" s="10"/>
    </row>
    <row r="128" spans="1:5" ht="15.75" thickBot="1" x14ac:dyDescent="0.3">
      <c r="A128" s="5" t="s">
        <v>20</v>
      </c>
      <c r="B128" s="10"/>
      <c r="C128" s="10"/>
      <c r="D128" s="10"/>
      <c r="E128" s="10"/>
    </row>
    <row r="129" spans="1:9" ht="15.75" thickBot="1" x14ac:dyDescent="0.3">
      <c r="A129" s="5" t="s">
        <v>21</v>
      </c>
      <c r="B129" s="10" t="e">
        <f>B128/B127</f>
        <v>#DIV/0!</v>
      </c>
      <c r="C129" s="10" t="e">
        <f>C128/C127</f>
        <v>#DIV/0!</v>
      </c>
      <c r="D129" s="10" t="e">
        <f>D128/D127</f>
        <v>#DIV/0!</v>
      </c>
      <c r="E129" s="10" t="e">
        <f>E128/E127</f>
        <v>#DIV/0!</v>
      </c>
    </row>
    <row r="130" spans="1:9" ht="15.75" thickBot="1" x14ac:dyDescent="0.3">
      <c r="A130" s="5" t="s">
        <v>22</v>
      </c>
      <c r="B130" s="260" t="s">
        <v>23</v>
      </c>
      <c r="C130" s="11" t="e">
        <f t="shared" ref="C130:E132" si="4">C127/B127-1</f>
        <v>#DIV/0!</v>
      </c>
      <c r="D130" s="11" t="e">
        <f t="shared" si="4"/>
        <v>#DIV/0!</v>
      </c>
      <c r="E130" s="11" t="e">
        <f t="shared" si="4"/>
        <v>#DIV/0!</v>
      </c>
      <c r="F130" s="12"/>
      <c r="G130" s="12"/>
      <c r="H130" s="12"/>
      <c r="I130" s="12"/>
    </row>
    <row r="131" spans="1:9" ht="23.25" thickBot="1" x14ac:dyDescent="0.3">
      <c r="A131" s="5" t="s">
        <v>24</v>
      </c>
      <c r="B131" s="260" t="s">
        <v>23</v>
      </c>
      <c r="C131" s="11" t="e">
        <f t="shared" si="4"/>
        <v>#DIV/0!</v>
      </c>
      <c r="D131" s="11" t="e">
        <f t="shared" si="4"/>
        <v>#DIV/0!</v>
      </c>
      <c r="E131" s="11" t="e">
        <f t="shared" si="4"/>
        <v>#DIV/0!</v>
      </c>
    </row>
    <row r="132" spans="1:9" ht="23.25" thickBot="1" x14ac:dyDescent="0.3">
      <c r="A132" s="5" t="s">
        <v>25</v>
      </c>
      <c r="B132" s="260" t="s">
        <v>23</v>
      </c>
      <c r="C132" s="11" t="e">
        <f t="shared" si="4"/>
        <v>#DIV/0!</v>
      </c>
      <c r="D132" s="11" t="e">
        <f t="shared" si="4"/>
        <v>#DIV/0!</v>
      </c>
      <c r="E132" s="11" t="e">
        <f t="shared" si="4"/>
        <v>#DIV/0!</v>
      </c>
    </row>
    <row r="133" spans="1:9" ht="15.75" thickBot="1" x14ac:dyDescent="0.3">
      <c r="A133" s="1252" t="s">
        <v>633</v>
      </c>
      <c r="B133" s="1253"/>
      <c r="C133" s="1253"/>
      <c r="D133" s="1253"/>
      <c r="E133" s="1300"/>
    </row>
    <row r="134" spans="1:9" ht="12.75" customHeight="1" x14ac:dyDescent="0.25">
      <c r="A134" s="1250"/>
      <c r="B134" s="8">
        <v>2018</v>
      </c>
      <c r="C134" s="8">
        <v>2019</v>
      </c>
      <c r="D134" s="8">
        <v>2020</v>
      </c>
      <c r="E134" s="8">
        <v>2021</v>
      </c>
    </row>
    <row r="135" spans="1:9" ht="15.75" thickBot="1" x14ac:dyDescent="0.3">
      <c r="A135" s="1251"/>
      <c r="B135" s="9" t="s">
        <v>10</v>
      </c>
      <c r="C135" s="9" t="s">
        <v>11</v>
      </c>
      <c r="D135" s="9" t="s">
        <v>11</v>
      </c>
      <c r="E135" s="9" t="s">
        <v>11</v>
      </c>
    </row>
    <row r="136" spans="1:9" ht="24.75" thickBot="1" x14ac:dyDescent="0.3">
      <c r="A136" s="13" t="s">
        <v>58</v>
      </c>
      <c r="B136" s="14"/>
      <c r="C136" s="14"/>
      <c r="D136" s="14"/>
      <c r="E136" s="14"/>
    </row>
    <row r="137" spans="1:9" ht="15.75" thickBot="1" x14ac:dyDescent="0.3">
      <c r="A137" s="13" t="s">
        <v>59</v>
      </c>
      <c r="B137" s="15"/>
      <c r="C137" s="14"/>
      <c r="D137" s="14"/>
      <c r="E137" s="14"/>
    </row>
    <row r="138" spans="1:9" ht="24.75" thickBot="1" x14ac:dyDescent="0.3">
      <c r="A138" s="16" t="s">
        <v>40</v>
      </c>
      <c r="B138" s="15">
        <f>B137+B136</f>
        <v>0</v>
      </c>
      <c r="C138" s="15">
        <f>C137+C136</f>
        <v>0</v>
      </c>
      <c r="D138" s="15">
        <f>D137+D136</f>
        <v>0</v>
      </c>
      <c r="E138" s="15">
        <f>E137+E136</f>
        <v>0</v>
      </c>
    </row>
    <row r="139" spans="1:9" ht="23.25" thickBot="1" x14ac:dyDescent="0.3">
      <c r="A139" s="136" t="s">
        <v>61</v>
      </c>
      <c r="B139" s="1241" t="s">
        <v>124</v>
      </c>
      <c r="C139" s="1242"/>
      <c r="D139" s="1242"/>
      <c r="E139" s="1318"/>
    </row>
    <row r="140" spans="1:9" ht="23.25" thickBot="1" x14ac:dyDescent="0.3">
      <c r="A140" s="7" t="s">
        <v>123</v>
      </c>
      <c r="B140" s="1243" t="s">
        <v>106</v>
      </c>
      <c r="C140" s="1244"/>
      <c r="D140" s="1244"/>
      <c r="E140" s="1315"/>
    </row>
    <row r="141" spans="1:9" ht="17.25" customHeight="1" thickBot="1" x14ac:dyDescent="0.3">
      <c r="A141" s="5" t="s">
        <v>17</v>
      </c>
      <c r="B141" s="1245" t="s">
        <v>106</v>
      </c>
      <c r="C141" s="1246"/>
      <c r="D141" s="1246"/>
      <c r="E141" s="1298"/>
    </row>
    <row r="142" spans="1:9" ht="15.75" thickBot="1" x14ac:dyDescent="0.3">
      <c r="A142" s="5" t="s">
        <v>18</v>
      </c>
      <c r="B142" s="1248" t="s">
        <v>106</v>
      </c>
      <c r="C142" s="1249"/>
      <c r="D142" s="1249"/>
      <c r="E142" s="1316"/>
    </row>
    <row r="143" spans="1:9" ht="12.75" customHeight="1" x14ac:dyDescent="0.25">
      <c r="A143" s="1250"/>
      <c r="B143" s="8">
        <v>2018</v>
      </c>
      <c r="C143" s="8">
        <v>2019</v>
      </c>
      <c r="D143" s="8">
        <v>2020</v>
      </c>
      <c r="E143" s="8">
        <v>2021</v>
      </c>
    </row>
    <row r="144" spans="1:9" ht="9" customHeight="1" thickBot="1" x14ac:dyDescent="0.3">
      <c r="A144" s="1251"/>
      <c r="B144" s="9" t="s">
        <v>10</v>
      </c>
      <c r="C144" s="9" t="s">
        <v>11</v>
      </c>
      <c r="D144" s="9" t="s">
        <v>11</v>
      </c>
      <c r="E144" s="9" t="s">
        <v>11</v>
      </c>
    </row>
    <row r="145" spans="1:9" ht="15.75" thickBot="1" x14ac:dyDescent="0.3">
      <c r="A145" s="5" t="s">
        <v>19</v>
      </c>
      <c r="B145" s="10"/>
      <c r="C145" s="10"/>
      <c r="D145" s="10"/>
      <c r="E145" s="10"/>
    </row>
    <row r="146" spans="1:9" ht="15.75" thickBot="1" x14ac:dyDescent="0.3">
      <c r="A146" s="5" t="s">
        <v>20</v>
      </c>
      <c r="B146" s="10"/>
      <c r="C146" s="10"/>
      <c r="D146" s="10"/>
      <c r="E146" s="10"/>
    </row>
    <row r="147" spans="1:9" ht="15.75" thickBot="1" x14ac:dyDescent="0.3">
      <c r="A147" s="5" t="s">
        <v>21</v>
      </c>
      <c r="B147" s="10" t="e">
        <f>B146/B145</f>
        <v>#DIV/0!</v>
      </c>
      <c r="C147" s="10" t="e">
        <f>C146/C145</f>
        <v>#DIV/0!</v>
      </c>
      <c r="D147" s="10" t="e">
        <f>D146/D145</f>
        <v>#DIV/0!</v>
      </c>
      <c r="E147" s="10" t="e">
        <f>E146/E145</f>
        <v>#DIV/0!</v>
      </c>
    </row>
    <row r="148" spans="1:9" ht="15.75" thickBot="1" x14ac:dyDescent="0.3">
      <c r="A148" s="5" t="s">
        <v>22</v>
      </c>
      <c r="B148" s="260" t="s">
        <v>23</v>
      </c>
      <c r="C148" s="11" t="e">
        <f t="shared" ref="C148:E150" si="5">C145/B145-1</f>
        <v>#DIV/0!</v>
      </c>
      <c r="D148" s="11" t="e">
        <f t="shared" si="5"/>
        <v>#DIV/0!</v>
      </c>
      <c r="E148" s="11" t="e">
        <f t="shared" si="5"/>
        <v>#DIV/0!</v>
      </c>
      <c r="F148" s="12"/>
      <c r="G148" s="12"/>
      <c r="H148" s="12"/>
      <c r="I148" s="12"/>
    </row>
    <row r="149" spans="1:9" ht="23.25" thickBot="1" x14ac:dyDescent="0.3">
      <c r="A149" s="5" t="s">
        <v>24</v>
      </c>
      <c r="B149" s="260" t="s">
        <v>23</v>
      </c>
      <c r="C149" s="11" t="e">
        <f t="shared" si="5"/>
        <v>#DIV/0!</v>
      </c>
      <c r="D149" s="11" t="e">
        <f t="shared" si="5"/>
        <v>#DIV/0!</v>
      </c>
      <c r="E149" s="11" t="e">
        <f t="shared" si="5"/>
        <v>#DIV/0!</v>
      </c>
    </row>
    <row r="150" spans="1:9" ht="23.25" thickBot="1" x14ac:dyDescent="0.3">
      <c r="A150" s="5" t="s">
        <v>25</v>
      </c>
      <c r="B150" s="260" t="s">
        <v>23</v>
      </c>
      <c r="C150" s="11" t="e">
        <f t="shared" si="5"/>
        <v>#DIV/0!</v>
      </c>
      <c r="D150" s="11" t="e">
        <f t="shared" si="5"/>
        <v>#DIV/0!</v>
      </c>
      <c r="E150" s="11" t="e">
        <f t="shared" si="5"/>
        <v>#DIV/0!</v>
      </c>
    </row>
    <row r="151" spans="1:9" ht="15.75" thickBot="1" x14ac:dyDescent="0.3">
      <c r="A151" s="1252" t="s">
        <v>635</v>
      </c>
      <c r="B151" s="1253"/>
      <c r="C151" s="1253"/>
      <c r="D151" s="1253"/>
      <c r="E151" s="1300"/>
    </row>
    <row r="152" spans="1:9" ht="9" customHeight="1" x14ac:dyDescent="0.25">
      <c r="A152" s="1250"/>
      <c r="B152" s="8">
        <v>2018</v>
      </c>
      <c r="C152" s="8">
        <v>2019</v>
      </c>
      <c r="D152" s="8">
        <v>2020</v>
      </c>
      <c r="E152" s="8">
        <v>2021</v>
      </c>
    </row>
    <row r="153" spans="1:9" ht="15.75" thickBot="1" x14ac:dyDescent="0.3">
      <c r="A153" s="1251"/>
      <c r="B153" s="9" t="s">
        <v>10</v>
      </c>
      <c r="C153" s="9" t="s">
        <v>11</v>
      </c>
      <c r="D153" s="9" t="s">
        <v>11</v>
      </c>
      <c r="E153" s="9" t="s">
        <v>11</v>
      </c>
    </row>
    <row r="154" spans="1:9" ht="24.75" thickBot="1" x14ac:dyDescent="0.3">
      <c r="A154" s="13" t="s">
        <v>58</v>
      </c>
      <c r="B154" s="14"/>
      <c r="C154" s="14"/>
      <c r="D154" s="14"/>
      <c r="E154" s="14"/>
    </row>
    <row r="155" spans="1:9" ht="15.75" thickBot="1" x14ac:dyDescent="0.3">
      <c r="A155" s="13" t="s">
        <v>59</v>
      </c>
      <c r="B155" s="15"/>
      <c r="C155" s="14"/>
      <c r="D155" s="14"/>
      <c r="E155" s="14"/>
    </row>
    <row r="156" spans="1:9" ht="15.75" customHeight="1" thickBot="1" x14ac:dyDescent="0.3">
      <c r="A156" s="16" t="s">
        <v>74</v>
      </c>
      <c r="B156" s="15">
        <f>B155+B154</f>
        <v>0</v>
      </c>
      <c r="C156" s="15">
        <f>C155+C154</f>
        <v>0</v>
      </c>
      <c r="D156" s="15">
        <f>D155+D154</f>
        <v>0</v>
      </c>
      <c r="E156" s="15">
        <f>E155+E154</f>
        <v>0</v>
      </c>
    </row>
    <row r="157" spans="1:9" ht="15.75" customHeight="1" thickBot="1" x14ac:dyDescent="0.3">
      <c r="A157" s="21" t="s">
        <v>67</v>
      </c>
      <c r="B157" s="2441" t="s">
        <v>275</v>
      </c>
      <c r="C157" s="2442"/>
      <c r="D157" s="2442"/>
      <c r="E157" s="2443"/>
    </row>
    <row r="158" spans="1:9" ht="15.75" thickBot="1" x14ac:dyDescent="0.3">
      <c r="A158" s="1245" t="s">
        <v>68</v>
      </c>
      <c r="B158" s="1246"/>
      <c r="C158" s="1246"/>
      <c r="D158" s="1246"/>
      <c r="E158" s="1298"/>
    </row>
    <row r="159" spans="1:9" ht="15.75" customHeight="1" thickBot="1" x14ac:dyDescent="0.3">
      <c r="A159" s="261" t="s">
        <v>276</v>
      </c>
      <c r="B159" s="4">
        <v>0.31</v>
      </c>
      <c r="C159" s="4">
        <v>0.28999999999999998</v>
      </c>
      <c r="D159" s="4">
        <v>0.27</v>
      </c>
      <c r="E159" s="4">
        <v>0.25</v>
      </c>
    </row>
    <row r="160" spans="1:9" ht="23.25" customHeight="1" thickBot="1" x14ac:dyDescent="0.3">
      <c r="A160" s="5" t="s">
        <v>277</v>
      </c>
      <c r="B160" s="4">
        <v>0.04</v>
      </c>
      <c r="C160" s="4">
        <v>0.05</v>
      </c>
      <c r="D160" s="4">
        <v>0.06</v>
      </c>
      <c r="E160" s="4">
        <v>7.0000000000000007E-2</v>
      </c>
    </row>
    <row r="161" spans="1:5" ht="23.25" customHeight="1" thickBot="1" x14ac:dyDescent="0.3">
      <c r="A161" s="5" t="s">
        <v>278</v>
      </c>
      <c r="B161" s="4">
        <v>0.02</v>
      </c>
      <c r="C161" s="4">
        <v>0.04</v>
      </c>
      <c r="D161" s="4">
        <v>0.05</v>
      </c>
      <c r="E161" s="4">
        <v>0.06</v>
      </c>
    </row>
    <row r="162" spans="1:5" ht="23.25" customHeight="1" thickBot="1" x14ac:dyDescent="0.3">
      <c r="A162" s="1278" t="s">
        <v>69</v>
      </c>
      <c r="B162" s="1279"/>
      <c r="C162" s="1279"/>
      <c r="D162" s="1279"/>
      <c r="E162" s="1355"/>
    </row>
    <row r="163" spans="1:5" ht="12.75" customHeight="1" thickBot="1" x14ac:dyDescent="0.3">
      <c r="A163" s="1280" t="s">
        <v>70</v>
      </c>
      <c r="B163" s="1281"/>
      <c r="C163" s="1281"/>
      <c r="D163" s="1281"/>
      <c r="E163" s="1354"/>
    </row>
    <row r="164" spans="1:5" ht="9" customHeight="1" x14ac:dyDescent="0.25">
      <c r="A164" s="1250"/>
      <c r="B164" s="8">
        <v>2018</v>
      </c>
      <c r="C164" s="8">
        <v>2019</v>
      </c>
      <c r="D164" s="8">
        <v>2020</v>
      </c>
      <c r="E164" s="8">
        <v>2021</v>
      </c>
    </row>
    <row r="165" spans="1:5" ht="26.25" customHeight="1" thickBot="1" x14ac:dyDescent="0.3">
      <c r="A165" s="1251"/>
      <c r="B165" s="9" t="s">
        <v>10</v>
      </c>
      <c r="C165" s="9" t="s">
        <v>11</v>
      </c>
      <c r="D165" s="9" t="s">
        <v>11</v>
      </c>
      <c r="E165" s="9" t="s">
        <v>11</v>
      </c>
    </row>
    <row r="166" spans="1:5" ht="16.5" customHeight="1" thickBot="1" x14ac:dyDescent="0.3">
      <c r="A166" s="7" t="s">
        <v>16</v>
      </c>
      <c r="B166" s="1243" t="s">
        <v>279</v>
      </c>
      <c r="C166" s="1244"/>
      <c r="D166" s="1244"/>
      <c r="E166" s="1315"/>
    </row>
    <row r="167" spans="1:5" ht="15.75" customHeight="1" thickBot="1" x14ac:dyDescent="0.3">
      <c r="A167" s="5" t="s">
        <v>17</v>
      </c>
      <c r="B167" s="1245" t="s">
        <v>280</v>
      </c>
      <c r="C167" s="1246"/>
      <c r="D167" s="1246"/>
      <c r="E167" s="1298"/>
    </row>
    <row r="168" spans="1:5" ht="12.75" customHeight="1" thickBot="1" x14ac:dyDescent="0.3">
      <c r="A168" s="5" t="s">
        <v>18</v>
      </c>
      <c r="B168" s="1248" t="s">
        <v>143</v>
      </c>
      <c r="C168" s="1249"/>
      <c r="D168" s="1249"/>
      <c r="E168" s="1316"/>
    </row>
    <row r="169" spans="1:5" ht="9" customHeight="1" x14ac:dyDescent="0.25">
      <c r="A169" s="1250"/>
      <c r="B169" s="8">
        <v>2018</v>
      </c>
      <c r="C169" s="8">
        <v>2019</v>
      </c>
      <c r="D169" s="8">
        <v>2020</v>
      </c>
      <c r="E169" s="8">
        <v>2021</v>
      </c>
    </row>
    <row r="170" spans="1:5" ht="15.75" customHeight="1" thickBot="1" x14ac:dyDescent="0.3">
      <c r="A170" s="1251"/>
      <c r="B170" s="9" t="s">
        <v>10</v>
      </c>
      <c r="C170" s="9" t="s">
        <v>11</v>
      </c>
      <c r="D170" s="9" t="s">
        <v>11</v>
      </c>
      <c r="E170" s="9" t="s">
        <v>11</v>
      </c>
    </row>
    <row r="171" spans="1:5" ht="15.75" thickBot="1" x14ac:dyDescent="0.3">
      <c r="A171" s="5" t="s">
        <v>19</v>
      </c>
      <c r="B171" s="10">
        <v>1000</v>
      </c>
      <c r="C171" s="60">
        <v>1500</v>
      </c>
      <c r="D171" s="60">
        <v>2000</v>
      </c>
      <c r="E171" s="60">
        <v>2500</v>
      </c>
    </row>
    <row r="172" spans="1:5" ht="15.75" thickBot="1" x14ac:dyDescent="0.3">
      <c r="A172" s="5" t="s">
        <v>20</v>
      </c>
      <c r="B172" s="10">
        <v>6236875</v>
      </c>
      <c r="C172" s="10">
        <v>6236875</v>
      </c>
      <c r="D172" s="10">
        <v>6436875</v>
      </c>
      <c r="E172" s="10">
        <v>6536875</v>
      </c>
    </row>
    <row r="173" spans="1:5" ht="15.75" thickBot="1" x14ac:dyDescent="0.3">
      <c r="A173" s="5" t="s">
        <v>21</v>
      </c>
      <c r="B173" s="10">
        <f>B172/B171</f>
        <v>6236.875</v>
      </c>
      <c r="C173" s="10">
        <f>C172/C171</f>
        <v>4157.916666666667</v>
      </c>
      <c r="D173" s="10">
        <f>D172/D171</f>
        <v>3218.4375</v>
      </c>
      <c r="E173" s="10">
        <f>E172/E171</f>
        <v>2614.75</v>
      </c>
    </row>
    <row r="174" spans="1:5" ht="15.75" thickBot="1" x14ac:dyDescent="0.3">
      <c r="A174" s="5" t="s">
        <v>22</v>
      </c>
      <c r="B174" s="260"/>
      <c r="C174" s="11">
        <f t="shared" ref="C174:E176" si="6">C171/B171-1</f>
        <v>0.5</v>
      </c>
      <c r="D174" s="11">
        <f t="shared" si="6"/>
        <v>0.33333333333333326</v>
      </c>
      <c r="E174" s="11">
        <f t="shared" si="6"/>
        <v>0.25</v>
      </c>
    </row>
    <row r="175" spans="1:5" ht="23.25" thickBot="1" x14ac:dyDescent="0.3">
      <c r="A175" s="5" t="s">
        <v>24</v>
      </c>
      <c r="B175" s="260"/>
      <c r="C175" s="11">
        <f t="shared" si="6"/>
        <v>0</v>
      </c>
      <c r="D175" s="11">
        <f t="shared" si="6"/>
        <v>3.2067341416975648E-2</v>
      </c>
      <c r="E175" s="11">
        <f t="shared" si="6"/>
        <v>1.5535488882415738E-2</v>
      </c>
    </row>
    <row r="176" spans="1:5" ht="12.75" customHeight="1" thickBot="1" x14ac:dyDescent="0.3">
      <c r="A176" s="5" t="s">
        <v>25</v>
      </c>
      <c r="B176" s="260"/>
      <c r="C176" s="11">
        <f t="shared" si="6"/>
        <v>-0.33333333333333326</v>
      </c>
      <c r="D176" s="11">
        <f t="shared" si="6"/>
        <v>-0.22594949393726838</v>
      </c>
      <c r="E176" s="11">
        <f t="shared" si="6"/>
        <v>-0.18757160889406743</v>
      </c>
    </row>
    <row r="177" spans="1:5" ht="9" customHeight="1" thickBot="1" x14ac:dyDescent="0.3">
      <c r="A177" s="1252" t="s">
        <v>636</v>
      </c>
      <c r="B177" s="1253"/>
      <c r="C177" s="1253"/>
      <c r="D177" s="1253"/>
      <c r="E177" s="1300"/>
    </row>
    <row r="178" spans="1:5" ht="15.75" customHeight="1" x14ac:dyDescent="0.25">
      <c r="A178" s="1250"/>
      <c r="B178" s="8">
        <v>2018</v>
      </c>
      <c r="C178" s="8">
        <v>2019</v>
      </c>
      <c r="D178" s="8">
        <v>2020</v>
      </c>
      <c r="E178" s="8">
        <v>2021</v>
      </c>
    </row>
    <row r="179" spans="1:5" ht="12.75" customHeight="1" thickBot="1" x14ac:dyDescent="0.3">
      <c r="A179" s="1251"/>
      <c r="B179" s="9" t="s">
        <v>10</v>
      </c>
      <c r="C179" s="9" t="s">
        <v>11</v>
      </c>
      <c r="D179" s="9" t="s">
        <v>11</v>
      </c>
      <c r="E179" s="9" t="s">
        <v>11</v>
      </c>
    </row>
    <row r="180" spans="1:5" ht="9" customHeight="1" thickBot="1" x14ac:dyDescent="0.3">
      <c r="A180" s="13" t="s">
        <v>26</v>
      </c>
      <c r="B180" s="14">
        <v>3125000</v>
      </c>
      <c r="C180" s="14">
        <v>3125000</v>
      </c>
      <c r="D180" s="14">
        <v>3125000</v>
      </c>
      <c r="E180" s="14">
        <v>3125000</v>
      </c>
    </row>
    <row r="181" spans="1:5" ht="24.75" thickBot="1" x14ac:dyDescent="0.3">
      <c r="A181" s="13" t="s">
        <v>28</v>
      </c>
      <c r="B181" s="14">
        <v>521875</v>
      </c>
      <c r="C181" s="14">
        <v>521875</v>
      </c>
      <c r="D181" s="14">
        <v>521875</v>
      </c>
      <c r="E181" s="14">
        <v>521875</v>
      </c>
    </row>
    <row r="182" spans="1:5" ht="24.75" thickBot="1" x14ac:dyDescent="0.3">
      <c r="A182" s="13" t="s">
        <v>30</v>
      </c>
      <c r="B182" s="15">
        <v>2530000</v>
      </c>
      <c r="C182" s="14">
        <v>2530000</v>
      </c>
      <c r="D182" s="14">
        <v>2730000</v>
      </c>
      <c r="E182" s="14">
        <v>2830000</v>
      </c>
    </row>
    <row r="183" spans="1:5" ht="15.75" thickBot="1" x14ac:dyDescent="0.3">
      <c r="A183" s="13" t="s">
        <v>32</v>
      </c>
      <c r="B183" s="15"/>
      <c r="C183" s="14"/>
      <c r="D183" s="14"/>
      <c r="E183" s="14"/>
    </row>
    <row r="184" spans="1:5" ht="24.75" thickBot="1" x14ac:dyDescent="0.3">
      <c r="A184" s="13" t="s">
        <v>34</v>
      </c>
      <c r="B184" s="15"/>
      <c r="C184" s="14"/>
      <c r="D184" s="14"/>
      <c r="E184" s="14"/>
    </row>
    <row r="185" spans="1:5" ht="15.75" thickBot="1" x14ac:dyDescent="0.3">
      <c r="A185" s="13" t="s">
        <v>36</v>
      </c>
      <c r="B185" s="15"/>
      <c r="C185" s="14"/>
      <c r="D185" s="14"/>
      <c r="E185" s="14"/>
    </row>
    <row r="186" spans="1:5" ht="24.75" thickBot="1" x14ac:dyDescent="0.3">
      <c r="A186" s="13" t="s">
        <v>38</v>
      </c>
      <c r="B186" s="15">
        <v>60000</v>
      </c>
      <c r="C186" s="15">
        <v>60000</v>
      </c>
      <c r="D186" s="15">
        <v>60000</v>
      </c>
      <c r="E186" s="15">
        <v>60000</v>
      </c>
    </row>
    <row r="187" spans="1:5" ht="36.75" thickBot="1" x14ac:dyDescent="0.3">
      <c r="A187" s="137" t="s">
        <v>71</v>
      </c>
      <c r="B187" s="138">
        <f>B186+B185+B184+B183+B182+B181+B180</f>
        <v>6236875</v>
      </c>
      <c r="C187" s="138">
        <f>C186+C185+C184+C183+C182+C181+C180</f>
        <v>6236875</v>
      </c>
      <c r="D187" s="138">
        <f>D186+D185+D184+D183+D182+D181+D180</f>
        <v>6436875</v>
      </c>
      <c r="E187" s="138">
        <f>E186+E185+E184+E183+E182+E181+E180</f>
        <v>6536875</v>
      </c>
    </row>
    <row r="188" spans="1:5" ht="15.75" thickBot="1" x14ac:dyDescent="0.3">
      <c r="A188" s="17" t="s">
        <v>41</v>
      </c>
      <c r="B188" s="18">
        <f>IF(B187-B172=0,0,"Error")</f>
        <v>0</v>
      </c>
      <c r="C188" s="18">
        <f>IF(C187-C172=0,0,"Error")</f>
        <v>0</v>
      </c>
      <c r="D188" s="18">
        <f>IF(D187-D172=0,0,"Error")</f>
        <v>0</v>
      </c>
      <c r="E188" s="18">
        <f>IF(E187-E172=0,0,"Error")</f>
        <v>0</v>
      </c>
    </row>
    <row r="189" spans="1:5" ht="15.75" thickBot="1" x14ac:dyDescent="0.3">
      <c r="A189" s="213" t="s">
        <v>42</v>
      </c>
      <c r="B189" s="1243" t="s">
        <v>281</v>
      </c>
      <c r="C189" s="1244"/>
      <c r="D189" s="1244"/>
      <c r="E189" s="1315"/>
    </row>
    <row r="190" spans="1:5" ht="15.75" thickBot="1" x14ac:dyDescent="0.3">
      <c r="A190" s="5" t="s">
        <v>17</v>
      </c>
      <c r="B190" s="1245" t="s">
        <v>282</v>
      </c>
      <c r="C190" s="1246"/>
      <c r="D190" s="1246"/>
      <c r="E190" s="1298"/>
    </row>
    <row r="191" spans="1:5" ht="15.75" thickBot="1" x14ac:dyDescent="0.3">
      <c r="A191" s="5" t="s">
        <v>18</v>
      </c>
      <c r="B191" s="1248" t="s">
        <v>143</v>
      </c>
      <c r="C191" s="1249"/>
      <c r="D191" s="1249"/>
      <c r="E191" s="1316"/>
    </row>
    <row r="192" spans="1:5" x14ac:dyDescent="0.25">
      <c r="A192" s="1250"/>
      <c r="B192" s="8">
        <v>2018</v>
      </c>
      <c r="C192" s="8">
        <v>2019</v>
      </c>
      <c r="D192" s="8">
        <v>2020</v>
      </c>
      <c r="E192" s="8">
        <v>2021</v>
      </c>
    </row>
    <row r="193" spans="1:5" ht="12.75" customHeight="1" thickBot="1" x14ac:dyDescent="0.3">
      <c r="A193" s="1251"/>
      <c r="B193" s="9" t="s">
        <v>10</v>
      </c>
      <c r="C193" s="9" t="s">
        <v>11</v>
      </c>
      <c r="D193" s="9" t="s">
        <v>11</v>
      </c>
      <c r="E193" s="9" t="s">
        <v>11</v>
      </c>
    </row>
    <row r="194" spans="1:5" ht="9" customHeight="1" thickBot="1" x14ac:dyDescent="0.3">
      <c r="A194" s="5" t="s">
        <v>19</v>
      </c>
      <c r="B194" s="10">
        <v>200</v>
      </c>
      <c r="C194" s="10">
        <v>250</v>
      </c>
      <c r="D194" s="10">
        <v>300</v>
      </c>
      <c r="E194" s="10">
        <v>350</v>
      </c>
    </row>
    <row r="195" spans="1:5" ht="15.75" thickBot="1" x14ac:dyDescent="0.3">
      <c r="A195" s="5" t="s">
        <v>20</v>
      </c>
      <c r="B195" s="10">
        <v>4373620</v>
      </c>
      <c r="C195" s="10">
        <v>4373620</v>
      </c>
      <c r="D195" s="10">
        <v>4473620</v>
      </c>
      <c r="E195" s="10">
        <v>4673620</v>
      </c>
    </row>
    <row r="196" spans="1:5" ht="15.75" thickBot="1" x14ac:dyDescent="0.3">
      <c r="A196" s="5" t="s">
        <v>21</v>
      </c>
      <c r="B196" s="10">
        <f>B195/B194</f>
        <v>21868.1</v>
      </c>
      <c r="C196" s="10">
        <f>C195/C194</f>
        <v>17494.48</v>
      </c>
      <c r="D196" s="10">
        <f>D195/D194</f>
        <v>14912.066666666668</v>
      </c>
      <c r="E196" s="10">
        <f>E195/E194</f>
        <v>13353.2</v>
      </c>
    </row>
    <row r="197" spans="1:5" ht="15.75" thickBot="1" x14ac:dyDescent="0.3">
      <c r="A197" s="5" t="s">
        <v>22</v>
      </c>
      <c r="B197" s="260"/>
      <c r="C197" s="11">
        <f t="shared" ref="C197:E199" si="7">C194/B194-1</f>
        <v>0.25</v>
      </c>
      <c r="D197" s="11">
        <f t="shared" si="7"/>
        <v>0.19999999999999996</v>
      </c>
      <c r="E197" s="11">
        <f t="shared" si="7"/>
        <v>0.16666666666666674</v>
      </c>
    </row>
    <row r="198" spans="1:5" ht="23.25" thickBot="1" x14ac:dyDescent="0.3">
      <c r="A198" s="5" t="s">
        <v>24</v>
      </c>
      <c r="B198" s="260"/>
      <c r="C198" s="11">
        <f t="shared" si="7"/>
        <v>0</v>
      </c>
      <c r="D198" s="11">
        <f t="shared" si="7"/>
        <v>2.2864354927954356E-2</v>
      </c>
      <c r="E198" s="11">
        <f t="shared" si="7"/>
        <v>4.4706524023050642E-2</v>
      </c>
    </row>
    <row r="199" spans="1:5" ht="23.25" thickBot="1" x14ac:dyDescent="0.3">
      <c r="A199" s="5" t="s">
        <v>25</v>
      </c>
      <c r="B199" s="260"/>
      <c r="C199" s="11">
        <f t="shared" si="7"/>
        <v>-0.19999999999999996</v>
      </c>
      <c r="D199" s="11">
        <f t="shared" si="7"/>
        <v>-0.14761303756003796</v>
      </c>
      <c r="E199" s="11">
        <f t="shared" si="7"/>
        <v>-0.10453726512309947</v>
      </c>
    </row>
    <row r="200" spans="1:5" ht="15.75" thickBot="1" x14ac:dyDescent="0.3">
      <c r="A200" s="1252" t="s">
        <v>635</v>
      </c>
      <c r="B200" s="1253"/>
      <c r="C200" s="1253"/>
      <c r="D200" s="1253"/>
      <c r="E200" s="1300"/>
    </row>
    <row r="201" spans="1:5" ht="15.75" customHeight="1" x14ac:dyDescent="0.25">
      <c r="A201" s="1250"/>
      <c r="B201" s="8">
        <v>2018</v>
      </c>
      <c r="C201" s="8">
        <v>2019</v>
      </c>
      <c r="D201" s="8">
        <v>2020</v>
      </c>
      <c r="E201" s="8">
        <v>2021</v>
      </c>
    </row>
    <row r="202" spans="1:5" ht="12.75" customHeight="1" thickBot="1" x14ac:dyDescent="0.3">
      <c r="A202" s="1251"/>
      <c r="B202" s="9" t="s">
        <v>10</v>
      </c>
      <c r="C202" s="9" t="s">
        <v>11</v>
      </c>
      <c r="D202" s="9" t="s">
        <v>11</v>
      </c>
      <c r="E202" s="9" t="s">
        <v>11</v>
      </c>
    </row>
    <row r="203" spans="1:5" ht="9" customHeight="1" thickBot="1" x14ac:dyDescent="0.3">
      <c r="A203" s="13" t="s">
        <v>26</v>
      </c>
      <c r="B203" s="14">
        <v>1566817</v>
      </c>
      <c r="C203" s="14">
        <v>1566817</v>
      </c>
      <c r="D203" s="14">
        <v>1566817</v>
      </c>
      <c r="E203" s="14">
        <v>1566817</v>
      </c>
    </row>
    <row r="204" spans="1:5" ht="24.75" thickBot="1" x14ac:dyDescent="0.3">
      <c r="A204" s="13" t="s">
        <v>28</v>
      </c>
      <c r="B204" s="14">
        <v>261803</v>
      </c>
      <c r="C204" s="14">
        <v>261803</v>
      </c>
      <c r="D204" s="14">
        <v>261803</v>
      </c>
      <c r="E204" s="14">
        <v>261803</v>
      </c>
    </row>
    <row r="205" spans="1:5" ht="24.75" thickBot="1" x14ac:dyDescent="0.3">
      <c r="A205" s="13" t="s">
        <v>30</v>
      </c>
      <c r="B205" s="15">
        <v>2485000</v>
      </c>
      <c r="C205" s="14">
        <v>2485000</v>
      </c>
      <c r="D205" s="14">
        <v>2585000</v>
      </c>
      <c r="E205" s="14">
        <v>2785000</v>
      </c>
    </row>
    <row r="206" spans="1:5" ht="15.75" thickBot="1" x14ac:dyDescent="0.3">
      <c r="A206" s="13" t="s">
        <v>32</v>
      </c>
      <c r="B206" s="15"/>
      <c r="C206" s="14"/>
      <c r="D206" s="14"/>
      <c r="E206" s="14"/>
    </row>
    <row r="207" spans="1:5" ht="24.75" thickBot="1" x14ac:dyDescent="0.3">
      <c r="A207" s="13" t="s">
        <v>34</v>
      </c>
      <c r="B207" s="15"/>
      <c r="C207" s="14"/>
      <c r="D207" s="14"/>
      <c r="E207" s="14"/>
    </row>
    <row r="208" spans="1:5" ht="15.75" thickBot="1" x14ac:dyDescent="0.3">
      <c r="A208" s="13" t="s">
        <v>36</v>
      </c>
      <c r="B208" s="15"/>
      <c r="C208" s="14"/>
      <c r="D208" s="14"/>
      <c r="E208" s="14"/>
    </row>
    <row r="209" spans="1:9" ht="24.75" thickBot="1" x14ac:dyDescent="0.3">
      <c r="A209" s="13" t="s">
        <v>38</v>
      </c>
      <c r="B209" s="15">
        <v>60000</v>
      </c>
      <c r="C209" s="15">
        <v>60000</v>
      </c>
      <c r="D209" s="15">
        <v>60000</v>
      </c>
      <c r="E209" s="15">
        <v>60000</v>
      </c>
    </row>
    <row r="210" spans="1:9" ht="36.75" thickBot="1" x14ac:dyDescent="0.3">
      <c r="A210" s="137" t="s">
        <v>71</v>
      </c>
      <c r="B210" s="140">
        <f>B209+B207+B208+B206+B205+B204+B203</f>
        <v>4373620</v>
      </c>
      <c r="C210" s="140">
        <f>C209+C207+C208+C206+C205+C204+C203</f>
        <v>4373620</v>
      </c>
      <c r="D210" s="140">
        <f>D209+D207+D208+D206+D205+D204+D203</f>
        <v>4473620</v>
      </c>
      <c r="E210" s="140">
        <f>E209+E207+E208+E206+E205+E204+E203</f>
        <v>4673620</v>
      </c>
    </row>
    <row r="211" spans="1:9" ht="15.75" thickBot="1" x14ac:dyDescent="0.3">
      <c r="A211" s="17" t="s">
        <v>41</v>
      </c>
      <c r="B211" s="18">
        <f>IF(B210-B195=0,0,"Error")</f>
        <v>0</v>
      </c>
      <c r="C211" s="18">
        <f>IF(C210-C195=0,0,"Error")</f>
        <v>0</v>
      </c>
      <c r="D211" s="18">
        <f>IF(D210-D195=0,0,"Error")</f>
        <v>0</v>
      </c>
      <c r="E211" s="18">
        <f>IF(E210-E195=0,0,"Error")</f>
        <v>0</v>
      </c>
    </row>
    <row r="212" spans="1:9" ht="15.75" thickBot="1" x14ac:dyDescent="0.3">
      <c r="A212" s="1275" t="s">
        <v>63</v>
      </c>
      <c r="B212" s="1276"/>
      <c r="C212" s="1276"/>
      <c r="D212" s="1276"/>
      <c r="E212" s="1317"/>
    </row>
    <row r="213" spans="1:9" ht="15.75" thickBot="1" x14ac:dyDescent="0.3">
      <c r="A213" s="1275" t="s">
        <v>56</v>
      </c>
      <c r="B213" s="1276"/>
      <c r="C213" s="1276"/>
      <c r="D213" s="1276"/>
      <c r="E213" s="1317"/>
    </row>
    <row r="214" spans="1:9" ht="23.25" thickBot="1" x14ac:dyDescent="0.3">
      <c r="A214" s="20" t="s">
        <v>61</v>
      </c>
      <c r="B214" s="1241"/>
      <c r="C214" s="1242"/>
      <c r="D214" s="1242"/>
      <c r="E214" s="1318"/>
    </row>
    <row r="215" spans="1:9" ht="15.75" thickBot="1" x14ac:dyDescent="0.3">
      <c r="A215" s="7" t="s">
        <v>16</v>
      </c>
      <c r="B215" s="1243" t="s">
        <v>106</v>
      </c>
      <c r="C215" s="1244"/>
      <c r="D215" s="1244"/>
      <c r="E215" s="1315"/>
    </row>
    <row r="216" spans="1:9" ht="17.25" customHeight="1" thickBot="1" x14ac:dyDescent="0.3">
      <c r="A216" s="5" t="s">
        <v>17</v>
      </c>
      <c r="B216" s="1245" t="s">
        <v>106</v>
      </c>
      <c r="C216" s="1246"/>
      <c r="D216" s="1246"/>
      <c r="E216" s="1298"/>
    </row>
    <row r="217" spans="1:9" ht="15.75" thickBot="1" x14ac:dyDescent="0.3">
      <c r="A217" s="5" t="s">
        <v>18</v>
      </c>
      <c r="B217" s="1248" t="s">
        <v>106</v>
      </c>
      <c r="C217" s="1249"/>
      <c r="D217" s="1249"/>
      <c r="E217" s="1316"/>
    </row>
    <row r="218" spans="1:9" ht="12.75" customHeight="1" x14ac:dyDescent="0.25">
      <c r="A218" s="1250"/>
      <c r="B218" s="8">
        <v>2018</v>
      </c>
      <c r="C218" s="8">
        <v>2019</v>
      </c>
      <c r="D218" s="8">
        <v>2020</v>
      </c>
      <c r="E218" s="8">
        <v>2021</v>
      </c>
    </row>
    <row r="219" spans="1:9" ht="15.75" thickBot="1" x14ac:dyDescent="0.3">
      <c r="A219" s="1251"/>
      <c r="B219" s="9" t="s">
        <v>10</v>
      </c>
      <c r="C219" s="9" t="s">
        <v>11</v>
      </c>
      <c r="D219" s="9" t="s">
        <v>11</v>
      </c>
      <c r="E219" s="9" t="s">
        <v>11</v>
      </c>
    </row>
    <row r="220" spans="1:9" ht="15.75" thickBot="1" x14ac:dyDescent="0.3">
      <c r="A220" s="5" t="s">
        <v>19</v>
      </c>
      <c r="B220" s="10"/>
      <c r="C220" s="10"/>
      <c r="D220" s="10"/>
      <c r="E220" s="10"/>
    </row>
    <row r="221" spans="1:9" ht="15.75" thickBot="1" x14ac:dyDescent="0.3">
      <c r="A221" s="5" t="s">
        <v>20</v>
      </c>
      <c r="B221" s="10"/>
      <c r="C221" s="10"/>
      <c r="D221" s="10"/>
      <c r="E221" s="10"/>
    </row>
    <row r="222" spans="1:9" ht="15.75" thickBot="1" x14ac:dyDescent="0.3">
      <c r="A222" s="5" t="s">
        <v>21</v>
      </c>
      <c r="B222" s="10" t="e">
        <f>B221/B220</f>
        <v>#DIV/0!</v>
      </c>
      <c r="C222" s="10" t="e">
        <f>C221/C220</f>
        <v>#DIV/0!</v>
      </c>
      <c r="D222" s="10" t="e">
        <f>D221/D220</f>
        <v>#DIV/0!</v>
      </c>
      <c r="E222" s="10" t="e">
        <f>E221/E220</f>
        <v>#DIV/0!</v>
      </c>
    </row>
    <row r="223" spans="1:9" ht="15.75" thickBot="1" x14ac:dyDescent="0.3">
      <c r="A223" s="5" t="s">
        <v>22</v>
      </c>
      <c r="B223" s="260" t="s">
        <v>23</v>
      </c>
      <c r="C223" s="11" t="e">
        <f t="shared" ref="C223:E225" si="8">C220/B220-1</f>
        <v>#DIV/0!</v>
      </c>
      <c r="D223" s="11" t="e">
        <f t="shared" si="8"/>
        <v>#DIV/0!</v>
      </c>
      <c r="E223" s="11" t="e">
        <f t="shared" si="8"/>
        <v>#DIV/0!</v>
      </c>
      <c r="F223" s="12"/>
      <c r="G223" s="12"/>
      <c r="H223" s="12"/>
      <c r="I223" s="12"/>
    </row>
    <row r="224" spans="1:9" ht="23.25" thickBot="1" x14ac:dyDescent="0.3">
      <c r="A224" s="5" t="s">
        <v>24</v>
      </c>
      <c r="B224" s="260" t="s">
        <v>23</v>
      </c>
      <c r="C224" s="11" t="e">
        <f t="shared" si="8"/>
        <v>#DIV/0!</v>
      </c>
      <c r="D224" s="11" t="e">
        <f t="shared" si="8"/>
        <v>#DIV/0!</v>
      </c>
      <c r="E224" s="11" t="e">
        <f t="shared" si="8"/>
        <v>#DIV/0!</v>
      </c>
    </row>
    <row r="225" spans="1:5" ht="23.25" thickBot="1" x14ac:dyDescent="0.3">
      <c r="A225" s="5" t="s">
        <v>25</v>
      </c>
      <c r="B225" s="260" t="s">
        <v>23</v>
      </c>
      <c r="C225" s="11" t="e">
        <f t="shared" si="8"/>
        <v>#DIV/0!</v>
      </c>
      <c r="D225" s="11" t="e">
        <f t="shared" si="8"/>
        <v>#DIV/0!</v>
      </c>
      <c r="E225" s="11" t="e">
        <f t="shared" si="8"/>
        <v>#DIV/0!</v>
      </c>
    </row>
    <row r="226" spans="1:5" ht="15.75" thickBot="1" x14ac:dyDescent="0.3">
      <c r="A226" s="1252" t="s">
        <v>633</v>
      </c>
      <c r="B226" s="1253"/>
      <c r="C226" s="1253"/>
      <c r="D226" s="1253"/>
      <c r="E226" s="1300"/>
    </row>
    <row r="227" spans="1:5" ht="12.75" customHeight="1" x14ac:dyDescent="0.25">
      <c r="A227" s="1250"/>
      <c r="B227" s="8">
        <v>2018</v>
      </c>
      <c r="C227" s="8">
        <v>2019</v>
      </c>
      <c r="D227" s="8">
        <v>2020</v>
      </c>
      <c r="E227" s="8">
        <v>2021</v>
      </c>
    </row>
    <row r="228" spans="1:5" ht="9" customHeight="1" thickBot="1" x14ac:dyDescent="0.3">
      <c r="A228" s="1251"/>
      <c r="B228" s="9" t="s">
        <v>10</v>
      </c>
      <c r="C228" s="9" t="s">
        <v>11</v>
      </c>
      <c r="D228" s="9" t="s">
        <v>11</v>
      </c>
      <c r="E228" s="9" t="s">
        <v>11</v>
      </c>
    </row>
    <row r="229" spans="1:5" ht="24.75" thickBot="1" x14ac:dyDescent="0.3">
      <c r="A229" s="13" t="s">
        <v>58</v>
      </c>
      <c r="B229" s="14"/>
      <c r="C229" s="14"/>
      <c r="D229" s="14"/>
      <c r="E229" s="14"/>
    </row>
    <row r="230" spans="1:5" ht="15.75" thickBot="1" x14ac:dyDescent="0.3">
      <c r="A230" s="13" t="s">
        <v>59</v>
      </c>
      <c r="B230" s="15"/>
      <c r="C230" s="14"/>
      <c r="D230" s="14"/>
      <c r="E230" s="14"/>
    </row>
    <row r="231" spans="1:5" ht="24.75" thickBot="1" x14ac:dyDescent="0.3">
      <c r="A231" s="16" t="s">
        <v>40</v>
      </c>
      <c r="B231" s="15">
        <f>B230+B229</f>
        <v>0</v>
      </c>
      <c r="C231" s="15">
        <f>C230+C229</f>
        <v>0</v>
      </c>
      <c r="D231" s="15">
        <f>D230+D229</f>
        <v>0</v>
      </c>
      <c r="E231" s="15">
        <f>E230+E229</f>
        <v>0</v>
      </c>
    </row>
    <row r="232" spans="1:5" ht="23.25" thickBot="1" x14ac:dyDescent="0.3">
      <c r="A232" s="20" t="s">
        <v>61</v>
      </c>
      <c r="B232" s="1241" t="s">
        <v>124</v>
      </c>
      <c r="C232" s="1242"/>
      <c r="D232" s="1242"/>
      <c r="E232" s="1318"/>
    </row>
    <row r="233" spans="1:5" ht="15.75" thickBot="1" x14ac:dyDescent="0.3">
      <c r="A233" s="7" t="s">
        <v>42</v>
      </c>
      <c r="B233" s="1243" t="s">
        <v>106</v>
      </c>
      <c r="C233" s="1244"/>
      <c r="D233" s="1244"/>
      <c r="E233" s="1315"/>
    </row>
    <row r="234" spans="1:5" ht="17.25" customHeight="1" thickBot="1" x14ac:dyDescent="0.3">
      <c r="A234" s="5" t="s">
        <v>17</v>
      </c>
      <c r="B234" s="1245" t="s">
        <v>106</v>
      </c>
      <c r="C234" s="1246"/>
      <c r="D234" s="1246"/>
      <c r="E234" s="1298"/>
    </row>
    <row r="235" spans="1:5" ht="15.75" thickBot="1" x14ac:dyDescent="0.3">
      <c r="A235" s="5" t="s">
        <v>18</v>
      </c>
      <c r="B235" s="1248" t="s">
        <v>106</v>
      </c>
      <c r="C235" s="1249"/>
      <c r="D235" s="1249"/>
      <c r="E235" s="1316"/>
    </row>
    <row r="236" spans="1:5" ht="12.75" customHeight="1" x14ac:dyDescent="0.25">
      <c r="A236" s="1250"/>
      <c r="B236" s="8">
        <v>2018</v>
      </c>
      <c r="C236" s="8">
        <v>2019</v>
      </c>
      <c r="D236" s="8">
        <v>2020</v>
      </c>
      <c r="E236" s="8">
        <v>2021</v>
      </c>
    </row>
    <row r="237" spans="1:5" ht="15.75" thickBot="1" x14ac:dyDescent="0.3">
      <c r="A237" s="1251"/>
      <c r="B237" s="9" t="s">
        <v>10</v>
      </c>
      <c r="C237" s="9" t="s">
        <v>11</v>
      </c>
      <c r="D237" s="9" t="s">
        <v>11</v>
      </c>
      <c r="E237" s="9" t="s">
        <v>11</v>
      </c>
    </row>
    <row r="238" spans="1:5" ht="15.75" thickBot="1" x14ac:dyDescent="0.3">
      <c r="A238" s="5" t="s">
        <v>19</v>
      </c>
      <c r="B238" s="10"/>
      <c r="C238" s="10"/>
      <c r="D238" s="10"/>
      <c r="E238" s="10"/>
    </row>
    <row r="239" spans="1:5" ht="15.75" thickBot="1" x14ac:dyDescent="0.3">
      <c r="A239" s="5" t="s">
        <v>20</v>
      </c>
      <c r="B239" s="10"/>
      <c r="C239" s="10"/>
      <c r="D239" s="10"/>
      <c r="E239" s="10"/>
    </row>
    <row r="240" spans="1:5" ht="15.75" thickBot="1" x14ac:dyDescent="0.3">
      <c r="A240" s="5" t="s">
        <v>21</v>
      </c>
      <c r="B240" s="10" t="e">
        <f>B239/B238</f>
        <v>#DIV/0!</v>
      </c>
      <c r="C240" s="10" t="e">
        <f>C239/C238</f>
        <v>#DIV/0!</v>
      </c>
      <c r="D240" s="10" t="e">
        <f>D239/D238</f>
        <v>#DIV/0!</v>
      </c>
      <c r="E240" s="10" t="e">
        <f>E239/E238</f>
        <v>#DIV/0!</v>
      </c>
    </row>
    <row r="241" spans="1:9" ht="15.75" thickBot="1" x14ac:dyDescent="0.3">
      <c r="A241" s="5" t="s">
        <v>22</v>
      </c>
      <c r="B241" s="260" t="s">
        <v>23</v>
      </c>
      <c r="C241" s="11" t="e">
        <f t="shared" ref="C241:E243" si="9">C238/B238-1</f>
        <v>#DIV/0!</v>
      </c>
      <c r="D241" s="11" t="e">
        <f t="shared" si="9"/>
        <v>#DIV/0!</v>
      </c>
      <c r="E241" s="11" t="e">
        <f t="shared" si="9"/>
        <v>#DIV/0!</v>
      </c>
      <c r="F241" s="12"/>
      <c r="G241" s="12"/>
      <c r="H241" s="12"/>
      <c r="I241" s="12"/>
    </row>
    <row r="242" spans="1:9" ht="23.25" thickBot="1" x14ac:dyDescent="0.3">
      <c r="A242" s="5" t="s">
        <v>24</v>
      </c>
      <c r="B242" s="260" t="s">
        <v>23</v>
      </c>
      <c r="C242" s="11" t="e">
        <f t="shared" si="9"/>
        <v>#DIV/0!</v>
      </c>
      <c r="D242" s="11" t="e">
        <f t="shared" si="9"/>
        <v>#DIV/0!</v>
      </c>
      <c r="E242" s="11" t="e">
        <f t="shared" si="9"/>
        <v>#DIV/0!</v>
      </c>
    </row>
    <row r="243" spans="1:9" ht="23.25" thickBot="1" x14ac:dyDescent="0.3">
      <c r="A243" s="5" t="s">
        <v>25</v>
      </c>
      <c r="B243" s="260" t="s">
        <v>23</v>
      </c>
      <c r="C243" s="11" t="e">
        <f t="shared" si="9"/>
        <v>#DIV/0!</v>
      </c>
      <c r="D243" s="11" t="e">
        <f t="shared" si="9"/>
        <v>#DIV/0!</v>
      </c>
      <c r="E243" s="11" t="e">
        <f t="shared" si="9"/>
        <v>#DIV/0!</v>
      </c>
    </row>
    <row r="244" spans="1:9" ht="15.75" thickBot="1" x14ac:dyDescent="0.3">
      <c r="A244" s="1252" t="s">
        <v>635</v>
      </c>
      <c r="B244" s="1253"/>
      <c r="C244" s="1253"/>
      <c r="D244" s="1253"/>
      <c r="E244" s="1300"/>
    </row>
    <row r="245" spans="1:9" ht="12.75" customHeight="1" x14ac:dyDescent="0.25">
      <c r="A245" s="1250"/>
      <c r="B245" s="8">
        <v>2018</v>
      </c>
      <c r="C245" s="8">
        <v>2019</v>
      </c>
      <c r="D245" s="8">
        <v>2020</v>
      </c>
      <c r="E245" s="8">
        <v>2021</v>
      </c>
    </row>
    <row r="246" spans="1:9" ht="9" customHeight="1" thickBot="1" x14ac:dyDescent="0.3">
      <c r="A246" s="1251"/>
      <c r="B246" s="9" t="s">
        <v>10</v>
      </c>
      <c r="C246" s="9" t="s">
        <v>11</v>
      </c>
      <c r="D246" s="9" t="s">
        <v>11</v>
      </c>
      <c r="E246" s="9" t="s">
        <v>11</v>
      </c>
    </row>
    <row r="247" spans="1:9" ht="24.75" thickBot="1" x14ac:dyDescent="0.3">
      <c r="A247" s="13" t="s">
        <v>58</v>
      </c>
      <c r="B247" s="14"/>
      <c r="C247" s="14"/>
      <c r="D247" s="14"/>
      <c r="E247" s="14"/>
    </row>
    <row r="248" spans="1:9" ht="15.75" thickBot="1" x14ac:dyDescent="0.3">
      <c r="A248" s="13" t="s">
        <v>59</v>
      </c>
      <c r="B248" s="15"/>
      <c r="C248" s="14"/>
      <c r="D248" s="14"/>
      <c r="E248" s="14"/>
    </row>
    <row r="249" spans="1:9" ht="24.75" thickBot="1" x14ac:dyDescent="0.3">
      <c r="A249" s="16" t="s">
        <v>74</v>
      </c>
      <c r="B249" s="15">
        <f>B248+B247</f>
        <v>0</v>
      </c>
      <c r="C249" s="15">
        <f>C248+C247</f>
        <v>0</v>
      </c>
      <c r="D249" s="15">
        <f>D248+D247</f>
        <v>0</v>
      </c>
      <c r="E249" s="15">
        <f>E248+E247</f>
        <v>0</v>
      </c>
    </row>
    <row r="250" spans="1:9" ht="15.75" thickBot="1" x14ac:dyDescent="0.3">
      <c r="A250" s="1275" t="s">
        <v>63</v>
      </c>
      <c r="B250" s="1276"/>
      <c r="C250" s="1276"/>
      <c r="D250" s="1276"/>
      <c r="E250" s="1317"/>
    </row>
    <row r="251" spans="1:9" ht="15.75" thickBot="1" x14ac:dyDescent="0.3">
      <c r="A251" s="1275" t="s">
        <v>64</v>
      </c>
      <c r="B251" s="1276"/>
      <c r="C251" s="1276"/>
      <c r="D251" s="1276"/>
      <c r="E251" s="1317"/>
    </row>
    <row r="252" spans="1:9" ht="23.25" thickBot="1" x14ac:dyDescent="0.3">
      <c r="A252" s="20" t="s">
        <v>61</v>
      </c>
      <c r="B252" s="1241" t="s">
        <v>124</v>
      </c>
      <c r="C252" s="1242"/>
      <c r="D252" s="1242"/>
      <c r="E252" s="1318"/>
    </row>
    <row r="253" spans="1:9" ht="15.75" thickBot="1" x14ac:dyDescent="0.3">
      <c r="A253" s="7" t="s">
        <v>16</v>
      </c>
      <c r="B253" s="1243" t="s">
        <v>283</v>
      </c>
      <c r="C253" s="1244"/>
      <c r="D253" s="1244"/>
      <c r="E253" s="1315"/>
    </row>
    <row r="254" spans="1:9" ht="17.25" customHeight="1" thickBot="1" x14ac:dyDescent="0.3">
      <c r="A254" s="5" t="s">
        <v>17</v>
      </c>
      <c r="B254" s="1245" t="s">
        <v>284</v>
      </c>
      <c r="C254" s="1246"/>
      <c r="D254" s="1246"/>
      <c r="E254" s="1298"/>
    </row>
    <row r="255" spans="1:9" ht="15.75" thickBot="1" x14ac:dyDescent="0.3">
      <c r="A255" s="5" t="s">
        <v>18</v>
      </c>
      <c r="B255" s="1248" t="s">
        <v>285</v>
      </c>
      <c r="C255" s="1249"/>
      <c r="D255" s="1249"/>
      <c r="E255" s="1316"/>
    </row>
    <row r="256" spans="1:9" ht="12.75" customHeight="1" x14ac:dyDescent="0.25">
      <c r="A256" s="1250"/>
      <c r="B256" s="8">
        <v>2018</v>
      </c>
      <c r="C256" s="8">
        <v>2019</v>
      </c>
      <c r="D256" s="8">
        <v>2020</v>
      </c>
      <c r="E256" s="8">
        <v>2021</v>
      </c>
    </row>
    <row r="257" spans="1:9" ht="15.75" thickBot="1" x14ac:dyDescent="0.3">
      <c r="A257" s="1251"/>
      <c r="B257" s="9" t="s">
        <v>10</v>
      </c>
      <c r="C257" s="9" t="s">
        <v>11</v>
      </c>
      <c r="D257" s="9" t="s">
        <v>11</v>
      </c>
      <c r="E257" s="9" t="s">
        <v>11</v>
      </c>
    </row>
    <row r="258" spans="1:9" ht="15.75" thickBot="1" x14ac:dyDescent="0.3">
      <c r="A258" s="5" t="s">
        <v>19</v>
      </c>
      <c r="B258" s="10">
        <v>10</v>
      </c>
      <c r="C258" s="10">
        <v>10</v>
      </c>
      <c r="D258" s="10">
        <v>10</v>
      </c>
      <c r="E258" s="10">
        <v>10</v>
      </c>
    </row>
    <row r="259" spans="1:9" ht="15.75" thickBot="1" x14ac:dyDescent="0.3">
      <c r="A259" s="5" t="s">
        <v>20</v>
      </c>
      <c r="B259" s="10">
        <v>100000</v>
      </c>
      <c r="C259" s="10">
        <v>100000</v>
      </c>
      <c r="D259" s="10">
        <v>100000</v>
      </c>
      <c r="E259" s="10">
        <v>100000</v>
      </c>
    </row>
    <row r="260" spans="1:9" ht="15.75" thickBot="1" x14ac:dyDescent="0.3">
      <c r="A260" s="5" t="s">
        <v>21</v>
      </c>
      <c r="B260" s="10">
        <f>B259/B258</f>
        <v>10000</v>
      </c>
      <c r="C260" s="10">
        <f>C259/C258</f>
        <v>10000</v>
      </c>
      <c r="D260" s="10">
        <f>D259/D258</f>
        <v>10000</v>
      </c>
      <c r="E260" s="10">
        <f>E259/E258</f>
        <v>10000</v>
      </c>
    </row>
    <row r="261" spans="1:9" ht="15.75" thickBot="1" x14ac:dyDescent="0.3">
      <c r="A261" s="5" t="s">
        <v>22</v>
      </c>
      <c r="B261" s="260" t="s">
        <v>23</v>
      </c>
      <c r="C261" s="11">
        <f t="shared" ref="C261:E263" si="10">C258/B258-1</f>
        <v>0</v>
      </c>
      <c r="D261" s="11">
        <f t="shared" si="10"/>
        <v>0</v>
      </c>
      <c r="E261" s="11">
        <f t="shared" si="10"/>
        <v>0</v>
      </c>
      <c r="F261" s="12"/>
      <c r="G261" s="12"/>
      <c r="H261" s="12"/>
      <c r="I261" s="12"/>
    </row>
    <row r="262" spans="1:9" ht="23.25" thickBot="1" x14ac:dyDescent="0.3">
      <c r="A262" s="5" t="s">
        <v>24</v>
      </c>
      <c r="B262" s="260" t="s">
        <v>23</v>
      </c>
      <c r="C262" s="11">
        <f t="shared" si="10"/>
        <v>0</v>
      </c>
      <c r="D262" s="11">
        <f t="shared" si="10"/>
        <v>0</v>
      </c>
      <c r="E262" s="11">
        <f t="shared" si="10"/>
        <v>0</v>
      </c>
    </row>
    <row r="263" spans="1:9" ht="23.25" thickBot="1" x14ac:dyDescent="0.3">
      <c r="A263" s="5" t="s">
        <v>25</v>
      </c>
      <c r="B263" s="260" t="s">
        <v>23</v>
      </c>
      <c r="C263" s="11">
        <f t="shared" si="10"/>
        <v>0</v>
      </c>
      <c r="D263" s="11">
        <f t="shared" si="10"/>
        <v>0</v>
      </c>
      <c r="E263" s="11">
        <f t="shared" si="10"/>
        <v>0</v>
      </c>
    </row>
    <row r="264" spans="1:9" ht="15.75" thickBot="1" x14ac:dyDescent="0.3">
      <c r="A264" s="1252" t="s">
        <v>633</v>
      </c>
      <c r="B264" s="1253"/>
      <c r="C264" s="1253"/>
      <c r="D264" s="1253"/>
      <c r="E264" s="1300"/>
    </row>
    <row r="265" spans="1:9" ht="12.75" customHeight="1" x14ac:dyDescent="0.25">
      <c r="A265" s="1250"/>
      <c r="B265" s="8">
        <v>2018</v>
      </c>
      <c r="C265" s="8">
        <v>2019</v>
      </c>
      <c r="D265" s="8">
        <v>2020</v>
      </c>
      <c r="E265" s="8">
        <v>2021</v>
      </c>
    </row>
    <row r="266" spans="1:9" ht="15.75" thickBot="1" x14ac:dyDescent="0.3">
      <c r="A266" s="1251"/>
      <c r="B266" s="9" t="s">
        <v>10</v>
      </c>
      <c r="C266" s="9" t="s">
        <v>11</v>
      </c>
      <c r="D266" s="9" t="s">
        <v>11</v>
      </c>
      <c r="E266" s="9" t="s">
        <v>11</v>
      </c>
    </row>
    <row r="267" spans="1:9" ht="24.75" thickBot="1" x14ac:dyDescent="0.3">
      <c r="A267" s="13" t="s">
        <v>58</v>
      </c>
      <c r="B267" s="14"/>
      <c r="C267" s="14"/>
      <c r="D267" s="14"/>
      <c r="E267" s="14"/>
    </row>
    <row r="268" spans="1:9" ht="15.75" thickBot="1" x14ac:dyDescent="0.3">
      <c r="A268" s="13" t="s">
        <v>59</v>
      </c>
      <c r="B268" s="15">
        <v>100000</v>
      </c>
      <c r="C268" s="14">
        <v>100000</v>
      </c>
      <c r="D268" s="14">
        <v>100000</v>
      </c>
      <c r="E268" s="14">
        <v>100000</v>
      </c>
    </row>
    <row r="269" spans="1:9" ht="24.75" thickBot="1" x14ac:dyDescent="0.3">
      <c r="A269" s="16" t="s">
        <v>40</v>
      </c>
      <c r="B269" s="15">
        <f>B268+B267</f>
        <v>100000</v>
      </c>
      <c r="C269" s="15">
        <f>C268+C267</f>
        <v>100000</v>
      </c>
      <c r="D269" s="15">
        <f>D268+D267</f>
        <v>100000</v>
      </c>
      <c r="E269" s="15">
        <f>E268+E267</f>
        <v>100000</v>
      </c>
    </row>
    <row r="270" spans="1:9" ht="23.25" thickBot="1" x14ac:dyDescent="0.3">
      <c r="A270" s="20" t="s">
        <v>61</v>
      </c>
      <c r="B270" s="1241" t="s">
        <v>124</v>
      </c>
      <c r="C270" s="1242"/>
      <c r="D270" s="1242"/>
      <c r="E270" s="1318"/>
    </row>
    <row r="271" spans="1:9" ht="15.75" thickBot="1" x14ac:dyDescent="0.3">
      <c r="A271" s="7" t="s">
        <v>42</v>
      </c>
      <c r="B271" s="1243" t="s">
        <v>125</v>
      </c>
      <c r="C271" s="1244"/>
      <c r="D271" s="1244"/>
      <c r="E271" s="1315"/>
    </row>
    <row r="272" spans="1:9" ht="17.25" customHeight="1" thickBot="1" x14ac:dyDescent="0.3">
      <c r="A272" s="5" t="s">
        <v>17</v>
      </c>
      <c r="B272" s="1245" t="s">
        <v>286</v>
      </c>
      <c r="C272" s="1246"/>
      <c r="D272" s="1246"/>
      <c r="E272" s="1298"/>
    </row>
    <row r="273" spans="1:9" ht="15.75" thickBot="1" x14ac:dyDescent="0.3">
      <c r="A273" s="5" t="s">
        <v>18</v>
      </c>
      <c r="B273" s="1248" t="s">
        <v>144</v>
      </c>
      <c r="C273" s="1249"/>
      <c r="D273" s="1249"/>
      <c r="E273" s="1316"/>
    </row>
    <row r="274" spans="1:9" ht="12.75" customHeight="1" x14ac:dyDescent="0.25">
      <c r="A274" s="1250"/>
      <c r="B274" s="8">
        <v>2018</v>
      </c>
      <c r="C274" s="8">
        <v>2019</v>
      </c>
      <c r="D274" s="8">
        <v>2020</v>
      </c>
      <c r="E274" s="8">
        <v>2021</v>
      </c>
    </row>
    <row r="275" spans="1:9" ht="15.75" thickBot="1" x14ac:dyDescent="0.3">
      <c r="A275" s="1251"/>
      <c r="B275" s="9" t="s">
        <v>10</v>
      </c>
      <c r="C275" s="9" t="s">
        <v>11</v>
      </c>
      <c r="D275" s="9" t="s">
        <v>11</v>
      </c>
      <c r="E275" s="9" t="s">
        <v>11</v>
      </c>
    </row>
    <row r="276" spans="1:9" ht="15.75" thickBot="1" x14ac:dyDescent="0.3">
      <c r="A276" s="5" t="s">
        <v>19</v>
      </c>
      <c r="B276" s="10">
        <v>4</v>
      </c>
      <c r="C276" s="10">
        <v>4</v>
      </c>
      <c r="D276" s="10">
        <v>4</v>
      </c>
      <c r="E276" s="10">
        <v>4</v>
      </c>
    </row>
    <row r="277" spans="1:9" ht="15.75" thickBot="1" x14ac:dyDescent="0.3">
      <c r="A277" s="5" t="s">
        <v>20</v>
      </c>
      <c r="B277" s="10">
        <v>120000</v>
      </c>
      <c r="C277" s="10">
        <v>120000</v>
      </c>
      <c r="D277" s="10">
        <v>120000</v>
      </c>
      <c r="E277" s="10">
        <v>120000</v>
      </c>
    </row>
    <row r="278" spans="1:9" ht="15.75" thickBot="1" x14ac:dyDescent="0.3">
      <c r="A278" s="5" t="s">
        <v>21</v>
      </c>
      <c r="B278" s="10">
        <f>B277/B276</f>
        <v>30000</v>
      </c>
      <c r="C278" s="10">
        <f>C277/C276</f>
        <v>30000</v>
      </c>
      <c r="D278" s="10">
        <f>D277/D276</f>
        <v>30000</v>
      </c>
      <c r="E278" s="10">
        <f>E277/E276</f>
        <v>30000</v>
      </c>
    </row>
    <row r="279" spans="1:9" ht="15.75" thickBot="1" x14ac:dyDescent="0.3">
      <c r="A279" s="5" t="s">
        <v>22</v>
      </c>
      <c r="B279" s="260" t="s">
        <v>23</v>
      </c>
      <c r="C279" s="11">
        <f t="shared" ref="C279:E281" si="11">C276/B276-1</f>
        <v>0</v>
      </c>
      <c r="D279" s="11">
        <f t="shared" si="11"/>
        <v>0</v>
      </c>
      <c r="E279" s="11">
        <f t="shared" si="11"/>
        <v>0</v>
      </c>
      <c r="F279" s="12"/>
      <c r="G279" s="12"/>
      <c r="H279" s="12"/>
      <c r="I279" s="12"/>
    </row>
    <row r="280" spans="1:9" ht="23.25" thickBot="1" x14ac:dyDescent="0.3">
      <c r="A280" s="5" t="s">
        <v>24</v>
      </c>
      <c r="B280" s="260" t="s">
        <v>23</v>
      </c>
      <c r="C280" s="11">
        <f t="shared" si="11"/>
        <v>0</v>
      </c>
      <c r="D280" s="11">
        <f t="shared" si="11"/>
        <v>0</v>
      </c>
      <c r="E280" s="11">
        <f t="shared" si="11"/>
        <v>0</v>
      </c>
    </row>
    <row r="281" spans="1:9" ht="23.25" thickBot="1" x14ac:dyDescent="0.3">
      <c r="A281" s="5" t="s">
        <v>25</v>
      </c>
      <c r="B281" s="260" t="s">
        <v>23</v>
      </c>
      <c r="C281" s="11">
        <f t="shared" si="11"/>
        <v>0</v>
      </c>
      <c r="D281" s="11">
        <f t="shared" si="11"/>
        <v>0</v>
      </c>
      <c r="E281" s="11">
        <f t="shared" si="11"/>
        <v>0</v>
      </c>
    </row>
    <row r="282" spans="1:9" ht="15.75" thickBot="1" x14ac:dyDescent="0.3">
      <c r="A282" s="1252" t="s">
        <v>884</v>
      </c>
      <c r="B282" s="1253"/>
      <c r="C282" s="1253"/>
      <c r="D282" s="1253"/>
      <c r="E282" s="1300"/>
    </row>
    <row r="283" spans="1:9" ht="12.75" customHeight="1" x14ac:dyDescent="0.25">
      <c r="A283" s="1250"/>
      <c r="B283" s="8">
        <v>2018</v>
      </c>
      <c r="C283" s="8">
        <v>2019</v>
      </c>
      <c r="D283" s="8">
        <v>2020</v>
      </c>
      <c r="E283" s="8">
        <v>2021</v>
      </c>
    </row>
    <row r="284" spans="1:9" ht="15.75" thickBot="1" x14ac:dyDescent="0.3">
      <c r="A284" s="1251"/>
      <c r="B284" s="9" t="s">
        <v>10</v>
      </c>
      <c r="C284" s="9" t="s">
        <v>11</v>
      </c>
      <c r="D284" s="9" t="s">
        <v>11</v>
      </c>
      <c r="E284" s="9" t="s">
        <v>11</v>
      </c>
    </row>
    <row r="285" spans="1:9" ht="24.75" thickBot="1" x14ac:dyDescent="0.3">
      <c r="A285" s="13" t="s">
        <v>58</v>
      </c>
      <c r="B285" s="14"/>
      <c r="C285" s="14"/>
      <c r="D285" s="14"/>
      <c r="E285" s="14"/>
    </row>
    <row r="286" spans="1:9" ht="15.75" thickBot="1" x14ac:dyDescent="0.3">
      <c r="A286" s="13" t="s">
        <v>59</v>
      </c>
      <c r="B286" s="15">
        <v>120000</v>
      </c>
      <c r="C286" s="14">
        <v>120000</v>
      </c>
      <c r="D286" s="14">
        <v>120000</v>
      </c>
      <c r="E286" s="14">
        <v>120000</v>
      </c>
    </row>
    <row r="287" spans="1:9" ht="24.75" thickBot="1" x14ac:dyDescent="0.3">
      <c r="A287" s="16" t="s">
        <v>43</v>
      </c>
      <c r="B287" s="15">
        <f>B286+B285</f>
        <v>120000</v>
      </c>
      <c r="C287" s="15">
        <f>C286+C285</f>
        <v>120000</v>
      </c>
      <c r="D287" s="15">
        <f>D286+D285</f>
        <v>120000</v>
      </c>
      <c r="E287" s="15">
        <f>E286+E285</f>
        <v>120000</v>
      </c>
    </row>
    <row r="288" spans="1:9" ht="23.25" thickBot="1" x14ac:dyDescent="0.3">
      <c r="A288" s="20" t="s">
        <v>61</v>
      </c>
      <c r="B288" s="1241" t="s">
        <v>124</v>
      </c>
      <c r="C288" s="1242"/>
      <c r="D288" s="1242"/>
      <c r="E288" s="1318"/>
    </row>
    <row r="289" spans="1:9" ht="15.75" thickBot="1" x14ac:dyDescent="0.3">
      <c r="A289" s="7" t="s">
        <v>44</v>
      </c>
      <c r="B289" s="1243" t="s">
        <v>287</v>
      </c>
      <c r="C289" s="1244"/>
      <c r="D289" s="1244"/>
      <c r="E289" s="1315"/>
    </row>
    <row r="290" spans="1:9" ht="17.25" customHeight="1" thickBot="1" x14ac:dyDescent="0.3">
      <c r="A290" s="5" t="s">
        <v>17</v>
      </c>
      <c r="B290" s="1245" t="s">
        <v>288</v>
      </c>
      <c r="C290" s="1246"/>
      <c r="D290" s="1246"/>
      <c r="E290" s="1298"/>
    </row>
    <row r="291" spans="1:9" ht="15.75" thickBot="1" x14ac:dyDescent="0.3">
      <c r="A291" s="5" t="s">
        <v>18</v>
      </c>
      <c r="B291" s="1248" t="s">
        <v>144</v>
      </c>
      <c r="C291" s="1249"/>
      <c r="D291" s="1249"/>
      <c r="E291" s="1316"/>
    </row>
    <row r="292" spans="1:9" ht="12.75" customHeight="1" x14ac:dyDescent="0.25">
      <c r="A292" s="1250"/>
      <c r="B292" s="8">
        <v>2018</v>
      </c>
      <c r="C292" s="8">
        <v>2019</v>
      </c>
      <c r="D292" s="8">
        <v>2020</v>
      </c>
      <c r="E292" s="8">
        <v>2021</v>
      </c>
    </row>
    <row r="293" spans="1:9" ht="15.75" thickBot="1" x14ac:dyDescent="0.3">
      <c r="A293" s="1251"/>
      <c r="B293" s="9" t="s">
        <v>10</v>
      </c>
      <c r="C293" s="9" t="s">
        <v>11</v>
      </c>
      <c r="D293" s="9" t="s">
        <v>11</v>
      </c>
      <c r="E293" s="9" t="s">
        <v>11</v>
      </c>
    </row>
    <row r="294" spans="1:9" ht="15.75" thickBot="1" x14ac:dyDescent="0.3">
      <c r="A294" s="5" t="s">
        <v>19</v>
      </c>
      <c r="B294" s="10">
        <v>5</v>
      </c>
      <c r="C294" s="10">
        <v>8</v>
      </c>
      <c r="D294" s="10">
        <v>8</v>
      </c>
      <c r="E294" s="10">
        <v>8</v>
      </c>
    </row>
    <row r="295" spans="1:9" ht="15.75" thickBot="1" x14ac:dyDescent="0.3">
      <c r="A295" s="5" t="s">
        <v>20</v>
      </c>
      <c r="B295" s="10">
        <v>780000</v>
      </c>
      <c r="C295" s="10">
        <v>780000</v>
      </c>
      <c r="D295" s="10">
        <v>780000</v>
      </c>
      <c r="E295" s="10">
        <v>780000</v>
      </c>
    </row>
    <row r="296" spans="1:9" ht="15.75" thickBot="1" x14ac:dyDescent="0.3">
      <c r="A296" s="5" t="s">
        <v>21</v>
      </c>
      <c r="B296" s="10">
        <f>B295/B294</f>
        <v>156000</v>
      </c>
      <c r="C296" s="10">
        <f>C295/C294</f>
        <v>97500</v>
      </c>
      <c r="D296" s="10">
        <f>D295/D294</f>
        <v>97500</v>
      </c>
      <c r="E296" s="10">
        <f>E295/E294</f>
        <v>97500</v>
      </c>
    </row>
    <row r="297" spans="1:9" ht="15.75" thickBot="1" x14ac:dyDescent="0.3">
      <c r="A297" s="5" t="s">
        <v>22</v>
      </c>
      <c r="B297" s="260" t="s">
        <v>23</v>
      </c>
      <c r="C297" s="11">
        <f t="shared" ref="C297:E299" si="12">C294/B294-1</f>
        <v>0.60000000000000009</v>
      </c>
      <c r="D297" s="11">
        <f t="shared" si="12"/>
        <v>0</v>
      </c>
      <c r="E297" s="11">
        <f t="shared" si="12"/>
        <v>0</v>
      </c>
      <c r="F297" s="12"/>
      <c r="G297" s="12"/>
      <c r="H297" s="12"/>
      <c r="I297" s="12"/>
    </row>
    <row r="298" spans="1:9" ht="23.25" thickBot="1" x14ac:dyDescent="0.3">
      <c r="A298" s="5" t="s">
        <v>24</v>
      </c>
      <c r="B298" s="260" t="s">
        <v>23</v>
      </c>
      <c r="C298" s="11">
        <f t="shared" si="12"/>
        <v>0</v>
      </c>
      <c r="D298" s="11">
        <f t="shared" si="12"/>
        <v>0</v>
      </c>
      <c r="E298" s="11">
        <f t="shared" si="12"/>
        <v>0</v>
      </c>
    </row>
    <row r="299" spans="1:9" ht="23.25" thickBot="1" x14ac:dyDescent="0.3">
      <c r="A299" s="5" t="s">
        <v>25</v>
      </c>
      <c r="B299" s="260" t="s">
        <v>23</v>
      </c>
      <c r="C299" s="11">
        <f t="shared" si="12"/>
        <v>-0.375</v>
      </c>
      <c r="D299" s="11">
        <f t="shared" si="12"/>
        <v>0</v>
      </c>
      <c r="E299" s="11">
        <f t="shared" si="12"/>
        <v>0</v>
      </c>
    </row>
    <row r="300" spans="1:9" ht="15.75" thickBot="1" x14ac:dyDescent="0.3">
      <c r="A300" s="1252" t="s">
        <v>872</v>
      </c>
      <c r="B300" s="1253"/>
      <c r="C300" s="1253"/>
      <c r="D300" s="1253"/>
      <c r="E300" s="1300"/>
    </row>
    <row r="301" spans="1:9" ht="12.75" customHeight="1" x14ac:dyDescent="0.25">
      <c r="A301" s="1250"/>
      <c r="B301" s="8">
        <v>2018</v>
      </c>
      <c r="C301" s="8">
        <v>2019</v>
      </c>
      <c r="D301" s="8">
        <v>2020</v>
      </c>
      <c r="E301" s="8">
        <v>2021</v>
      </c>
    </row>
    <row r="302" spans="1:9" ht="15.75" thickBot="1" x14ac:dyDescent="0.3">
      <c r="A302" s="1251"/>
      <c r="B302" s="9" t="s">
        <v>10</v>
      </c>
      <c r="C302" s="9" t="s">
        <v>11</v>
      </c>
      <c r="D302" s="9" t="s">
        <v>11</v>
      </c>
      <c r="E302" s="9" t="s">
        <v>11</v>
      </c>
    </row>
    <row r="303" spans="1:9" ht="24.75" thickBot="1" x14ac:dyDescent="0.3">
      <c r="A303" s="13" t="s">
        <v>58</v>
      </c>
      <c r="B303" s="14"/>
      <c r="C303" s="14"/>
      <c r="D303" s="14"/>
      <c r="E303" s="14"/>
    </row>
    <row r="304" spans="1:9" ht="15.75" thickBot="1" x14ac:dyDescent="0.3">
      <c r="A304" s="13" t="s">
        <v>59</v>
      </c>
      <c r="B304" s="15">
        <v>780000</v>
      </c>
      <c r="C304" s="15">
        <v>780000</v>
      </c>
      <c r="D304" s="15">
        <v>780000</v>
      </c>
      <c r="E304" s="15">
        <v>780000</v>
      </c>
    </row>
    <row r="305" spans="1:5" ht="24.75" thickBot="1" x14ac:dyDescent="0.3">
      <c r="A305" s="16" t="s">
        <v>52</v>
      </c>
      <c r="B305" s="15">
        <f>B304+B303</f>
        <v>780000</v>
      </c>
      <c r="C305" s="15">
        <f>C304+C303</f>
        <v>780000</v>
      </c>
      <c r="D305" s="15">
        <f>D304+D303</f>
        <v>780000</v>
      </c>
      <c r="E305" s="15">
        <f>E304+E303</f>
        <v>780000</v>
      </c>
    </row>
    <row r="306" spans="1:5" ht="15.75" thickBot="1" x14ac:dyDescent="0.3">
      <c r="A306" s="22"/>
      <c r="B306" s="23"/>
      <c r="C306" s="23"/>
      <c r="D306" s="23"/>
      <c r="E306" s="23"/>
    </row>
    <row r="307" spans="1:5" ht="27" customHeight="1" thickBot="1" x14ac:dyDescent="0.3">
      <c r="A307" s="6" t="s">
        <v>82</v>
      </c>
      <c r="B307" s="24">
        <f>B277+B259+B239+B221+B195+B172+B146+B128+B108+B87+B61+B38+B295</f>
        <v>41300000</v>
      </c>
      <c r="C307" s="24">
        <f>C277+C259+C239+C221+C195+C172+C146+C128+C108+C87+C61+C38+C295</f>
        <v>41300000</v>
      </c>
      <c r="D307" s="24">
        <f>D277+D259+D239+D221+D195+D172+D146+D128+D108+D87+D61+D38+D295</f>
        <v>42000000</v>
      </c>
      <c r="E307" s="24">
        <f>E277+E259+E239+E221+E195+E172+E146+E128+E108+E87+E61+E38+E295</f>
        <v>42500000</v>
      </c>
    </row>
    <row r="308" spans="1:5" ht="36.75" thickBot="1" x14ac:dyDescent="0.3">
      <c r="A308" s="6" t="s">
        <v>83</v>
      </c>
      <c r="B308" s="24">
        <f>B310+B312+B314+B316+B318+B320+B322+B324+B326</f>
        <v>41300000</v>
      </c>
      <c r="C308" s="24">
        <f>C310+C312+C314+C316+C318+C320+C322+C324+C326</f>
        <v>41300000</v>
      </c>
      <c r="D308" s="24">
        <f>D310+D312+D314+D316+D318+D320+D322+D324+D326</f>
        <v>42000000</v>
      </c>
      <c r="E308" s="24">
        <f>E310+E312+E314+E316+E318+E320+E322+E324+E326</f>
        <v>42500000</v>
      </c>
    </row>
    <row r="309" spans="1:5" ht="36.75" thickBot="1" x14ac:dyDescent="0.3">
      <c r="A309" s="25" t="s">
        <v>84</v>
      </c>
      <c r="B309" s="26"/>
      <c r="C309" s="27">
        <f>C308/B308-1</f>
        <v>0</v>
      </c>
      <c r="D309" s="27">
        <f>D308/C308-1</f>
        <v>1.6949152542372836E-2</v>
      </c>
      <c r="E309" s="27">
        <f>E308/D308-1</f>
        <v>1.1904761904761862E-2</v>
      </c>
    </row>
    <row r="310" spans="1:5" ht="15.75" thickBot="1" x14ac:dyDescent="0.3">
      <c r="A310" s="13" t="s">
        <v>26</v>
      </c>
      <c r="B310" s="14">
        <f>B203+B180+B69+B46</f>
        <v>25706817</v>
      </c>
      <c r="C310" s="14">
        <f>C203+C180+C69+C46</f>
        <v>25706817</v>
      </c>
      <c r="D310" s="14">
        <f>D203+D180+D69+D46</f>
        <v>25706817</v>
      </c>
      <c r="E310" s="14">
        <f>E203+E180+E69+E46</f>
        <v>25706817</v>
      </c>
    </row>
    <row r="311" spans="1:5" ht="15.75" thickBot="1" x14ac:dyDescent="0.3">
      <c r="A311" s="28" t="s">
        <v>85</v>
      </c>
      <c r="B311" s="15"/>
      <c r="C311" s="29">
        <f>C310/B310-1</f>
        <v>0</v>
      </c>
      <c r="D311" s="29">
        <f>D310/C310-1</f>
        <v>0</v>
      </c>
      <c r="E311" s="29">
        <f>E310/D310-1</f>
        <v>0</v>
      </c>
    </row>
    <row r="312" spans="1:5" ht="24.75" thickBot="1" x14ac:dyDescent="0.3">
      <c r="A312" s="13" t="s">
        <v>28</v>
      </c>
      <c r="B312" s="14">
        <f>B204+B181+B70+B47</f>
        <v>4293183</v>
      </c>
      <c r="C312" s="14">
        <f>C204+C181+C70+C47</f>
        <v>4293183</v>
      </c>
      <c r="D312" s="14">
        <f>D204+D181+D70+D47</f>
        <v>4293183</v>
      </c>
      <c r="E312" s="14">
        <f>E204+E181+E70+E47</f>
        <v>4293183</v>
      </c>
    </row>
    <row r="313" spans="1:5" ht="24.75" thickBot="1" x14ac:dyDescent="0.3">
      <c r="A313" s="28" t="s">
        <v>86</v>
      </c>
      <c r="B313" s="15"/>
      <c r="C313" s="29">
        <f>C312/B312-1</f>
        <v>0</v>
      </c>
      <c r="D313" s="29">
        <f>D312/C312-1</f>
        <v>0</v>
      </c>
      <c r="E313" s="29">
        <f>E312/D312-1</f>
        <v>0</v>
      </c>
    </row>
    <row r="314" spans="1:5" ht="24.75" thickBot="1" x14ac:dyDescent="0.3">
      <c r="A314" s="13" t="s">
        <v>30</v>
      </c>
      <c r="B314" s="14">
        <f>B205+B182+B71+B48</f>
        <v>10060000</v>
      </c>
      <c r="C314" s="14">
        <f>C205+C182+C71+C48</f>
        <v>10060000</v>
      </c>
      <c r="D314" s="14">
        <f>D205+D182+D71+D48</f>
        <v>10760000</v>
      </c>
      <c r="E314" s="14">
        <f>E205+E182+E71+E48</f>
        <v>11260000</v>
      </c>
    </row>
    <row r="315" spans="1:5" ht="15" customHeight="1" thickBot="1" x14ac:dyDescent="0.3">
      <c r="A315" s="28" t="s">
        <v>87</v>
      </c>
      <c r="B315" s="15"/>
      <c r="C315" s="29">
        <f>C314/B314-1</f>
        <v>0</v>
      </c>
      <c r="D315" s="29">
        <f>D314/C314-1</f>
        <v>6.9582504970178816E-2</v>
      </c>
      <c r="E315" s="29">
        <f>E314/D314-1</f>
        <v>4.6468401486988942E-2</v>
      </c>
    </row>
    <row r="316" spans="1:5" ht="15.75" thickBot="1" x14ac:dyDescent="0.3">
      <c r="A316" s="13" t="s">
        <v>32</v>
      </c>
      <c r="B316" s="14">
        <f>B206+B183+B72+B49</f>
        <v>0</v>
      </c>
      <c r="C316" s="14">
        <f>C206+C183+C72+C49</f>
        <v>0</v>
      </c>
      <c r="D316" s="14">
        <f>D206+D183+D72+D49</f>
        <v>0</v>
      </c>
      <c r="E316" s="14">
        <f>E206+E183+E72+E49</f>
        <v>0</v>
      </c>
    </row>
    <row r="317" spans="1:5" ht="19.5" customHeight="1" thickBot="1" x14ac:dyDescent="0.3">
      <c r="A317" s="28" t="s">
        <v>88</v>
      </c>
      <c r="B317" s="15"/>
      <c r="C317" s="29" t="e">
        <f>C316/B316-1</f>
        <v>#DIV/0!</v>
      </c>
      <c r="D317" s="29" t="e">
        <f>D316/C316-1</f>
        <v>#DIV/0!</v>
      </c>
      <c r="E317" s="29" t="e">
        <f>E316/D316-1</f>
        <v>#DIV/0!</v>
      </c>
    </row>
    <row r="318" spans="1:5" ht="24.75" thickBot="1" x14ac:dyDescent="0.3">
      <c r="A318" s="13" t="s">
        <v>34</v>
      </c>
      <c r="B318" s="14">
        <f>B207+B184+B73+B50</f>
        <v>0</v>
      </c>
      <c r="C318" s="14">
        <f>C207+C184+C73+C50</f>
        <v>0</v>
      </c>
      <c r="D318" s="14">
        <f>D207+D184+D73+D50</f>
        <v>0</v>
      </c>
      <c r="E318" s="14">
        <f>E207+E184+E73+E50</f>
        <v>0</v>
      </c>
    </row>
    <row r="319" spans="1:5" ht="24.75" thickBot="1" x14ac:dyDescent="0.3">
      <c r="A319" s="28" t="s">
        <v>89</v>
      </c>
      <c r="B319" s="15"/>
      <c r="C319" s="29" t="e">
        <f>C318/B318-1</f>
        <v>#DIV/0!</v>
      </c>
      <c r="D319" s="29" t="e">
        <f>D318/C318-1</f>
        <v>#DIV/0!</v>
      </c>
      <c r="E319" s="29" t="e">
        <f>E318/D318-1</f>
        <v>#DIV/0!</v>
      </c>
    </row>
    <row r="320" spans="1:5" ht="39.75" customHeight="1" thickBot="1" x14ac:dyDescent="0.3">
      <c r="A320" s="13" t="s">
        <v>36</v>
      </c>
      <c r="B320" s="14">
        <f>B208+B185+B74+B51</f>
        <v>0</v>
      </c>
      <c r="C320" s="14">
        <f>C208+C185+C74+C51</f>
        <v>0</v>
      </c>
      <c r="D320" s="14">
        <f>D208+D185+D74+D51</f>
        <v>0</v>
      </c>
      <c r="E320" s="14">
        <f>E208+E185+E74+E51</f>
        <v>0</v>
      </c>
    </row>
    <row r="321" spans="1:5" ht="40.5" customHeight="1" thickBot="1" x14ac:dyDescent="0.3">
      <c r="A321" s="28" t="s">
        <v>90</v>
      </c>
      <c r="B321" s="15"/>
      <c r="C321" s="29" t="e">
        <f>C320/B320-1</f>
        <v>#DIV/0!</v>
      </c>
      <c r="D321" s="29" t="e">
        <f>D320/C320-1</f>
        <v>#DIV/0!</v>
      </c>
      <c r="E321" s="29" t="e">
        <f>E320/D320-1</f>
        <v>#DIV/0!</v>
      </c>
    </row>
    <row r="322" spans="1:5" ht="28.5" customHeight="1" thickBot="1" x14ac:dyDescent="0.3">
      <c r="A322" s="13" t="s">
        <v>38</v>
      </c>
      <c r="B322" s="14">
        <f>B209+B186+B75+B52</f>
        <v>240000</v>
      </c>
      <c r="C322" s="14">
        <f>C209+C186+C75+C52</f>
        <v>240000</v>
      </c>
      <c r="D322" s="14">
        <f>D209+D186+D75+D52</f>
        <v>240000</v>
      </c>
      <c r="E322" s="14">
        <f>E209+E186+E75+E52</f>
        <v>240000</v>
      </c>
    </row>
    <row r="323" spans="1:5" ht="18" customHeight="1" thickBot="1" x14ac:dyDescent="0.3">
      <c r="A323" s="28" t="s">
        <v>91</v>
      </c>
      <c r="B323" s="15"/>
      <c r="C323" s="29">
        <f>C322/B322-1</f>
        <v>0</v>
      </c>
      <c r="D323" s="29">
        <f>D322/C322-1</f>
        <v>0</v>
      </c>
      <c r="E323" s="29">
        <f>E322/D322-1</f>
        <v>0</v>
      </c>
    </row>
    <row r="324" spans="1:5" ht="36" customHeight="1" thickBot="1" x14ac:dyDescent="0.3">
      <c r="A324" s="13" t="s">
        <v>92</v>
      </c>
      <c r="B324" s="14">
        <f>B95+B116+B136+B154+B229+B247+B267+B285</f>
        <v>0</v>
      </c>
      <c r="C324" s="14">
        <f>C95+C116+C136+C154+C229+C247+C267+C285</f>
        <v>0</v>
      </c>
      <c r="D324" s="14">
        <f>D95+D116+D136+D154+D229+D247+D267+D285</f>
        <v>0</v>
      </c>
      <c r="E324" s="14">
        <f>E95+E116+E136+E154+E229+E247+E267+E285</f>
        <v>0</v>
      </c>
    </row>
    <row r="325" spans="1:5" ht="27" customHeight="1" thickBot="1" x14ac:dyDescent="0.3">
      <c r="A325" s="28" t="s">
        <v>93</v>
      </c>
      <c r="B325" s="15"/>
      <c r="C325" s="29" t="e">
        <f>C324/B324-1</f>
        <v>#DIV/0!</v>
      </c>
      <c r="D325" s="29" t="e">
        <f>D324/C324-1</f>
        <v>#DIV/0!</v>
      </c>
      <c r="E325" s="29" t="e">
        <f>E324/D324-1</f>
        <v>#DIV/0!</v>
      </c>
    </row>
    <row r="326" spans="1:5" ht="47.25" customHeight="1" thickBot="1" x14ac:dyDescent="0.3">
      <c r="A326" s="13" t="s">
        <v>94</v>
      </c>
      <c r="B326" s="14">
        <f>B96+B117+B137+B155+B230+B248+B268+B286+B304</f>
        <v>1000000</v>
      </c>
      <c r="C326" s="14">
        <f>C96+C117+C137+C155+C230+C248+C268+C286+C304</f>
        <v>1000000</v>
      </c>
      <c r="D326" s="14">
        <f>D96+D117+D137+D155+D230+D248+D268+D286+D304</f>
        <v>1000000</v>
      </c>
      <c r="E326" s="14">
        <f>E96+E117+E137+E155+E230+E248+E268+E286+E304</f>
        <v>1000000</v>
      </c>
    </row>
    <row r="327" spans="1:5" ht="24.75" thickBot="1" x14ac:dyDescent="0.3">
      <c r="A327" s="28" t="s">
        <v>95</v>
      </c>
      <c r="B327" s="15"/>
      <c r="C327" s="29">
        <f>C326/B326-1</f>
        <v>0</v>
      </c>
      <c r="D327" s="29">
        <f>D326/C326-1</f>
        <v>0</v>
      </c>
      <c r="E327" s="29">
        <f>E326/D326-1</f>
        <v>0</v>
      </c>
    </row>
    <row r="328" spans="1:5" ht="15.75" thickBot="1" x14ac:dyDescent="0.3">
      <c r="A328" s="17" t="s">
        <v>41</v>
      </c>
      <c r="B328" s="18">
        <f>IF(B308-B307=0,0,"Error")</f>
        <v>0</v>
      </c>
      <c r="C328" s="18">
        <f>IF(C308-C307=0,0,"Error")</f>
        <v>0</v>
      </c>
      <c r="D328" s="18">
        <f>IF(D308-D307=0,0,"Error")</f>
        <v>0</v>
      </c>
      <c r="E328" s="18">
        <f>IF(E308-E307=0,0,"Error")</f>
        <v>0</v>
      </c>
    </row>
    <row r="329" spans="1:5" ht="36.75" thickBot="1" x14ac:dyDescent="0.3">
      <c r="A329" s="30" t="s">
        <v>96</v>
      </c>
      <c r="B329" s="14">
        <v>25</v>
      </c>
      <c r="C329" s="14">
        <v>25</v>
      </c>
      <c r="D329" s="14">
        <v>25</v>
      </c>
      <c r="E329" s="14">
        <v>25</v>
      </c>
    </row>
    <row r="330" spans="1:5" ht="36.75" thickBot="1" x14ac:dyDescent="0.3">
      <c r="A330" s="30" t="s">
        <v>97</v>
      </c>
      <c r="B330" s="14" t="s">
        <v>23</v>
      </c>
      <c r="C330" s="14" t="s">
        <v>23</v>
      </c>
      <c r="D330" s="14" t="s">
        <v>23</v>
      </c>
      <c r="E330" s="14" t="s">
        <v>23</v>
      </c>
    </row>
  </sheetData>
  <mergeCells count="120">
    <mergeCell ref="B4:E4"/>
    <mergeCell ref="B5:E5"/>
    <mergeCell ref="B6:E6"/>
    <mergeCell ref="C7:E7"/>
    <mergeCell ref="C8:E8"/>
    <mergeCell ref="A212:E212"/>
    <mergeCell ref="A93:A94"/>
    <mergeCell ref="A78:E78"/>
    <mergeCell ref="B80:E80"/>
    <mergeCell ref="B81:E81"/>
    <mergeCell ref="B12:E12"/>
    <mergeCell ref="B13:E13"/>
    <mergeCell ref="A9:E9"/>
    <mergeCell ref="A158:E158"/>
    <mergeCell ref="A119:E119"/>
    <mergeCell ref="B121:E121"/>
    <mergeCell ref="B122:E122"/>
    <mergeCell ref="B123:E123"/>
    <mergeCell ref="A120:E120"/>
    <mergeCell ref="B124:E124"/>
    <mergeCell ref="A125:A126"/>
    <mergeCell ref="B139:E139"/>
    <mergeCell ref="B140:E140"/>
    <mergeCell ref="B141:E141"/>
    <mergeCell ref="B234:E234"/>
    <mergeCell ref="B235:E235"/>
    <mergeCell ref="A244:E244"/>
    <mergeCell ref="A245:A246"/>
    <mergeCell ref="B216:E216"/>
    <mergeCell ref="B217:E217"/>
    <mergeCell ref="A163:E163"/>
    <mergeCell ref="B82:E82"/>
    <mergeCell ref="A10:E10"/>
    <mergeCell ref="B14:E14"/>
    <mergeCell ref="A15:E15"/>
    <mergeCell ref="A16:E18"/>
    <mergeCell ref="B19:E19"/>
    <mergeCell ref="A20:A21"/>
    <mergeCell ref="B23:E23"/>
    <mergeCell ref="A24:E24"/>
    <mergeCell ref="A31:E31"/>
    <mergeCell ref="B57:E57"/>
    <mergeCell ref="A59:A60"/>
    <mergeCell ref="A162:E162"/>
    <mergeCell ref="A152:A153"/>
    <mergeCell ref="B157:E157"/>
    <mergeCell ref="A133:E133"/>
    <mergeCell ref="A134:A135"/>
    <mergeCell ref="A300:E300"/>
    <mergeCell ref="A301:A302"/>
    <mergeCell ref="B233:E233"/>
    <mergeCell ref="A250:E250"/>
    <mergeCell ref="B252:E252"/>
    <mergeCell ref="A256:A257"/>
    <mergeCell ref="A264:E264"/>
    <mergeCell ref="A192:A193"/>
    <mergeCell ref="A200:E200"/>
    <mergeCell ref="A201:A202"/>
    <mergeCell ref="A236:A237"/>
    <mergeCell ref="A265:A266"/>
    <mergeCell ref="B270:E270"/>
    <mergeCell ref="A274:A275"/>
    <mergeCell ref="A282:E282"/>
    <mergeCell ref="A283:A284"/>
    <mergeCell ref="B273:E273"/>
    <mergeCell ref="B272:E272"/>
    <mergeCell ref="B214:E214"/>
    <mergeCell ref="A218:A219"/>
    <mergeCell ref="A226:E226"/>
    <mergeCell ref="A227:A228"/>
    <mergeCell ref="B232:E232"/>
    <mergeCell ref="B255:E255"/>
    <mergeCell ref="B290:E290"/>
    <mergeCell ref="B291:E291"/>
    <mergeCell ref="A292:A293"/>
    <mergeCell ref="B288:E288"/>
    <mergeCell ref="B289:E289"/>
    <mergeCell ref="A213:E213"/>
    <mergeCell ref="B215:E215"/>
    <mergeCell ref="B142:E142"/>
    <mergeCell ref="A143:A144"/>
    <mergeCell ref="A151:E151"/>
    <mergeCell ref="A164:A165"/>
    <mergeCell ref="B168:E168"/>
    <mergeCell ref="A169:A170"/>
    <mergeCell ref="A177:E177"/>
    <mergeCell ref="A178:A179"/>
    <mergeCell ref="B189:E189"/>
    <mergeCell ref="B271:E271"/>
    <mergeCell ref="B190:E190"/>
    <mergeCell ref="B191:E191"/>
    <mergeCell ref="B166:E166"/>
    <mergeCell ref="B167:E167"/>
    <mergeCell ref="A251:E251"/>
    <mergeCell ref="B253:E253"/>
    <mergeCell ref="B254:E254"/>
    <mergeCell ref="A105:A106"/>
    <mergeCell ref="A113:E113"/>
    <mergeCell ref="A114:A115"/>
    <mergeCell ref="A66:E66"/>
    <mergeCell ref="A67:A68"/>
    <mergeCell ref="A79:E79"/>
    <mergeCell ref="B83:E83"/>
    <mergeCell ref="A84:A85"/>
    <mergeCell ref="A92:E92"/>
    <mergeCell ref="B102:E102"/>
    <mergeCell ref="B103:E103"/>
    <mergeCell ref="B101:E101"/>
    <mergeCell ref="A98:A100"/>
    <mergeCell ref="B98:E100"/>
    <mergeCell ref="B104:E104"/>
    <mergeCell ref="B55:E55"/>
    <mergeCell ref="B56:E56"/>
    <mergeCell ref="A30:E30"/>
    <mergeCell ref="B32:E32"/>
    <mergeCell ref="B33:E33"/>
    <mergeCell ref="B34:E34"/>
    <mergeCell ref="A35:A36"/>
    <mergeCell ref="A43:E43"/>
    <mergeCell ref="A44:A45"/>
  </mergeCells>
  <printOptions horizontalCentered="1" verticalCentered="1"/>
  <pageMargins left="0.7" right="0.7" top="0.75" bottom="0.75" header="0.3" footer="0.3"/>
  <pageSetup scale="57" fitToHeight="0" orientation="portrait" r:id="rId1"/>
  <rowBreaks count="4" manualBreakCount="4">
    <brk id="76" max="16383" man="1"/>
    <brk id="131" max="16383" man="1"/>
    <brk id="200" max="16383" man="1"/>
    <brk id="27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2:I157"/>
  <sheetViews>
    <sheetView view="pageBreakPreview" topLeftCell="A139" zoomScale="60" zoomScaleNormal="118" workbookViewId="0">
      <selection activeCell="O26" sqref="O26"/>
    </sheetView>
  </sheetViews>
  <sheetFormatPr defaultColWidth="17.140625" defaultRowHeight="12.75" x14ac:dyDescent="0.2"/>
  <cols>
    <col min="1" max="1" width="21.5703125" style="924" customWidth="1"/>
    <col min="2" max="2" width="15.5703125" style="924" customWidth="1"/>
    <col min="3" max="3" width="15.140625" style="924" customWidth="1"/>
    <col min="4" max="4" width="16.140625" style="924" customWidth="1"/>
    <col min="5" max="5" width="19" style="924" customWidth="1"/>
    <col min="6" max="16384" width="17.140625" style="924"/>
  </cols>
  <sheetData>
    <row r="2" spans="1:5" ht="15" x14ac:dyDescent="0.25">
      <c r="A2" s="975" t="s">
        <v>898</v>
      </c>
      <c r="B2" s="974"/>
      <c r="C2" s="974"/>
      <c r="D2" s="974"/>
    </row>
    <row r="4" spans="1:5" ht="13.5" thickBot="1" x14ac:dyDescent="0.25"/>
    <row r="5" spans="1:5" ht="30.75" thickBot="1" x14ac:dyDescent="0.25">
      <c r="A5" s="972" t="s">
        <v>897</v>
      </c>
      <c r="B5" s="2509" t="s">
        <v>1530</v>
      </c>
      <c r="C5" s="2510"/>
      <c r="D5" s="2510"/>
      <c r="E5" s="2511"/>
    </row>
    <row r="6" spans="1:5" ht="30.75" thickBot="1" x14ac:dyDescent="0.25">
      <c r="A6" s="971" t="s">
        <v>895</v>
      </c>
      <c r="B6" s="2512" t="s">
        <v>1529</v>
      </c>
      <c r="C6" s="2513"/>
      <c r="D6" s="2513"/>
      <c r="E6" s="2514"/>
    </row>
    <row r="7" spans="1:5" ht="30.75" thickBot="1" x14ac:dyDescent="0.25">
      <c r="A7" s="971" t="s">
        <v>893</v>
      </c>
      <c r="B7" s="2515" t="s">
        <v>1528</v>
      </c>
      <c r="C7" s="2516"/>
      <c r="D7" s="2516"/>
      <c r="E7" s="2517"/>
    </row>
    <row r="8" spans="1:5" ht="30.75" thickBot="1" x14ac:dyDescent="0.25">
      <c r="A8" s="973" t="s">
        <v>891</v>
      </c>
      <c r="B8" s="972" t="s">
        <v>3</v>
      </c>
      <c r="C8" s="2510" t="s">
        <v>7</v>
      </c>
      <c r="D8" s="2510"/>
      <c r="E8" s="2511"/>
    </row>
    <row r="9" spans="1:5" ht="125.25" customHeight="1" thickBot="1" x14ac:dyDescent="0.25">
      <c r="A9" s="971" t="s">
        <v>1527</v>
      </c>
      <c r="B9" s="970" t="s">
        <v>4</v>
      </c>
      <c r="C9" s="2518" t="s">
        <v>1526</v>
      </c>
      <c r="D9" s="2518"/>
      <c r="E9" s="2519"/>
    </row>
    <row r="10" spans="1:5" ht="16.5" thickBot="1" x14ac:dyDescent="0.25">
      <c r="A10" s="969"/>
      <c r="B10" s="968"/>
      <c r="C10" s="2520"/>
      <c r="D10" s="2520"/>
      <c r="E10" s="2521"/>
    </row>
    <row r="11" spans="1:5" ht="15" x14ac:dyDescent="0.25">
      <c r="A11" s="2539" t="s">
        <v>122</v>
      </c>
      <c r="B11" s="2539"/>
      <c r="C11" s="2539"/>
      <c r="D11" s="2539"/>
      <c r="E11" s="2539"/>
    </row>
    <row r="12" spans="1:5" ht="15" x14ac:dyDescent="0.25">
      <c r="A12" s="967"/>
      <c r="B12" s="967"/>
      <c r="C12" s="967"/>
      <c r="D12" s="967"/>
      <c r="E12" s="967"/>
    </row>
    <row r="13" spans="1:5" ht="13.5" thickBot="1" x14ac:dyDescent="0.25"/>
    <row r="14" spans="1:5" ht="26.25" thickBot="1" x14ac:dyDescent="0.25">
      <c r="A14" s="966" t="s">
        <v>2</v>
      </c>
      <c r="B14" s="2522" t="s">
        <v>1525</v>
      </c>
      <c r="C14" s="2522"/>
      <c r="D14" s="2522"/>
      <c r="E14" s="2522"/>
    </row>
    <row r="15" spans="1:5" ht="13.5" thickBot="1" x14ac:dyDescent="0.25">
      <c r="A15" s="966" t="s">
        <v>3</v>
      </c>
      <c r="B15" s="2523" t="s">
        <v>4</v>
      </c>
      <c r="C15" s="2524"/>
      <c r="D15" s="2524"/>
      <c r="E15" s="2525"/>
    </row>
    <row r="16" spans="1:5" ht="26.25" thickBot="1" x14ac:dyDescent="0.25">
      <c r="A16" s="966" t="s">
        <v>5</v>
      </c>
      <c r="B16" s="2526" t="s">
        <v>6</v>
      </c>
      <c r="C16" s="2520"/>
      <c r="D16" s="2520"/>
      <c r="E16" s="2521"/>
    </row>
    <row r="17" spans="1:9" ht="13.5" thickBot="1" x14ac:dyDescent="0.25">
      <c r="A17" s="2527" t="s">
        <v>7</v>
      </c>
      <c r="B17" s="2528"/>
      <c r="C17" s="2528"/>
      <c r="D17" s="2528"/>
      <c r="E17" s="2529"/>
    </row>
    <row r="18" spans="1:9" x14ac:dyDescent="0.2">
      <c r="A18" s="2530" t="s">
        <v>1524</v>
      </c>
      <c r="B18" s="2531"/>
      <c r="C18" s="2531"/>
      <c r="D18" s="2531"/>
      <c r="E18" s="2532"/>
    </row>
    <row r="19" spans="1:9" x14ac:dyDescent="0.2">
      <c r="A19" s="2533"/>
      <c r="B19" s="2534"/>
      <c r="C19" s="2534"/>
      <c r="D19" s="2534"/>
      <c r="E19" s="2535"/>
    </row>
    <row r="20" spans="1:9" ht="28.5" customHeight="1" thickBot="1" x14ac:dyDescent="0.25">
      <c r="A20" s="2536"/>
      <c r="B20" s="2537"/>
      <c r="C20" s="2537"/>
      <c r="D20" s="2537"/>
      <c r="E20" s="2538"/>
    </row>
    <row r="21" spans="1:9" ht="41.25" customHeight="1" thickBot="1" x14ac:dyDescent="0.25">
      <c r="A21" s="965" t="s">
        <v>8</v>
      </c>
      <c r="B21" s="2506" t="s">
        <v>289</v>
      </c>
      <c r="C21" s="2507"/>
      <c r="D21" s="2507"/>
      <c r="E21" s="2508"/>
    </row>
    <row r="22" spans="1:9" x14ac:dyDescent="0.2">
      <c r="A22" s="2474" t="s">
        <v>9</v>
      </c>
      <c r="B22" s="964">
        <v>2018</v>
      </c>
      <c r="C22" s="964">
        <v>2019</v>
      </c>
      <c r="D22" s="964">
        <v>2020</v>
      </c>
      <c r="E22" s="964">
        <v>2021</v>
      </c>
    </row>
    <row r="23" spans="1:9" ht="13.5" thickBot="1" x14ac:dyDescent="0.25">
      <c r="A23" s="2475"/>
      <c r="B23" s="963" t="s">
        <v>10</v>
      </c>
      <c r="C23" s="963" t="s">
        <v>11</v>
      </c>
      <c r="D23" s="963" t="s">
        <v>11</v>
      </c>
      <c r="E23" s="963" t="s">
        <v>11</v>
      </c>
    </row>
    <row r="24" spans="1:9" ht="93" customHeight="1" thickBot="1" x14ac:dyDescent="0.25">
      <c r="A24" s="962" t="s">
        <v>290</v>
      </c>
      <c r="B24" s="961">
        <v>0.66</v>
      </c>
      <c r="C24" s="961" t="s">
        <v>139</v>
      </c>
      <c r="D24" s="961" t="s">
        <v>291</v>
      </c>
      <c r="E24" s="961" t="s">
        <v>139</v>
      </c>
    </row>
    <row r="25" spans="1:9" ht="61.5" customHeight="1" thickBot="1" x14ac:dyDescent="0.25">
      <c r="A25" s="949" t="s">
        <v>1523</v>
      </c>
      <c r="B25" s="960">
        <v>1</v>
      </c>
      <c r="C25" s="960">
        <v>2</v>
      </c>
      <c r="D25" s="960">
        <v>2</v>
      </c>
      <c r="E25" s="960">
        <v>2</v>
      </c>
    </row>
    <row r="26" spans="1:9" ht="34.5" customHeight="1" thickBot="1" x14ac:dyDescent="0.25">
      <c r="A26" s="959" t="s">
        <v>12</v>
      </c>
      <c r="B26" s="2491" t="s">
        <v>292</v>
      </c>
      <c r="C26" s="2492"/>
      <c r="D26" s="2492"/>
      <c r="E26" s="2493"/>
    </row>
    <row r="27" spans="1:9" x14ac:dyDescent="0.2">
      <c r="A27" s="2474"/>
      <c r="B27" s="946">
        <v>2018</v>
      </c>
      <c r="C27" s="946">
        <v>2019</v>
      </c>
      <c r="D27" s="946">
        <v>2020</v>
      </c>
      <c r="E27" s="946">
        <v>2021</v>
      </c>
    </row>
    <row r="28" spans="1:9" ht="13.5" thickBot="1" x14ac:dyDescent="0.25">
      <c r="A28" s="2475"/>
      <c r="B28" s="945" t="s">
        <v>10</v>
      </c>
      <c r="C28" s="945" t="s">
        <v>11</v>
      </c>
      <c r="D28" s="945" t="s">
        <v>11</v>
      </c>
      <c r="E28" s="945" t="s">
        <v>11</v>
      </c>
    </row>
    <row r="29" spans="1:9" ht="13.5" thickBot="1" x14ac:dyDescent="0.25">
      <c r="A29" s="949" t="s">
        <v>19</v>
      </c>
      <c r="B29" s="951">
        <v>7500</v>
      </c>
      <c r="C29" s="951">
        <v>8000</v>
      </c>
      <c r="D29" s="951">
        <v>8500</v>
      </c>
      <c r="E29" s="951">
        <v>9000</v>
      </c>
    </row>
    <row r="30" spans="1:9" ht="13.5" thickBot="1" x14ac:dyDescent="0.25">
      <c r="A30" s="949" t="s">
        <v>20</v>
      </c>
      <c r="B30" s="951">
        <v>32700</v>
      </c>
      <c r="C30" s="951">
        <v>33440</v>
      </c>
      <c r="D30" s="951">
        <v>33940</v>
      </c>
      <c r="E30" s="951">
        <v>34440</v>
      </c>
    </row>
    <row r="31" spans="1:9" ht="13.5" thickBot="1" x14ac:dyDescent="0.25">
      <c r="A31" s="949" t="s">
        <v>21</v>
      </c>
      <c r="B31" s="958">
        <f>B30/B29</f>
        <v>4.3600000000000003</v>
      </c>
      <c r="C31" s="958">
        <f>C30/C29</f>
        <v>4.18</v>
      </c>
      <c r="D31" s="958">
        <f>D30/D29</f>
        <v>3.9929411764705884</v>
      </c>
      <c r="E31" s="958">
        <f>E30/E29</f>
        <v>3.8266666666666667</v>
      </c>
    </row>
    <row r="32" spans="1:9" ht="13.5" thickBot="1" x14ac:dyDescent="0.25">
      <c r="A32" s="949" t="s">
        <v>22</v>
      </c>
      <c r="B32" s="948" t="s">
        <v>23</v>
      </c>
      <c r="C32" s="947">
        <f t="shared" ref="C32:E34" si="0">C29/B29-1</f>
        <v>6.6666666666666652E-2</v>
      </c>
      <c r="D32" s="947">
        <f t="shared" si="0"/>
        <v>6.25E-2</v>
      </c>
      <c r="E32" s="947">
        <f t="shared" si="0"/>
        <v>5.8823529411764719E-2</v>
      </c>
      <c r="F32" s="950"/>
      <c r="G32" s="950"/>
      <c r="H32" s="950"/>
      <c r="I32" s="950"/>
    </row>
    <row r="33" spans="1:5" ht="13.5" thickBot="1" x14ac:dyDescent="0.25">
      <c r="A33" s="949" t="s">
        <v>24</v>
      </c>
      <c r="B33" s="948" t="s">
        <v>23</v>
      </c>
      <c r="C33" s="947">
        <f t="shared" si="0"/>
        <v>2.2629969418960227E-2</v>
      </c>
      <c r="D33" s="947">
        <f t="shared" si="0"/>
        <v>1.4952153110047828E-2</v>
      </c>
      <c r="E33" s="947">
        <f t="shared" si="0"/>
        <v>1.4731879787860835E-2</v>
      </c>
    </row>
    <row r="34" spans="1:5" ht="23.25" thickBot="1" x14ac:dyDescent="0.25">
      <c r="A34" s="949" t="s">
        <v>25</v>
      </c>
      <c r="B34" s="948" t="s">
        <v>23</v>
      </c>
      <c r="C34" s="947">
        <f t="shared" si="0"/>
        <v>-4.1284403669724856E-2</v>
      </c>
      <c r="D34" s="947">
        <f t="shared" si="0"/>
        <v>-4.4750914719954848E-2</v>
      </c>
      <c r="E34" s="947">
        <f t="shared" si="0"/>
        <v>-4.1642113533686964E-2</v>
      </c>
    </row>
    <row r="35" spans="1:5" ht="13.5" thickBot="1" x14ac:dyDescent="0.25">
      <c r="A35" s="2476" t="s">
        <v>109</v>
      </c>
      <c r="B35" s="2477"/>
      <c r="C35" s="2477"/>
      <c r="D35" s="2477"/>
      <c r="E35" s="2478"/>
    </row>
    <row r="36" spans="1:5" x14ac:dyDescent="0.2">
      <c r="A36" s="2474"/>
      <c r="B36" s="946">
        <v>2018</v>
      </c>
      <c r="C36" s="946">
        <v>2019</v>
      </c>
      <c r="D36" s="946">
        <v>2020</v>
      </c>
      <c r="E36" s="946">
        <v>2021</v>
      </c>
    </row>
    <row r="37" spans="1:5" ht="13.5" thickBot="1" x14ac:dyDescent="0.25">
      <c r="A37" s="2475"/>
      <c r="B37" s="945" t="s">
        <v>10</v>
      </c>
      <c r="C37" s="945" t="s">
        <v>11</v>
      </c>
      <c r="D37" s="945" t="s">
        <v>11</v>
      </c>
      <c r="E37" s="945" t="s">
        <v>11</v>
      </c>
    </row>
    <row r="38" spans="1:5" ht="13.5" thickBot="1" x14ac:dyDescent="0.25">
      <c r="A38" s="935" t="s">
        <v>26</v>
      </c>
      <c r="B38" s="928">
        <v>18330</v>
      </c>
      <c r="C38" s="928">
        <v>18770</v>
      </c>
      <c r="D38" s="928">
        <v>18770</v>
      </c>
      <c r="E38" s="928">
        <v>18770</v>
      </c>
    </row>
    <row r="39" spans="1:5" ht="36.75" thickBot="1" x14ac:dyDescent="0.25">
      <c r="A39" s="934" t="s">
        <v>27</v>
      </c>
      <c r="B39" s="933">
        <v>0</v>
      </c>
      <c r="C39" s="957">
        <v>0</v>
      </c>
      <c r="D39" s="957">
        <v>0</v>
      </c>
      <c r="E39" s="957">
        <v>0</v>
      </c>
    </row>
    <row r="40" spans="1:5" ht="36.75" thickBot="1" x14ac:dyDescent="0.25">
      <c r="A40" s="934" t="s">
        <v>1426</v>
      </c>
      <c r="B40" s="933">
        <v>0</v>
      </c>
      <c r="C40" s="932">
        <v>0</v>
      </c>
      <c r="D40" s="932">
        <v>0</v>
      </c>
      <c r="E40" s="932">
        <v>0</v>
      </c>
    </row>
    <row r="41" spans="1:5" ht="24.75" thickBot="1" x14ac:dyDescent="0.25">
      <c r="A41" s="935" t="s">
        <v>28</v>
      </c>
      <c r="B41" s="928">
        <v>2970</v>
      </c>
      <c r="C41" s="928">
        <v>2970</v>
      </c>
      <c r="D41" s="928">
        <v>2970</v>
      </c>
      <c r="E41" s="928">
        <v>2970</v>
      </c>
    </row>
    <row r="42" spans="1:5" ht="48.75" thickBot="1" x14ac:dyDescent="0.25">
      <c r="A42" s="934" t="s">
        <v>29</v>
      </c>
      <c r="B42" s="933">
        <v>0</v>
      </c>
      <c r="C42" s="928">
        <v>0</v>
      </c>
      <c r="D42" s="928">
        <v>0</v>
      </c>
      <c r="E42" s="928">
        <v>0</v>
      </c>
    </row>
    <row r="43" spans="1:5" ht="48.75" thickBot="1" x14ac:dyDescent="0.25">
      <c r="A43" s="934" t="s">
        <v>1425</v>
      </c>
      <c r="B43" s="933">
        <v>0</v>
      </c>
      <c r="C43" s="928">
        <v>0</v>
      </c>
      <c r="D43" s="928">
        <v>0</v>
      </c>
      <c r="E43" s="928">
        <v>0</v>
      </c>
    </row>
    <row r="44" spans="1:5" ht="13.5" thickBot="1" x14ac:dyDescent="0.25">
      <c r="A44" s="935" t="s">
        <v>30</v>
      </c>
      <c r="B44" s="933">
        <v>11400</v>
      </c>
      <c r="C44" s="928">
        <v>11700</v>
      </c>
      <c r="D44" s="928">
        <v>12200</v>
      </c>
      <c r="E44" s="928">
        <v>12700</v>
      </c>
    </row>
    <row r="45" spans="1:5" ht="48.75" thickBot="1" x14ac:dyDescent="0.25">
      <c r="A45" s="934" t="s">
        <v>31</v>
      </c>
      <c r="B45" s="955">
        <v>0</v>
      </c>
      <c r="C45" s="956">
        <v>2.5999999999999998E-4</v>
      </c>
      <c r="D45" s="956">
        <v>4.2000000000000002E-4</v>
      </c>
      <c r="E45" s="956">
        <v>4.0000000000000002E-4</v>
      </c>
    </row>
    <row r="46" spans="1:5" ht="48.75" thickBot="1" x14ac:dyDescent="0.25">
      <c r="A46" s="934" t="s">
        <v>1424</v>
      </c>
      <c r="B46" s="955">
        <v>0</v>
      </c>
      <c r="C46" s="954">
        <f>C32</f>
        <v>6.6666666666666652E-2</v>
      </c>
      <c r="D46" s="954">
        <f>D32</f>
        <v>6.25E-2</v>
      </c>
      <c r="E46" s="954">
        <f>E32</f>
        <v>5.8823529411764719E-2</v>
      </c>
    </row>
    <row r="47" spans="1:5" ht="13.5" thickBot="1" x14ac:dyDescent="0.25">
      <c r="A47" s="935" t="s">
        <v>32</v>
      </c>
      <c r="B47" s="933">
        <v>0</v>
      </c>
      <c r="C47" s="928">
        <v>0</v>
      </c>
      <c r="D47" s="928">
        <v>0</v>
      </c>
      <c r="E47" s="928">
        <v>0</v>
      </c>
    </row>
    <row r="48" spans="1:5" ht="48.75" thickBot="1" x14ac:dyDescent="0.25">
      <c r="A48" s="934" t="s">
        <v>33</v>
      </c>
      <c r="B48" s="933">
        <v>0</v>
      </c>
      <c r="C48" s="928">
        <v>0</v>
      </c>
      <c r="D48" s="928">
        <v>0</v>
      </c>
      <c r="E48" s="928">
        <v>0</v>
      </c>
    </row>
    <row r="49" spans="1:5" ht="48.75" thickBot="1" x14ac:dyDescent="0.25">
      <c r="A49" s="934" t="s">
        <v>1423</v>
      </c>
      <c r="B49" s="933">
        <v>0</v>
      </c>
      <c r="C49" s="928">
        <v>0</v>
      </c>
      <c r="D49" s="928">
        <v>0</v>
      </c>
      <c r="E49" s="928">
        <v>0</v>
      </c>
    </row>
    <row r="50" spans="1:5" ht="24.75" thickBot="1" x14ac:dyDescent="0.25">
      <c r="A50" s="935" t="s">
        <v>34</v>
      </c>
      <c r="B50" s="933">
        <v>0</v>
      </c>
      <c r="C50" s="928">
        <v>0</v>
      </c>
      <c r="D50" s="928">
        <v>0</v>
      </c>
      <c r="E50" s="928">
        <v>0</v>
      </c>
    </row>
    <row r="51" spans="1:5" ht="48.75" thickBot="1" x14ac:dyDescent="0.25">
      <c r="A51" s="934" t="s">
        <v>35</v>
      </c>
      <c r="B51" s="933">
        <v>0</v>
      </c>
      <c r="C51" s="928">
        <v>0</v>
      </c>
      <c r="D51" s="928">
        <v>0</v>
      </c>
      <c r="E51" s="928">
        <v>0</v>
      </c>
    </row>
    <row r="52" spans="1:5" ht="48.75" thickBot="1" x14ac:dyDescent="0.25">
      <c r="A52" s="934" t="s">
        <v>1422</v>
      </c>
      <c r="B52" s="933">
        <v>0</v>
      </c>
      <c r="C52" s="928">
        <v>0</v>
      </c>
      <c r="D52" s="928">
        <v>0</v>
      </c>
      <c r="E52" s="928">
        <v>0</v>
      </c>
    </row>
    <row r="53" spans="1:5" ht="13.5" thickBot="1" x14ac:dyDescent="0.25">
      <c r="A53" s="935" t="s">
        <v>36</v>
      </c>
      <c r="B53" s="933">
        <v>0</v>
      </c>
      <c r="C53" s="928">
        <v>0</v>
      </c>
      <c r="D53" s="928">
        <v>0</v>
      </c>
      <c r="E53" s="928">
        <v>0</v>
      </c>
    </row>
    <row r="54" spans="1:5" ht="48.75" thickBot="1" x14ac:dyDescent="0.25">
      <c r="A54" s="934" t="s">
        <v>37</v>
      </c>
      <c r="B54" s="933">
        <v>0</v>
      </c>
      <c r="C54" s="928">
        <v>0</v>
      </c>
      <c r="D54" s="928">
        <v>0</v>
      </c>
      <c r="E54" s="928">
        <v>0</v>
      </c>
    </row>
    <row r="55" spans="1:5" ht="48.75" thickBot="1" x14ac:dyDescent="0.25">
      <c r="A55" s="934" t="s">
        <v>1421</v>
      </c>
      <c r="B55" s="933">
        <v>0</v>
      </c>
      <c r="C55" s="928">
        <v>0</v>
      </c>
      <c r="D55" s="928">
        <v>0</v>
      </c>
      <c r="E55" s="928">
        <v>0</v>
      </c>
    </row>
    <row r="56" spans="1:5" ht="24.75" thickBot="1" x14ac:dyDescent="0.25">
      <c r="A56" s="935" t="s">
        <v>38</v>
      </c>
      <c r="B56" s="933">
        <v>0</v>
      </c>
      <c r="C56" s="928">
        <v>0</v>
      </c>
      <c r="D56" s="928">
        <v>0</v>
      </c>
      <c r="E56" s="928">
        <v>0</v>
      </c>
    </row>
    <row r="57" spans="1:5" ht="48.75" thickBot="1" x14ac:dyDescent="0.25">
      <c r="A57" s="934" t="s">
        <v>39</v>
      </c>
      <c r="B57" s="933">
        <v>0</v>
      </c>
      <c r="C57" s="928">
        <v>0</v>
      </c>
      <c r="D57" s="928">
        <v>0</v>
      </c>
      <c r="E57" s="928">
        <v>0</v>
      </c>
    </row>
    <row r="58" spans="1:5" ht="48.75" thickBot="1" x14ac:dyDescent="0.25">
      <c r="A58" s="934" t="s">
        <v>1420</v>
      </c>
      <c r="B58" s="933">
        <v>0</v>
      </c>
      <c r="C58" s="928">
        <v>0</v>
      </c>
      <c r="D58" s="928">
        <v>0</v>
      </c>
      <c r="E58" s="928">
        <v>0</v>
      </c>
    </row>
    <row r="59" spans="1:5" ht="24.75" thickBot="1" x14ac:dyDescent="0.25">
      <c r="A59" s="944" t="s">
        <v>40</v>
      </c>
      <c r="B59" s="943">
        <f>B56+B53+B50+B47+B44+B41+B38</f>
        <v>32700</v>
      </c>
      <c r="C59" s="943">
        <f>C56+C53+C50+C47+C44+C41+C38</f>
        <v>33440</v>
      </c>
      <c r="D59" s="943">
        <f>D56+D53+D50+D47+D44+D41+D38</f>
        <v>33940</v>
      </c>
      <c r="E59" s="943">
        <f>E56+E53+E50+E47+E44+E41+E38</f>
        <v>34440</v>
      </c>
    </row>
    <row r="60" spans="1:5" x14ac:dyDescent="0.2">
      <c r="A60" s="2444" t="s">
        <v>1419</v>
      </c>
      <c r="B60" s="2494" t="s">
        <v>1522</v>
      </c>
      <c r="C60" s="2495"/>
      <c r="D60" s="2495"/>
      <c r="E60" s="2496"/>
    </row>
    <row r="61" spans="1:5" x14ac:dyDescent="0.2">
      <c r="A61" s="2445"/>
      <c r="B61" s="2497"/>
      <c r="C61" s="2498"/>
      <c r="D61" s="2498"/>
      <c r="E61" s="2499"/>
    </row>
    <row r="62" spans="1:5" ht="73.5" customHeight="1" thickBot="1" x14ac:dyDescent="0.25">
      <c r="A62" s="2446"/>
      <c r="B62" s="2500"/>
      <c r="C62" s="2501"/>
      <c r="D62" s="2501"/>
      <c r="E62" s="2502"/>
    </row>
    <row r="63" spans="1:5" ht="13.5" thickBot="1" x14ac:dyDescent="0.25">
      <c r="A63" s="931" t="s">
        <v>41</v>
      </c>
      <c r="B63" s="930">
        <f>IF(B59-B30=0,0,"Error")</f>
        <v>0</v>
      </c>
      <c r="C63" s="930">
        <f>IF(C59-C30=0,0,"Error")</f>
        <v>0</v>
      </c>
      <c r="D63" s="930">
        <f>IF(D59-D30=0,0,"Error")</f>
        <v>0</v>
      </c>
      <c r="E63" s="930">
        <f>IF(E59-E30=0,0,"Error")</f>
        <v>0</v>
      </c>
    </row>
    <row r="64" spans="1:5" ht="13.5" thickBot="1" x14ac:dyDescent="0.25">
      <c r="A64" s="2503" t="s">
        <v>55</v>
      </c>
      <c r="B64" s="2504"/>
      <c r="C64" s="2504"/>
      <c r="D64" s="2504"/>
      <c r="E64" s="2505"/>
    </row>
    <row r="65" spans="1:9" ht="13.5" thickBot="1" x14ac:dyDescent="0.25">
      <c r="A65" s="2503" t="s">
        <v>56</v>
      </c>
      <c r="B65" s="2504"/>
      <c r="C65" s="2504"/>
      <c r="D65" s="2504"/>
      <c r="E65" s="2505"/>
    </row>
    <row r="66" spans="1:9" ht="13.5" thickBot="1" x14ac:dyDescent="0.25">
      <c r="A66" s="953" t="s">
        <v>293</v>
      </c>
      <c r="B66" s="2488" t="s">
        <v>294</v>
      </c>
      <c r="C66" s="2489"/>
      <c r="D66" s="2489"/>
      <c r="E66" s="2490"/>
    </row>
    <row r="67" spans="1:9" ht="13.5" thickBot="1" x14ac:dyDescent="0.25">
      <c r="A67" s="952" t="s">
        <v>16</v>
      </c>
      <c r="B67" s="2465" t="s">
        <v>1521</v>
      </c>
      <c r="C67" s="2466"/>
      <c r="D67" s="2466"/>
      <c r="E67" s="2467"/>
    </row>
    <row r="68" spans="1:9" ht="13.5" thickBot="1" x14ac:dyDescent="0.25">
      <c r="A68" s="949" t="s">
        <v>17</v>
      </c>
      <c r="B68" s="2468" t="s">
        <v>295</v>
      </c>
      <c r="C68" s="2469"/>
      <c r="D68" s="2469"/>
      <c r="E68" s="2470"/>
    </row>
    <row r="69" spans="1:9" ht="13.5" thickBot="1" x14ac:dyDescent="0.25">
      <c r="A69" s="949" t="s">
        <v>18</v>
      </c>
      <c r="B69" s="2471" t="s">
        <v>73</v>
      </c>
      <c r="C69" s="2472"/>
      <c r="D69" s="2472"/>
      <c r="E69" s="2473"/>
    </row>
    <row r="70" spans="1:9" x14ac:dyDescent="0.2">
      <c r="A70" s="2474"/>
      <c r="B70" s="946">
        <v>2018</v>
      </c>
      <c r="C70" s="946">
        <v>2019</v>
      </c>
      <c r="D70" s="946">
        <v>2020</v>
      </c>
      <c r="E70" s="946">
        <v>2021</v>
      </c>
    </row>
    <row r="71" spans="1:9" ht="13.5" thickBot="1" x14ac:dyDescent="0.25">
      <c r="A71" s="2475"/>
      <c r="B71" s="945" t="s">
        <v>10</v>
      </c>
      <c r="C71" s="945" t="s">
        <v>11</v>
      </c>
      <c r="D71" s="945" t="s">
        <v>11</v>
      </c>
      <c r="E71" s="945" t="s">
        <v>11</v>
      </c>
    </row>
    <row r="72" spans="1:9" ht="13.5" thickBot="1" x14ac:dyDescent="0.25">
      <c r="A72" s="949" t="s">
        <v>19</v>
      </c>
      <c r="B72" s="951">
        <v>7</v>
      </c>
      <c r="C72" s="951">
        <v>7</v>
      </c>
      <c r="D72" s="951">
        <v>7</v>
      </c>
      <c r="E72" s="951">
        <v>7</v>
      </c>
    </row>
    <row r="73" spans="1:9" ht="13.5" thickBot="1" x14ac:dyDescent="0.25">
      <c r="A73" s="949" t="s">
        <v>20</v>
      </c>
      <c r="B73" s="951">
        <v>400</v>
      </c>
      <c r="C73" s="951">
        <v>400</v>
      </c>
      <c r="D73" s="951">
        <v>400</v>
      </c>
      <c r="E73" s="951">
        <v>400</v>
      </c>
    </row>
    <row r="74" spans="1:9" ht="13.5" thickBot="1" x14ac:dyDescent="0.25">
      <c r="A74" s="949" t="s">
        <v>21</v>
      </c>
      <c r="B74" s="951">
        <f>B73/B72</f>
        <v>57.142857142857146</v>
      </c>
      <c r="C74" s="951">
        <f>C73/C72</f>
        <v>57.142857142857146</v>
      </c>
      <c r="D74" s="951">
        <f>D73/D72</f>
        <v>57.142857142857146</v>
      </c>
      <c r="E74" s="951">
        <f>E73/E72</f>
        <v>57.142857142857146</v>
      </c>
    </row>
    <row r="75" spans="1:9" ht="13.5" thickBot="1" x14ac:dyDescent="0.25">
      <c r="A75" s="949" t="s">
        <v>22</v>
      </c>
      <c r="B75" s="948" t="s">
        <v>23</v>
      </c>
      <c r="C75" s="947">
        <f t="shared" ref="C75:E77" si="1">C72/B72-1</f>
        <v>0</v>
      </c>
      <c r="D75" s="947">
        <f t="shared" si="1"/>
        <v>0</v>
      </c>
      <c r="E75" s="947">
        <f t="shared" si="1"/>
        <v>0</v>
      </c>
      <c r="F75" s="950"/>
      <c r="G75" s="950"/>
      <c r="H75" s="950"/>
      <c r="I75" s="950"/>
    </row>
    <row r="76" spans="1:9" ht="13.5" thickBot="1" x14ac:dyDescent="0.25">
      <c r="A76" s="949" t="s">
        <v>24</v>
      </c>
      <c r="B76" s="948" t="s">
        <v>23</v>
      </c>
      <c r="C76" s="947">
        <f t="shared" si="1"/>
        <v>0</v>
      </c>
      <c r="D76" s="947">
        <f t="shared" si="1"/>
        <v>0</v>
      </c>
      <c r="E76" s="947">
        <f t="shared" si="1"/>
        <v>0</v>
      </c>
    </row>
    <row r="77" spans="1:9" ht="23.25" thickBot="1" x14ac:dyDescent="0.25">
      <c r="A77" s="949" t="s">
        <v>25</v>
      </c>
      <c r="B77" s="948" t="s">
        <v>23</v>
      </c>
      <c r="C77" s="947">
        <f t="shared" si="1"/>
        <v>0</v>
      </c>
      <c r="D77" s="947">
        <f t="shared" si="1"/>
        <v>0</v>
      </c>
      <c r="E77" s="947">
        <f t="shared" si="1"/>
        <v>0</v>
      </c>
    </row>
    <row r="78" spans="1:9" ht="13.5" thickBot="1" x14ac:dyDescent="0.25">
      <c r="A78" s="2476" t="s">
        <v>109</v>
      </c>
      <c r="B78" s="2477"/>
      <c r="C78" s="2477"/>
      <c r="D78" s="2477"/>
      <c r="E78" s="2478"/>
    </row>
    <row r="79" spans="1:9" x14ac:dyDescent="0.2">
      <c r="A79" s="2474"/>
      <c r="B79" s="946">
        <v>2018</v>
      </c>
      <c r="C79" s="946">
        <v>2019</v>
      </c>
      <c r="D79" s="946">
        <v>2020</v>
      </c>
      <c r="E79" s="946">
        <v>2021</v>
      </c>
    </row>
    <row r="80" spans="1:9" ht="13.5" thickBot="1" x14ac:dyDescent="0.25">
      <c r="A80" s="2475"/>
      <c r="B80" s="945" t="s">
        <v>10</v>
      </c>
      <c r="C80" s="945" t="s">
        <v>11</v>
      </c>
      <c r="D80" s="945" t="s">
        <v>11</v>
      </c>
      <c r="E80" s="945" t="s">
        <v>11</v>
      </c>
    </row>
    <row r="81" spans="1:5" ht="13.5" thickBot="1" x14ac:dyDescent="0.25">
      <c r="A81" s="935" t="s">
        <v>58</v>
      </c>
      <c r="B81" s="928"/>
      <c r="C81" s="928"/>
      <c r="D81" s="928"/>
      <c r="E81" s="928"/>
    </row>
    <row r="82" spans="1:5" ht="13.5" thickBot="1" x14ac:dyDescent="0.25">
      <c r="A82" s="935" t="s">
        <v>59</v>
      </c>
      <c r="B82" s="928">
        <v>400</v>
      </c>
      <c r="C82" s="928">
        <v>400</v>
      </c>
      <c r="D82" s="928">
        <v>400</v>
      </c>
      <c r="E82" s="928">
        <v>400</v>
      </c>
    </row>
    <row r="83" spans="1:5" ht="24.75" thickBot="1" x14ac:dyDescent="0.25">
      <c r="A83" s="944" t="s">
        <v>40</v>
      </c>
      <c r="B83" s="943">
        <f>B82+B81</f>
        <v>400</v>
      </c>
      <c r="C83" s="943">
        <f>C82+C81</f>
        <v>400</v>
      </c>
      <c r="D83" s="943">
        <f>D82+D81</f>
        <v>400</v>
      </c>
      <c r="E83" s="943">
        <f>E82+E81</f>
        <v>400</v>
      </c>
    </row>
    <row r="84" spans="1:5" x14ac:dyDescent="0.2">
      <c r="A84" s="2444" t="s">
        <v>60</v>
      </c>
      <c r="B84" s="2479" t="s">
        <v>1520</v>
      </c>
      <c r="C84" s="2480"/>
      <c r="D84" s="2480"/>
      <c r="E84" s="2481"/>
    </row>
    <row r="85" spans="1:5" x14ac:dyDescent="0.2">
      <c r="A85" s="2445"/>
      <c r="B85" s="2482"/>
      <c r="C85" s="2483"/>
      <c r="D85" s="2483"/>
      <c r="E85" s="2484"/>
    </row>
    <row r="86" spans="1:5" ht="13.5" thickBot="1" x14ac:dyDescent="0.25">
      <c r="A86" s="2446"/>
      <c r="B86" s="2485"/>
      <c r="C86" s="2486"/>
      <c r="D86" s="2486"/>
      <c r="E86" s="2487"/>
    </row>
    <row r="87" spans="1:5" ht="13.5" thickBot="1" x14ac:dyDescent="0.25">
      <c r="A87" s="953" t="s">
        <v>296</v>
      </c>
      <c r="B87" s="2488" t="s">
        <v>297</v>
      </c>
      <c r="C87" s="2489"/>
      <c r="D87" s="2489"/>
      <c r="E87" s="2490"/>
    </row>
    <row r="88" spans="1:5" ht="13.5" thickBot="1" x14ac:dyDescent="0.25">
      <c r="A88" s="952" t="s">
        <v>42</v>
      </c>
      <c r="B88" s="2465" t="s">
        <v>1519</v>
      </c>
      <c r="C88" s="2466"/>
      <c r="D88" s="2466"/>
      <c r="E88" s="2467"/>
    </row>
    <row r="89" spans="1:5" ht="13.5" thickBot="1" x14ac:dyDescent="0.25">
      <c r="A89" s="949" t="s">
        <v>17</v>
      </c>
      <c r="B89" s="2468" t="s">
        <v>298</v>
      </c>
      <c r="C89" s="2469"/>
      <c r="D89" s="2469"/>
      <c r="E89" s="2470"/>
    </row>
    <row r="90" spans="1:5" ht="13.5" thickBot="1" x14ac:dyDescent="0.25">
      <c r="A90" s="949" t="s">
        <v>18</v>
      </c>
      <c r="B90" s="2471" t="s">
        <v>73</v>
      </c>
      <c r="C90" s="2472"/>
      <c r="D90" s="2472"/>
      <c r="E90" s="2473"/>
    </row>
    <row r="91" spans="1:5" x14ac:dyDescent="0.2">
      <c r="A91" s="2474"/>
      <c r="B91" s="946">
        <v>2018</v>
      </c>
      <c r="C91" s="946">
        <v>2019</v>
      </c>
      <c r="D91" s="946">
        <v>2020</v>
      </c>
      <c r="E91" s="946">
        <v>2021</v>
      </c>
    </row>
    <row r="92" spans="1:5" ht="13.5" thickBot="1" x14ac:dyDescent="0.25">
      <c r="A92" s="2475"/>
      <c r="B92" s="945" t="s">
        <v>10</v>
      </c>
      <c r="C92" s="945" t="s">
        <v>11</v>
      </c>
      <c r="D92" s="945" t="s">
        <v>11</v>
      </c>
      <c r="E92" s="945" t="s">
        <v>11</v>
      </c>
    </row>
    <row r="93" spans="1:5" ht="13.5" thickBot="1" x14ac:dyDescent="0.25">
      <c r="A93" s="949" t="s">
        <v>19</v>
      </c>
      <c r="B93" s="951">
        <v>10</v>
      </c>
      <c r="C93" s="951">
        <v>10</v>
      </c>
      <c r="D93" s="951">
        <v>10</v>
      </c>
      <c r="E93" s="951">
        <v>10</v>
      </c>
    </row>
    <row r="94" spans="1:5" ht="13.5" thickBot="1" x14ac:dyDescent="0.25">
      <c r="A94" s="949" t="s">
        <v>20</v>
      </c>
      <c r="B94" s="951">
        <v>600</v>
      </c>
      <c r="C94" s="951">
        <v>600</v>
      </c>
      <c r="D94" s="951">
        <v>600</v>
      </c>
      <c r="E94" s="951">
        <v>600</v>
      </c>
    </row>
    <row r="95" spans="1:5" ht="13.5" thickBot="1" x14ac:dyDescent="0.25">
      <c r="A95" s="949" t="s">
        <v>21</v>
      </c>
      <c r="B95" s="951">
        <f>B94/B93</f>
        <v>60</v>
      </c>
      <c r="C95" s="951">
        <f>C94/C93</f>
        <v>60</v>
      </c>
      <c r="D95" s="951">
        <f>D94/D93</f>
        <v>60</v>
      </c>
      <c r="E95" s="951">
        <f>E94/E93</f>
        <v>60</v>
      </c>
    </row>
    <row r="96" spans="1:5" ht="13.5" thickBot="1" x14ac:dyDescent="0.25">
      <c r="A96" s="949" t="s">
        <v>22</v>
      </c>
      <c r="B96" s="948" t="s">
        <v>23</v>
      </c>
      <c r="C96" s="947">
        <f t="shared" ref="C96:E98" si="2">C93/B93-1</f>
        <v>0</v>
      </c>
      <c r="D96" s="947">
        <f t="shared" si="2"/>
        <v>0</v>
      </c>
      <c r="E96" s="947">
        <f t="shared" si="2"/>
        <v>0</v>
      </c>
    </row>
    <row r="97" spans="1:5" ht="13.5" thickBot="1" x14ac:dyDescent="0.25">
      <c r="A97" s="949" t="s">
        <v>24</v>
      </c>
      <c r="B97" s="948" t="s">
        <v>23</v>
      </c>
      <c r="C97" s="947">
        <f t="shared" si="2"/>
        <v>0</v>
      </c>
      <c r="D97" s="947">
        <f t="shared" si="2"/>
        <v>0</v>
      </c>
      <c r="E97" s="947">
        <f t="shared" si="2"/>
        <v>0</v>
      </c>
    </row>
    <row r="98" spans="1:5" ht="23.25" thickBot="1" x14ac:dyDescent="0.25">
      <c r="A98" s="949" t="s">
        <v>25</v>
      </c>
      <c r="B98" s="948" t="s">
        <v>23</v>
      </c>
      <c r="C98" s="947">
        <f t="shared" si="2"/>
        <v>0</v>
      </c>
      <c r="D98" s="947">
        <f t="shared" si="2"/>
        <v>0</v>
      </c>
      <c r="E98" s="947">
        <f t="shared" si="2"/>
        <v>0</v>
      </c>
    </row>
    <row r="99" spans="1:5" ht="13.5" thickBot="1" x14ac:dyDescent="0.25">
      <c r="A99" s="2476" t="s">
        <v>1513</v>
      </c>
      <c r="B99" s="2477"/>
      <c r="C99" s="2477"/>
      <c r="D99" s="2477"/>
      <c r="E99" s="2478"/>
    </row>
    <row r="100" spans="1:5" x14ac:dyDescent="0.2">
      <c r="A100" s="2474"/>
      <c r="B100" s="946">
        <v>2018</v>
      </c>
      <c r="C100" s="946">
        <v>2019</v>
      </c>
      <c r="D100" s="946">
        <v>2020</v>
      </c>
      <c r="E100" s="946">
        <v>2021</v>
      </c>
    </row>
    <row r="101" spans="1:5" ht="13.5" thickBot="1" x14ac:dyDescent="0.25">
      <c r="A101" s="2475"/>
      <c r="B101" s="945" t="s">
        <v>10</v>
      </c>
      <c r="C101" s="945" t="s">
        <v>11</v>
      </c>
      <c r="D101" s="945" t="s">
        <v>11</v>
      </c>
      <c r="E101" s="945" t="s">
        <v>11</v>
      </c>
    </row>
    <row r="102" spans="1:5" ht="13.5" thickBot="1" x14ac:dyDescent="0.25">
      <c r="A102" s="935" t="s">
        <v>58</v>
      </c>
      <c r="B102" s="928"/>
      <c r="C102" s="928"/>
      <c r="D102" s="928"/>
      <c r="E102" s="928"/>
    </row>
    <row r="103" spans="1:5" ht="13.5" thickBot="1" x14ac:dyDescent="0.25">
      <c r="A103" s="935" t="s">
        <v>59</v>
      </c>
      <c r="B103" s="933">
        <v>600</v>
      </c>
      <c r="C103" s="928">
        <v>600</v>
      </c>
      <c r="D103" s="928">
        <v>600</v>
      </c>
      <c r="E103" s="928">
        <v>600</v>
      </c>
    </row>
    <row r="104" spans="1:5" ht="24.75" thickBot="1" x14ac:dyDescent="0.25">
      <c r="A104" s="944" t="s">
        <v>43</v>
      </c>
      <c r="B104" s="943">
        <f>B103+B102</f>
        <v>600</v>
      </c>
      <c r="C104" s="943">
        <f>C103+C102</f>
        <v>600</v>
      </c>
      <c r="D104" s="943">
        <f>D103+D102</f>
        <v>600</v>
      </c>
      <c r="E104" s="943">
        <f>E103+E102</f>
        <v>600</v>
      </c>
    </row>
    <row r="105" spans="1:5" x14ac:dyDescent="0.2">
      <c r="A105" s="2444" t="s">
        <v>118</v>
      </c>
      <c r="B105" s="2479" t="s">
        <v>1518</v>
      </c>
      <c r="C105" s="2480"/>
      <c r="D105" s="2480"/>
      <c r="E105" s="2481"/>
    </row>
    <row r="106" spans="1:5" x14ac:dyDescent="0.2">
      <c r="A106" s="2445"/>
      <c r="B106" s="2482"/>
      <c r="C106" s="2483"/>
      <c r="D106" s="2483"/>
      <c r="E106" s="2484"/>
    </row>
    <row r="107" spans="1:5" ht="13.5" thickBot="1" x14ac:dyDescent="0.25">
      <c r="A107" s="2446"/>
      <c r="B107" s="2485"/>
      <c r="C107" s="2486"/>
      <c r="D107" s="2486"/>
      <c r="E107" s="2487"/>
    </row>
    <row r="108" spans="1:5" ht="13.5" thickBot="1" x14ac:dyDescent="0.25">
      <c r="A108" s="953" t="s">
        <v>1517</v>
      </c>
      <c r="B108" s="2488" t="s">
        <v>1516</v>
      </c>
      <c r="C108" s="2489"/>
      <c r="D108" s="2489"/>
      <c r="E108" s="2490"/>
    </row>
    <row r="109" spans="1:5" ht="13.5" thickBot="1" x14ac:dyDescent="0.25">
      <c r="A109" s="952" t="s">
        <v>44</v>
      </c>
      <c r="B109" s="2465" t="s">
        <v>1515</v>
      </c>
      <c r="C109" s="2466"/>
      <c r="D109" s="2466"/>
      <c r="E109" s="2467"/>
    </row>
    <row r="110" spans="1:5" ht="13.5" thickBot="1" x14ac:dyDescent="0.25">
      <c r="A110" s="949" t="s">
        <v>17</v>
      </c>
      <c r="B110" s="2468" t="s">
        <v>1514</v>
      </c>
      <c r="C110" s="2469"/>
      <c r="D110" s="2469"/>
      <c r="E110" s="2470"/>
    </row>
    <row r="111" spans="1:5" ht="13.5" thickBot="1" x14ac:dyDescent="0.25">
      <c r="A111" s="949" t="s">
        <v>18</v>
      </c>
      <c r="B111" s="2471" t="s">
        <v>73</v>
      </c>
      <c r="C111" s="2472"/>
      <c r="D111" s="2472"/>
      <c r="E111" s="2473"/>
    </row>
    <row r="112" spans="1:5" x14ac:dyDescent="0.2">
      <c r="A112" s="2474"/>
      <c r="B112" s="946">
        <v>2018</v>
      </c>
      <c r="C112" s="946">
        <v>2019</v>
      </c>
      <c r="D112" s="946">
        <v>2020</v>
      </c>
      <c r="E112" s="946">
        <v>2021</v>
      </c>
    </row>
    <row r="113" spans="1:9" ht="13.5" thickBot="1" x14ac:dyDescent="0.25">
      <c r="A113" s="2475"/>
      <c r="B113" s="945" t="s">
        <v>10</v>
      </c>
      <c r="C113" s="945" t="s">
        <v>11</v>
      </c>
      <c r="D113" s="945" t="s">
        <v>11</v>
      </c>
      <c r="E113" s="945" t="s">
        <v>11</v>
      </c>
    </row>
    <row r="114" spans="1:9" ht="13.5" thickBot="1" x14ac:dyDescent="0.25">
      <c r="A114" s="949" t="s">
        <v>19</v>
      </c>
      <c r="B114" s="951">
        <v>0</v>
      </c>
      <c r="C114" s="951">
        <v>1</v>
      </c>
      <c r="D114" s="951">
        <v>0</v>
      </c>
      <c r="E114" s="951">
        <v>0</v>
      </c>
    </row>
    <row r="115" spans="1:9" ht="13.5" thickBot="1" x14ac:dyDescent="0.25">
      <c r="A115" s="949" t="s">
        <v>20</v>
      </c>
      <c r="B115" s="951">
        <v>0</v>
      </c>
      <c r="C115" s="951">
        <v>2000</v>
      </c>
      <c r="D115" s="951">
        <v>0</v>
      </c>
      <c r="E115" s="951">
        <v>0</v>
      </c>
    </row>
    <row r="116" spans="1:9" ht="13.5" thickBot="1" x14ac:dyDescent="0.25">
      <c r="A116" s="949" t="s">
        <v>21</v>
      </c>
      <c r="B116" s="951" t="e">
        <f>B115/B114</f>
        <v>#DIV/0!</v>
      </c>
      <c r="C116" s="951">
        <f>C115/C114</f>
        <v>2000</v>
      </c>
      <c r="D116" s="951" t="e">
        <f>D115/D114</f>
        <v>#DIV/0!</v>
      </c>
      <c r="E116" s="951" t="e">
        <f>E115/E114</f>
        <v>#DIV/0!</v>
      </c>
    </row>
    <row r="117" spans="1:9" ht="13.5" thickBot="1" x14ac:dyDescent="0.25">
      <c r="A117" s="949" t="s">
        <v>22</v>
      </c>
      <c r="B117" s="948" t="s">
        <v>23</v>
      </c>
      <c r="C117" s="947" t="e">
        <f t="shared" ref="C117:E119" si="3">C114/B114-1</f>
        <v>#DIV/0!</v>
      </c>
      <c r="D117" s="947">
        <f t="shared" si="3"/>
        <v>-1</v>
      </c>
      <c r="E117" s="947" t="e">
        <f t="shared" si="3"/>
        <v>#DIV/0!</v>
      </c>
      <c r="F117" s="950"/>
      <c r="G117" s="950"/>
      <c r="H117" s="950"/>
      <c r="I117" s="950"/>
    </row>
    <row r="118" spans="1:9" ht="13.5" thickBot="1" x14ac:dyDescent="0.25">
      <c r="A118" s="949" t="s">
        <v>24</v>
      </c>
      <c r="B118" s="948" t="s">
        <v>23</v>
      </c>
      <c r="C118" s="947" t="e">
        <f t="shared" si="3"/>
        <v>#DIV/0!</v>
      </c>
      <c r="D118" s="947">
        <f t="shared" si="3"/>
        <v>-1</v>
      </c>
      <c r="E118" s="947" t="e">
        <f t="shared" si="3"/>
        <v>#DIV/0!</v>
      </c>
    </row>
    <row r="119" spans="1:9" ht="23.25" thickBot="1" x14ac:dyDescent="0.25">
      <c r="A119" s="949" t="s">
        <v>25</v>
      </c>
      <c r="B119" s="948" t="s">
        <v>23</v>
      </c>
      <c r="C119" s="947" t="e">
        <f t="shared" si="3"/>
        <v>#DIV/0!</v>
      </c>
      <c r="D119" s="947" t="e">
        <f t="shared" si="3"/>
        <v>#DIV/0!</v>
      </c>
      <c r="E119" s="947" t="e">
        <f t="shared" si="3"/>
        <v>#DIV/0!</v>
      </c>
    </row>
    <row r="120" spans="1:9" ht="13.5" thickBot="1" x14ac:dyDescent="0.25">
      <c r="A120" s="2476" t="s">
        <v>1513</v>
      </c>
      <c r="B120" s="2477"/>
      <c r="C120" s="2477"/>
      <c r="D120" s="2477"/>
      <c r="E120" s="2478"/>
    </row>
    <row r="121" spans="1:9" x14ac:dyDescent="0.2">
      <c r="A121" s="2474"/>
      <c r="B121" s="946">
        <v>2018</v>
      </c>
      <c r="C121" s="946">
        <v>2019</v>
      </c>
      <c r="D121" s="946">
        <v>2020</v>
      </c>
      <c r="E121" s="946">
        <v>2021</v>
      </c>
    </row>
    <row r="122" spans="1:9" ht="13.5" thickBot="1" x14ac:dyDescent="0.25">
      <c r="A122" s="2475"/>
      <c r="B122" s="945" t="s">
        <v>10</v>
      </c>
      <c r="C122" s="945" t="s">
        <v>11</v>
      </c>
      <c r="D122" s="945" t="s">
        <v>11</v>
      </c>
      <c r="E122" s="945" t="s">
        <v>11</v>
      </c>
    </row>
    <row r="123" spans="1:9" ht="13.5" thickBot="1" x14ac:dyDescent="0.25">
      <c r="A123" s="935" t="s">
        <v>58</v>
      </c>
      <c r="B123" s="928"/>
      <c r="C123" s="928"/>
      <c r="D123" s="928"/>
      <c r="E123" s="928"/>
    </row>
    <row r="124" spans="1:9" ht="13.5" thickBot="1" x14ac:dyDescent="0.25">
      <c r="A124" s="935" t="s">
        <v>59</v>
      </c>
      <c r="B124" s="933">
        <v>0</v>
      </c>
      <c r="C124" s="928">
        <v>2000</v>
      </c>
      <c r="D124" s="928">
        <v>0</v>
      </c>
      <c r="E124" s="928">
        <v>0</v>
      </c>
    </row>
    <row r="125" spans="1:9" ht="24.75" thickBot="1" x14ac:dyDescent="0.25">
      <c r="A125" s="944" t="s">
        <v>52</v>
      </c>
      <c r="B125" s="943">
        <f>B124+B123</f>
        <v>0</v>
      </c>
      <c r="C125" s="943">
        <f>C124+C123</f>
        <v>2000</v>
      </c>
      <c r="D125" s="943">
        <f>D124+D123</f>
        <v>0</v>
      </c>
      <c r="E125" s="943">
        <f>E124+E123</f>
        <v>0</v>
      </c>
    </row>
    <row r="126" spans="1:9" x14ac:dyDescent="0.2">
      <c r="A126" s="2444" t="s">
        <v>118</v>
      </c>
      <c r="B126" s="2447" t="s">
        <v>1512</v>
      </c>
      <c r="C126" s="2448"/>
      <c r="D126" s="2448"/>
      <c r="E126" s="2449"/>
    </row>
    <row r="127" spans="1:9" x14ac:dyDescent="0.2">
      <c r="A127" s="2445"/>
      <c r="B127" s="2450"/>
      <c r="C127" s="2451"/>
      <c r="D127" s="2451"/>
      <c r="E127" s="2452"/>
    </row>
    <row r="128" spans="1:9" ht="32.25" customHeight="1" thickBot="1" x14ac:dyDescent="0.25">
      <c r="A128" s="2446"/>
      <c r="B128" s="2453"/>
      <c r="C128" s="2454"/>
      <c r="D128" s="2454"/>
      <c r="E128" s="2455"/>
    </row>
    <row r="129" spans="1:5" ht="13.5" thickBot="1" x14ac:dyDescent="0.25">
      <c r="A129" s="942"/>
      <c r="B129" s="941"/>
      <c r="C129" s="941"/>
      <c r="D129" s="941"/>
      <c r="E129" s="941"/>
    </row>
    <row r="130" spans="1:5" ht="36.75" thickBot="1" x14ac:dyDescent="0.25">
      <c r="A130" s="940" t="s">
        <v>82</v>
      </c>
      <c r="B130" s="939">
        <f>+B115+B73++B30+B94</f>
        <v>33700</v>
      </c>
      <c r="C130" s="939">
        <f>+C115+C73++C30+C94</f>
        <v>36440</v>
      </c>
      <c r="D130" s="939">
        <f>+D115+D73++D30+D94</f>
        <v>34940</v>
      </c>
      <c r="E130" s="939">
        <f>+E115+E73++E30+E94</f>
        <v>35440</v>
      </c>
    </row>
    <row r="131" spans="1:5" ht="36.75" thickBot="1" x14ac:dyDescent="0.25">
      <c r="A131" s="940" t="s">
        <v>83</v>
      </c>
      <c r="B131" s="939">
        <f>B59+B83+B125+B104</f>
        <v>33700</v>
      </c>
      <c r="C131" s="939">
        <f>C59+C83+C125+C104</f>
        <v>36440</v>
      </c>
      <c r="D131" s="939">
        <f>D59+D83+D125+D104</f>
        <v>34940</v>
      </c>
      <c r="E131" s="939">
        <f>E59+E83+E125+E104</f>
        <v>35440</v>
      </c>
    </row>
    <row r="132" spans="1:5" ht="24.75" thickBot="1" x14ac:dyDescent="0.25">
      <c r="A132" s="938" t="s">
        <v>84</v>
      </c>
      <c r="B132" s="937"/>
      <c r="C132" s="936">
        <f>C131/B131-1</f>
        <v>8.1305637982195922E-2</v>
      </c>
      <c r="D132" s="936">
        <f>D131/C131-1</f>
        <v>-4.116355653128434E-2</v>
      </c>
      <c r="E132" s="936">
        <f>E131/D131-1</f>
        <v>1.431024613623344E-2</v>
      </c>
    </row>
    <row r="133" spans="1:5" ht="13.5" thickBot="1" x14ac:dyDescent="0.25">
      <c r="A133" s="935" t="s">
        <v>26</v>
      </c>
      <c r="B133" s="928">
        <f>+B38</f>
        <v>18330</v>
      </c>
      <c r="C133" s="928">
        <f>+C38</f>
        <v>18770</v>
      </c>
      <c r="D133" s="928">
        <f>+D38</f>
        <v>18770</v>
      </c>
      <c r="E133" s="928">
        <f>+E38</f>
        <v>18770</v>
      </c>
    </row>
    <row r="134" spans="1:5" ht="13.5" thickBot="1" x14ac:dyDescent="0.25">
      <c r="A134" s="934" t="s">
        <v>85</v>
      </c>
      <c r="B134" s="933"/>
      <c r="C134" s="932">
        <f>C133/B133-1</f>
        <v>2.4004364429896397E-2</v>
      </c>
      <c r="D134" s="932">
        <f>D133/C133-1</f>
        <v>0</v>
      </c>
      <c r="E134" s="932">
        <f>E133/D133-1</f>
        <v>0</v>
      </c>
    </row>
    <row r="135" spans="1:5" ht="24.75" thickBot="1" x14ac:dyDescent="0.25">
      <c r="A135" s="935" t="s">
        <v>28</v>
      </c>
      <c r="B135" s="928">
        <f>+B41</f>
        <v>2970</v>
      </c>
      <c r="C135" s="928">
        <f>+C41</f>
        <v>2970</v>
      </c>
      <c r="D135" s="928">
        <f>+D41</f>
        <v>2970</v>
      </c>
      <c r="E135" s="928">
        <f>+E41</f>
        <v>2970</v>
      </c>
    </row>
    <row r="136" spans="1:5" ht="24.75" thickBot="1" x14ac:dyDescent="0.25">
      <c r="A136" s="934" t="s">
        <v>86</v>
      </c>
      <c r="B136" s="933"/>
      <c r="C136" s="932">
        <f>C135/B135-1</f>
        <v>0</v>
      </c>
      <c r="D136" s="932">
        <f>D135/C135-1</f>
        <v>0</v>
      </c>
      <c r="E136" s="932">
        <f>E135/D135-1</f>
        <v>0</v>
      </c>
    </row>
    <row r="137" spans="1:5" ht="13.5" thickBot="1" x14ac:dyDescent="0.25">
      <c r="A137" s="935" t="s">
        <v>30</v>
      </c>
      <c r="B137" s="928">
        <f>+B44</f>
        <v>11400</v>
      </c>
      <c r="C137" s="928">
        <f>+C44</f>
        <v>11700</v>
      </c>
      <c r="D137" s="928">
        <f>+D44</f>
        <v>12200</v>
      </c>
      <c r="E137" s="928">
        <f>+E44</f>
        <v>12700</v>
      </c>
    </row>
    <row r="138" spans="1:5" ht="24.75" thickBot="1" x14ac:dyDescent="0.25">
      <c r="A138" s="934" t="s">
        <v>87</v>
      </c>
      <c r="B138" s="933"/>
      <c r="C138" s="932">
        <f>C137/B137-1</f>
        <v>2.6315789473684292E-2</v>
      </c>
      <c r="D138" s="932">
        <f>D137/C137-1</f>
        <v>4.2735042735042805E-2</v>
      </c>
      <c r="E138" s="932">
        <f>E137/D137-1</f>
        <v>4.0983606557376984E-2</v>
      </c>
    </row>
    <row r="139" spans="1:5" ht="13.5" thickBot="1" x14ac:dyDescent="0.25">
      <c r="A139" s="935" t="s">
        <v>32</v>
      </c>
      <c r="B139" s="928">
        <f>+B47</f>
        <v>0</v>
      </c>
      <c r="C139" s="928">
        <f>+C47</f>
        <v>0</v>
      </c>
      <c r="D139" s="928">
        <f>+D47</f>
        <v>0</v>
      </c>
      <c r="E139" s="928">
        <f>+E47</f>
        <v>0</v>
      </c>
    </row>
    <row r="140" spans="1:5" ht="24.75" thickBot="1" x14ac:dyDescent="0.25">
      <c r="A140" s="934" t="s">
        <v>88</v>
      </c>
      <c r="B140" s="933"/>
      <c r="C140" s="932">
        <v>0</v>
      </c>
      <c r="D140" s="932">
        <v>0</v>
      </c>
      <c r="E140" s="932">
        <v>0</v>
      </c>
    </row>
    <row r="141" spans="1:5" ht="24.75" thickBot="1" x14ac:dyDescent="0.25">
      <c r="A141" s="935" t="s">
        <v>34</v>
      </c>
      <c r="B141" s="928">
        <f>+B50</f>
        <v>0</v>
      </c>
      <c r="C141" s="928">
        <f>+C50</f>
        <v>0</v>
      </c>
      <c r="D141" s="928">
        <f>+D50</f>
        <v>0</v>
      </c>
      <c r="E141" s="928">
        <f>+E50</f>
        <v>0</v>
      </c>
    </row>
    <row r="142" spans="1:5" ht="24.75" thickBot="1" x14ac:dyDescent="0.25">
      <c r="A142" s="934" t="s">
        <v>89</v>
      </c>
      <c r="B142" s="933"/>
      <c r="C142" s="932">
        <v>0</v>
      </c>
      <c r="D142" s="932">
        <v>0</v>
      </c>
      <c r="E142" s="932">
        <v>0</v>
      </c>
    </row>
    <row r="143" spans="1:5" ht="13.5" thickBot="1" x14ac:dyDescent="0.25">
      <c r="A143" s="935" t="s">
        <v>36</v>
      </c>
      <c r="B143" s="928">
        <f>+B53</f>
        <v>0</v>
      </c>
      <c r="C143" s="928">
        <f>+C53</f>
        <v>0</v>
      </c>
      <c r="D143" s="928">
        <f>+D53</f>
        <v>0</v>
      </c>
      <c r="E143" s="928">
        <f>+E53</f>
        <v>0</v>
      </c>
    </row>
    <row r="144" spans="1:5" ht="24.75" thickBot="1" x14ac:dyDescent="0.25">
      <c r="A144" s="934" t="s">
        <v>90</v>
      </c>
      <c r="B144" s="933"/>
      <c r="C144" s="932">
        <v>0</v>
      </c>
      <c r="D144" s="932">
        <v>0</v>
      </c>
      <c r="E144" s="932">
        <v>0</v>
      </c>
    </row>
    <row r="145" spans="1:5" ht="24.75" thickBot="1" x14ac:dyDescent="0.25">
      <c r="A145" s="935" t="s">
        <v>38</v>
      </c>
      <c r="B145" s="928">
        <f>+B56</f>
        <v>0</v>
      </c>
      <c r="C145" s="928">
        <f>+C56</f>
        <v>0</v>
      </c>
      <c r="D145" s="928">
        <f>+D56</f>
        <v>0</v>
      </c>
      <c r="E145" s="928">
        <f>+E56</f>
        <v>0</v>
      </c>
    </row>
    <row r="146" spans="1:5" ht="24.75" thickBot="1" x14ac:dyDescent="0.25">
      <c r="A146" s="934" t="s">
        <v>91</v>
      </c>
      <c r="B146" s="933"/>
      <c r="C146" s="932">
        <v>0</v>
      </c>
      <c r="D146" s="932">
        <v>0</v>
      </c>
      <c r="E146" s="932">
        <v>0</v>
      </c>
    </row>
    <row r="147" spans="1:5" ht="13.5" thickBot="1" x14ac:dyDescent="0.25">
      <c r="A147" s="935" t="s">
        <v>92</v>
      </c>
      <c r="B147" s="928">
        <f>B81+B123</f>
        <v>0</v>
      </c>
      <c r="C147" s="928">
        <f>C81+C123</f>
        <v>0</v>
      </c>
      <c r="D147" s="928">
        <f>D81+D123</f>
        <v>0</v>
      </c>
      <c r="E147" s="928">
        <f>E81+E123</f>
        <v>0</v>
      </c>
    </row>
    <row r="148" spans="1:5" ht="24.75" thickBot="1" x14ac:dyDescent="0.25">
      <c r="A148" s="934" t="s">
        <v>93</v>
      </c>
      <c r="B148" s="933"/>
      <c r="C148" s="932">
        <v>0</v>
      </c>
      <c r="D148" s="932">
        <v>0</v>
      </c>
      <c r="E148" s="932">
        <v>0</v>
      </c>
    </row>
    <row r="149" spans="1:5" ht="13.5" thickBot="1" x14ac:dyDescent="0.25">
      <c r="A149" s="935" t="s">
        <v>94</v>
      </c>
      <c r="B149" s="928">
        <f>B82+B124+B103</f>
        <v>1000</v>
      </c>
      <c r="C149" s="928">
        <f>C82+C124+C103</f>
        <v>3000</v>
      </c>
      <c r="D149" s="928">
        <f>D82+D124+D103</f>
        <v>1000</v>
      </c>
      <c r="E149" s="928">
        <f>E82+E124+E103</f>
        <v>1000</v>
      </c>
    </row>
    <row r="150" spans="1:5" ht="24.75" thickBot="1" x14ac:dyDescent="0.25">
      <c r="A150" s="934" t="s">
        <v>95</v>
      </c>
      <c r="B150" s="933"/>
      <c r="C150" s="932">
        <f>C149/B149-1</f>
        <v>2</v>
      </c>
      <c r="D150" s="932">
        <f>D149/C149-1</f>
        <v>-0.66666666666666674</v>
      </c>
      <c r="E150" s="932">
        <f>E149/D149-1</f>
        <v>0</v>
      </c>
    </row>
    <row r="151" spans="1:5" x14ac:dyDescent="0.2">
      <c r="A151" s="2456" t="s">
        <v>1413</v>
      </c>
      <c r="B151" s="2459"/>
      <c r="C151" s="2459"/>
      <c r="D151" s="2459"/>
      <c r="E151" s="2460"/>
    </row>
    <row r="152" spans="1:5" x14ac:dyDescent="0.2">
      <c r="A152" s="2457"/>
      <c r="B152" s="2461"/>
      <c r="C152" s="2461"/>
      <c r="D152" s="2461"/>
      <c r="E152" s="2462"/>
    </row>
    <row r="153" spans="1:5" ht="13.5" thickBot="1" x14ac:dyDescent="0.25">
      <c r="A153" s="2458"/>
      <c r="B153" s="2463"/>
      <c r="C153" s="2463"/>
      <c r="D153" s="2463"/>
      <c r="E153" s="2464"/>
    </row>
    <row r="154" spans="1:5" ht="13.5" thickBot="1" x14ac:dyDescent="0.25">
      <c r="A154" s="931" t="s">
        <v>41</v>
      </c>
      <c r="B154" s="930">
        <f>IF(B131-B130=0,0,"Error")</f>
        <v>0</v>
      </c>
      <c r="C154" s="930">
        <f>IF(C131-C130=0,0,"Error")</f>
        <v>0</v>
      </c>
      <c r="D154" s="930">
        <f>IF(D131-D130=0,0,"Error")</f>
        <v>0</v>
      </c>
      <c r="E154" s="930">
        <f>IF(E131-E130=0,0,"Error")</f>
        <v>0</v>
      </c>
    </row>
    <row r="155" spans="1:5" ht="36.75" thickBot="1" x14ac:dyDescent="0.25">
      <c r="A155" s="929" t="s">
        <v>96</v>
      </c>
      <c r="B155" s="928">
        <v>19</v>
      </c>
      <c r="C155" s="928">
        <v>19</v>
      </c>
      <c r="D155" s="928">
        <v>19</v>
      </c>
      <c r="E155" s="928">
        <v>19</v>
      </c>
    </row>
    <row r="156" spans="1:5" ht="36.75" thickBot="1" x14ac:dyDescent="0.25">
      <c r="A156" s="929" t="s">
        <v>97</v>
      </c>
      <c r="B156" s="928">
        <v>0</v>
      </c>
      <c r="C156" s="928">
        <v>0</v>
      </c>
      <c r="D156" s="928">
        <v>0</v>
      </c>
      <c r="E156" s="928">
        <v>0</v>
      </c>
    </row>
    <row r="157" spans="1:5" x14ac:dyDescent="0.2">
      <c r="A157" s="925"/>
      <c r="B157" s="927"/>
      <c r="C157" s="926"/>
      <c r="D157" s="925"/>
      <c r="E157" s="925"/>
    </row>
  </sheetData>
  <mergeCells count="51">
    <mergeCell ref="B21:E21"/>
    <mergeCell ref="B5:E5"/>
    <mergeCell ref="B6:E6"/>
    <mergeCell ref="B7:E7"/>
    <mergeCell ref="C8:E8"/>
    <mergeCell ref="C9:E9"/>
    <mergeCell ref="C10:E10"/>
    <mergeCell ref="B14:E14"/>
    <mergeCell ref="B15:E15"/>
    <mergeCell ref="B16:E16"/>
    <mergeCell ref="A17:E17"/>
    <mergeCell ref="A18:E20"/>
    <mergeCell ref="A11:E11"/>
    <mergeCell ref="B69:E69"/>
    <mergeCell ref="A22:A23"/>
    <mergeCell ref="B26:E26"/>
    <mergeCell ref="A27:A28"/>
    <mergeCell ref="A35:E35"/>
    <mergeCell ref="A36:A37"/>
    <mergeCell ref="A60:A62"/>
    <mergeCell ref="B60:E62"/>
    <mergeCell ref="A64:E64"/>
    <mergeCell ref="A65:E65"/>
    <mergeCell ref="B66:E66"/>
    <mergeCell ref="B67:E67"/>
    <mergeCell ref="B68:E68"/>
    <mergeCell ref="A100:A101"/>
    <mergeCell ref="A105:A107"/>
    <mergeCell ref="B105:E107"/>
    <mergeCell ref="B108:E108"/>
    <mergeCell ref="A70:A71"/>
    <mergeCell ref="A78:E78"/>
    <mergeCell ref="A79:A80"/>
    <mergeCell ref="A84:A86"/>
    <mergeCell ref="B84:E86"/>
    <mergeCell ref="B87:E87"/>
    <mergeCell ref="B88:E88"/>
    <mergeCell ref="B89:E89"/>
    <mergeCell ref="B90:E90"/>
    <mergeCell ref="A91:A92"/>
    <mergeCell ref="A99:E99"/>
    <mergeCell ref="A126:A128"/>
    <mergeCell ref="B126:E128"/>
    <mergeCell ref="A151:A153"/>
    <mergeCell ref="B151:E153"/>
    <mergeCell ref="B109:E109"/>
    <mergeCell ref="B110:E110"/>
    <mergeCell ref="B111:E111"/>
    <mergeCell ref="A112:A113"/>
    <mergeCell ref="A120:E120"/>
    <mergeCell ref="A121:A122"/>
  </mergeCells>
  <pageMargins left="0.21" right="0.2" top="0.27" bottom="0.24" header="0.22" footer="0.2"/>
  <pageSetup scale="86" fitToHeight="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2:I149"/>
  <sheetViews>
    <sheetView view="pageBreakPreview" topLeftCell="A131" zoomScale="60" zoomScaleNormal="100" workbookViewId="0">
      <selection activeCell="T180" sqref="T180"/>
    </sheetView>
  </sheetViews>
  <sheetFormatPr defaultRowHeight="15" x14ac:dyDescent="0.25"/>
  <cols>
    <col min="1" max="1" width="21.42578125" customWidth="1"/>
    <col min="2" max="2" width="16.42578125" customWidth="1"/>
    <col min="3" max="3" width="21.42578125" customWidth="1"/>
    <col min="4" max="4" width="17.5703125" customWidth="1"/>
    <col min="5" max="5" width="18.140625" customWidth="1"/>
    <col min="6" max="6" width="11" customWidth="1"/>
    <col min="7" max="7" width="11" bestFit="1" customWidth="1"/>
  </cols>
  <sheetData>
    <row r="2" spans="1:5" x14ac:dyDescent="0.25">
      <c r="A2" s="189" t="s">
        <v>898</v>
      </c>
      <c r="B2" s="981"/>
      <c r="C2" s="981"/>
      <c r="D2" s="981"/>
      <c r="E2" s="71"/>
    </row>
    <row r="3" spans="1:5" x14ac:dyDescent="0.25">
      <c r="A3" s="71"/>
      <c r="B3" s="71"/>
      <c r="C3" s="71"/>
      <c r="D3" s="71"/>
      <c r="E3" s="71"/>
    </row>
    <row r="4" spans="1:5" ht="15.75" thickBot="1" x14ac:dyDescent="0.3">
      <c r="A4" s="71"/>
      <c r="B4" s="71"/>
      <c r="C4" s="71"/>
      <c r="D4" s="71"/>
      <c r="E4" s="71"/>
    </row>
    <row r="5" spans="1:5" ht="48" thickBot="1" x14ac:dyDescent="0.3">
      <c r="A5" s="168" t="s">
        <v>897</v>
      </c>
      <c r="B5" s="1084" t="s">
        <v>1544</v>
      </c>
      <c r="C5" s="1085"/>
      <c r="D5" s="1085"/>
      <c r="E5" s="1086"/>
    </row>
    <row r="6" spans="1:5" ht="48" thickBot="1" x14ac:dyDescent="0.3">
      <c r="A6" s="36" t="s">
        <v>895</v>
      </c>
      <c r="B6" s="1087" t="s">
        <v>1543</v>
      </c>
      <c r="C6" s="1088"/>
      <c r="D6" s="1088"/>
      <c r="E6" s="1089"/>
    </row>
    <row r="7" spans="1:5" ht="48" thickBot="1" x14ac:dyDescent="0.3">
      <c r="A7" s="36" t="s">
        <v>914</v>
      </c>
      <c r="B7" s="2571" t="s">
        <v>1542</v>
      </c>
      <c r="C7" s="2572"/>
      <c r="D7" s="2572"/>
      <c r="E7" s="2573"/>
    </row>
    <row r="8" spans="1:5" ht="32.25" thickBot="1" x14ac:dyDescent="0.3">
      <c r="A8" s="36" t="s">
        <v>891</v>
      </c>
      <c r="B8" s="167" t="s">
        <v>912</v>
      </c>
      <c r="C8" s="1093" t="s">
        <v>7</v>
      </c>
      <c r="D8" s="1093"/>
      <c r="E8" s="1094"/>
    </row>
    <row r="9" spans="1:5" ht="78" customHeight="1" thickBot="1" x14ac:dyDescent="0.3">
      <c r="A9" s="36" t="s">
        <v>929</v>
      </c>
      <c r="B9" s="219" t="s">
        <v>4</v>
      </c>
      <c r="C9" s="2574" t="s">
        <v>1541</v>
      </c>
      <c r="D9" s="2575"/>
      <c r="E9" s="2576"/>
    </row>
    <row r="11" spans="1:5" ht="18" customHeight="1" x14ac:dyDescent="0.25">
      <c r="A11" s="1247" t="s">
        <v>926</v>
      </c>
      <c r="B11" s="1247"/>
      <c r="C11" s="1247"/>
      <c r="D11" s="1247"/>
      <c r="E11" s="1247"/>
    </row>
    <row r="12" spans="1:5" ht="15.75" thickBot="1" x14ac:dyDescent="0.3"/>
    <row r="13" spans="1:5" ht="26.25" thickBot="1" x14ac:dyDescent="0.3">
      <c r="A13" s="2" t="s">
        <v>2</v>
      </c>
      <c r="B13" s="1263" t="s">
        <v>323</v>
      </c>
      <c r="C13" s="1263"/>
      <c r="D13" s="1263"/>
      <c r="E13" s="1263"/>
    </row>
    <row r="14" spans="1:5" ht="15.75" thickBot="1" x14ac:dyDescent="0.3">
      <c r="A14" s="2" t="s">
        <v>3</v>
      </c>
      <c r="B14" s="1087" t="s">
        <v>4</v>
      </c>
      <c r="C14" s="1088"/>
      <c r="D14" s="1088"/>
      <c r="E14" s="1089"/>
    </row>
    <row r="15" spans="1:5" ht="26.25" thickBot="1" x14ac:dyDescent="0.3">
      <c r="A15" s="2" t="s">
        <v>5</v>
      </c>
      <c r="B15" s="1265" t="s">
        <v>6</v>
      </c>
      <c r="C15" s="1095"/>
      <c r="D15" s="1095"/>
      <c r="E15" s="1096"/>
    </row>
    <row r="16" spans="1:5" ht="15.75" thickBot="1" x14ac:dyDescent="0.3">
      <c r="A16" s="1266" t="s">
        <v>7</v>
      </c>
      <c r="B16" s="1267"/>
      <c r="C16" s="1267"/>
      <c r="D16" s="1267"/>
      <c r="E16" s="1297"/>
    </row>
    <row r="17" spans="1:8" ht="15.75" customHeight="1" x14ac:dyDescent="0.25">
      <c r="A17" s="2559" t="s">
        <v>1541</v>
      </c>
      <c r="B17" s="2560"/>
      <c r="C17" s="2560"/>
      <c r="D17" s="2560"/>
      <c r="E17" s="2561"/>
    </row>
    <row r="18" spans="1:8" ht="13.5" customHeight="1" thickBot="1" x14ac:dyDescent="0.3">
      <c r="A18" s="2562"/>
      <c r="B18" s="2563"/>
      <c r="C18" s="2563"/>
      <c r="D18" s="2563"/>
      <c r="E18" s="2564"/>
    </row>
    <row r="19" spans="1:8" ht="15.75" hidden="1" customHeight="1" thickBot="1" x14ac:dyDescent="0.3">
      <c r="A19" s="2565"/>
      <c r="B19" s="2566"/>
      <c r="C19" s="2566"/>
      <c r="D19" s="2566"/>
      <c r="E19" s="2567"/>
    </row>
    <row r="20" spans="1:8" ht="50.25" customHeight="1" thickBot="1" x14ac:dyDescent="0.3">
      <c r="A20" s="3" t="s">
        <v>8</v>
      </c>
      <c r="B20" s="2542" t="s">
        <v>1540</v>
      </c>
      <c r="C20" s="2543"/>
      <c r="D20" s="2543"/>
      <c r="E20" s="2577"/>
    </row>
    <row r="21" spans="1:8" ht="23.25" customHeight="1" x14ac:dyDescent="0.25">
      <c r="A21" s="1250" t="s">
        <v>102</v>
      </c>
      <c r="B21" s="262">
        <v>2018</v>
      </c>
      <c r="C21" s="262">
        <v>2019</v>
      </c>
      <c r="D21" s="262">
        <v>2020</v>
      </c>
      <c r="E21" s="262">
        <v>2021</v>
      </c>
    </row>
    <row r="22" spans="1:8" ht="15.75" thickBot="1" x14ac:dyDescent="0.3">
      <c r="A22" s="1251"/>
      <c r="B22" s="263" t="s">
        <v>10</v>
      </c>
      <c r="C22" s="263" t="s">
        <v>11</v>
      </c>
      <c r="D22" s="263" t="s">
        <v>11</v>
      </c>
      <c r="E22" s="263" t="s">
        <v>11</v>
      </c>
    </row>
    <row r="23" spans="1:8" ht="34.5" thickBot="1" x14ac:dyDescent="0.3">
      <c r="A23" s="261" t="s">
        <v>1539</v>
      </c>
      <c r="B23" s="4">
        <v>0</v>
      </c>
      <c r="C23" s="4" t="s">
        <v>120</v>
      </c>
      <c r="D23" s="4" t="s">
        <v>120</v>
      </c>
      <c r="E23" s="4" t="s">
        <v>120</v>
      </c>
    </row>
    <row r="24" spans="1:8" ht="23.25" thickBot="1" x14ac:dyDescent="0.3">
      <c r="A24" s="5" t="s">
        <v>324</v>
      </c>
      <c r="B24" s="60">
        <f>3*(32+273+42+240)</f>
        <v>1761</v>
      </c>
      <c r="C24" s="4">
        <v>0.09</v>
      </c>
      <c r="D24" s="4">
        <v>0.09</v>
      </c>
      <c r="E24" s="4">
        <v>0.09</v>
      </c>
    </row>
    <row r="25" spans="1:8" ht="23.25" thickBot="1" x14ac:dyDescent="0.3">
      <c r="A25" s="5" t="s">
        <v>325</v>
      </c>
      <c r="B25" s="978">
        <v>4</v>
      </c>
      <c r="C25" s="978">
        <v>5</v>
      </c>
      <c r="D25" s="978">
        <v>6</v>
      </c>
      <c r="E25" s="978">
        <v>7</v>
      </c>
    </row>
    <row r="26" spans="1:8" ht="24.75" thickBot="1" x14ac:dyDescent="0.3">
      <c r="A26" s="6" t="s">
        <v>12</v>
      </c>
      <c r="B26" s="1351" t="s">
        <v>1538</v>
      </c>
      <c r="C26" s="1352"/>
      <c r="D26" s="1352"/>
      <c r="E26" s="1353"/>
    </row>
    <row r="27" spans="1:8" ht="23.25" customHeight="1" thickBot="1" x14ac:dyDescent="0.3">
      <c r="A27" s="1245" t="s">
        <v>103</v>
      </c>
      <c r="B27" s="1246"/>
      <c r="C27" s="1246"/>
      <c r="D27" s="1246"/>
      <c r="E27" s="1298"/>
      <c r="F27" s="35"/>
      <c r="H27" s="35"/>
    </row>
    <row r="28" spans="1:8" ht="15.75" thickBot="1" x14ac:dyDescent="0.3">
      <c r="A28" s="261" t="s">
        <v>326</v>
      </c>
      <c r="B28" s="980" t="s">
        <v>327</v>
      </c>
      <c r="C28" s="980" t="s">
        <v>328</v>
      </c>
      <c r="D28" s="980" t="s">
        <v>329</v>
      </c>
      <c r="E28" s="980" t="s">
        <v>330</v>
      </c>
    </row>
    <row r="29" spans="1:8" ht="15.75" thickBot="1" x14ac:dyDescent="0.3">
      <c r="A29" s="261" t="s">
        <v>331</v>
      </c>
      <c r="B29" s="980">
        <v>3</v>
      </c>
      <c r="C29" s="980">
        <v>2</v>
      </c>
      <c r="D29" s="980">
        <v>1</v>
      </c>
      <c r="E29" s="980">
        <v>0</v>
      </c>
    </row>
    <row r="30" spans="1:8" ht="15.75" thickBot="1" x14ac:dyDescent="0.3">
      <c r="A30" s="1273" t="s">
        <v>14</v>
      </c>
      <c r="B30" s="1274"/>
      <c r="C30" s="1274"/>
      <c r="D30" s="1274"/>
      <c r="E30" s="1299"/>
    </row>
    <row r="31" spans="1:8" ht="15.75" thickBot="1" x14ac:dyDescent="0.3">
      <c r="A31" s="1275" t="s">
        <v>104</v>
      </c>
      <c r="B31" s="1276"/>
      <c r="C31" s="1276"/>
      <c r="D31" s="1276"/>
      <c r="E31" s="1317"/>
    </row>
    <row r="32" spans="1:8" ht="15.75" thickBot="1" x14ac:dyDescent="0.3">
      <c r="A32" s="979" t="s">
        <v>105</v>
      </c>
      <c r="B32" s="2556" t="s">
        <v>1537</v>
      </c>
      <c r="C32" s="2557"/>
      <c r="D32" s="2557"/>
      <c r="E32" s="2558"/>
    </row>
    <row r="33" spans="1:9" ht="17.25" customHeight="1" thickBot="1" x14ac:dyDescent="0.3">
      <c r="A33" s="5" t="s">
        <v>17</v>
      </c>
      <c r="B33" s="2568" t="s">
        <v>1536</v>
      </c>
      <c r="C33" s="2569"/>
      <c r="D33" s="2569"/>
      <c r="E33" s="2570"/>
    </row>
    <row r="34" spans="1:9" ht="15.75" thickBot="1" x14ac:dyDescent="0.3">
      <c r="A34" s="5" t="s">
        <v>18</v>
      </c>
      <c r="B34" s="1248" t="s">
        <v>1535</v>
      </c>
      <c r="C34" s="1249"/>
      <c r="D34" s="1249"/>
      <c r="E34" s="2545"/>
    </row>
    <row r="35" spans="1:9" ht="12.75" customHeight="1" x14ac:dyDescent="0.25">
      <c r="A35" s="1250"/>
      <c r="B35" s="8">
        <v>2018</v>
      </c>
      <c r="C35" s="8">
        <v>2019</v>
      </c>
      <c r="D35" s="8">
        <v>2020</v>
      </c>
      <c r="E35" s="8">
        <v>2021</v>
      </c>
    </row>
    <row r="36" spans="1:9" ht="9" customHeight="1" thickBot="1" x14ac:dyDescent="0.3">
      <c r="A36" s="1251"/>
      <c r="B36" s="9" t="s">
        <v>10</v>
      </c>
      <c r="C36" s="9" t="s">
        <v>11</v>
      </c>
      <c r="D36" s="9" t="s">
        <v>11</v>
      </c>
      <c r="E36" s="9" t="s">
        <v>11</v>
      </c>
    </row>
    <row r="37" spans="1:9" ht="15.75" thickBot="1" x14ac:dyDescent="0.3">
      <c r="A37" s="5" t="s">
        <v>19</v>
      </c>
      <c r="B37" s="10">
        <v>1761</v>
      </c>
      <c r="C37" s="10">
        <v>1923</v>
      </c>
      <c r="D37" s="10">
        <v>1923</v>
      </c>
      <c r="E37" s="10">
        <v>1923</v>
      </c>
    </row>
    <row r="38" spans="1:9" ht="15.75" thickBot="1" x14ac:dyDescent="0.3">
      <c r="A38" s="5" t="s">
        <v>20</v>
      </c>
      <c r="B38" s="10">
        <v>22500</v>
      </c>
      <c r="C38" s="10">
        <v>25000</v>
      </c>
      <c r="D38" s="10">
        <v>25000</v>
      </c>
      <c r="E38" s="10">
        <v>25000</v>
      </c>
    </row>
    <row r="39" spans="1:9" s="235" customFormat="1" ht="15.75" thickBot="1" x14ac:dyDescent="0.3">
      <c r="A39" s="5" t="s">
        <v>21</v>
      </c>
      <c r="B39" s="10">
        <f>B38/B37</f>
        <v>12.776831345826235</v>
      </c>
      <c r="C39" s="10">
        <f>C38/C37</f>
        <v>13.000520020800833</v>
      </c>
      <c r="D39" s="10">
        <f>D38/D37</f>
        <v>13.000520020800833</v>
      </c>
      <c r="E39" s="10">
        <f>E38/E37</f>
        <v>13.000520020800833</v>
      </c>
    </row>
    <row r="40" spans="1:9" ht="15.75" thickBot="1" x14ac:dyDescent="0.3">
      <c r="A40" s="5" t="s">
        <v>22</v>
      </c>
      <c r="B40" s="260" t="s">
        <v>23</v>
      </c>
      <c r="C40" s="11">
        <f t="shared" ref="C40:E42" si="0">C37/B37-1</f>
        <v>9.1993185689948964E-2</v>
      </c>
      <c r="D40" s="11">
        <f t="shared" si="0"/>
        <v>0</v>
      </c>
      <c r="E40" s="11">
        <f t="shared" si="0"/>
        <v>0</v>
      </c>
      <c r="F40" s="12"/>
      <c r="G40" s="12"/>
      <c r="H40" s="12"/>
      <c r="I40" s="12"/>
    </row>
    <row r="41" spans="1:9" ht="15.75" thickBot="1" x14ac:dyDescent="0.3">
      <c r="A41" s="5" t="s">
        <v>24</v>
      </c>
      <c r="B41" s="260" t="s">
        <v>23</v>
      </c>
      <c r="C41" s="11">
        <f t="shared" si="0"/>
        <v>0.11111111111111116</v>
      </c>
      <c r="D41" s="11">
        <f t="shared" si="0"/>
        <v>0</v>
      </c>
      <c r="E41" s="11">
        <f t="shared" si="0"/>
        <v>0</v>
      </c>
    </row>
    <row r="42" spans="1:9" ht="23.25" thickBot="1" x14ac:dyDescent="0.3">
      <c r="A42" s="5" t="s">
        <v>25</v>
      </c>
      <c r="B42" s="260" t="s">
        <v>23</v>
      </c>
      <c r="C42" s="11">
        <f t="shared" si="0"/>
        <v>1.750736696134525E-2</v>
      </c>
      <c r="D42" s="11">
        <f t="shared" si="0"/>
        <v>0</v>
      </c>
      <c r="E42" s="11">
        <f t="shared" si="0"/>
        <v>0</v>
      </c>
    </row>
    <row r="43" spans="1:9" ht="15.75" thickBot="1" x14ac:dyDescent="0.3">
      <c r="A43" s="1252" t="s">
        <v>633</v>
      </c>
      <c r="B43" s="1253"/>
      <c r="C43" s="1253"/>
      <c r="D43" s="1253"/>
      <c r="E43" s="1300"/>
    </row>
    <row r="44" spans="1:9" ht="12.75" customHeight="1" x14ac:dyDescent="0.25">
      <c r="A44" s="1250"/>
      <c r="B44" s="8">
        <v>2018</v>
      </c>
      <c r="C44" s="8">
        <v>2019</v>
      </c>
      <c r="D44" s="8">
        <v>2020</v>
      </c>
      <c r="E44" s="8">
        <v>2021</v>
      </c>
    </row>
    <row r="45" spans="1:9" ht="9" customHeight="1" thickBot="1" x14ac:dyDescent="0.3">
      <c r="A45" s="1251"/>
      <c r="B45" s="9" t="s">
        <v>10</v>
      </c>
      <c r="C45" s="9" t="s">
        <v>11</v>
      </c>
      <c r="D45" s="9" t="s">
        <v>11</v>
      </c>
      <c r="E45" s="9" t="s">
        <v>11</v>
      </c>
    </row>
    <row r="46" spans="1:9" ht="15.75" thickBot="1" x14ac:dyDescent="0.3">
      <c r="A46" s="13" t="s">
        <v>26</v>
      </c>
      <c r="B46" s="60">
        <f>28000*0.5</f>
        <v>14000</v>
      </c>
      <c r="C46" s="60">
        <v>14000</v>
      </c>
      <c r="D46" s="60">
        <v>14000</v>
      </c>
      <c r="E46" s="60">
        <v>14000</v>
      </c>
    </row>
    <row r="47" spans="1:9" ht="24.75" thickBot="1" x14ac:dyDescent="0.3">
      <c r="A47" s="13" t="s">
        <v>28</v>
      </c>
      <c r="B47" s="60">
        <f>4000*0.5</f>
        <v>2000</v>
      </c>
      <c r="C47" s="60">
        <v>2000</v>
      </c>
      <c r="D47" s="60">
        <v>2000</v>
      </c>
      <c r="E47" s="60">
        <v>2000</v>
      </c>
    </row>
    <row r="48" spans="1:9" ht="15.75" thickBot="1" x14ac:dyDescent="0.3">
      <c r="A48" s="13" t="s">
        <v>30</v>
      </c>
      <c r="B48" s="191">
        <f>13000*0.5</f>
        <v>6500</v>
      </c>
      <c r="C48" s="191">
        <v>9000</v>
      </c>
      <c r="D48" s="191">
        <v>9000</v>
      </c>
      <c r="E48" s="191">
        <v>9000</v>
      </c>
    </row>
    <row r="49" spans="1:9" ht="15.75" thickBot="1" x14ac:dyDescent="0.3">
      <c r="A49" s="13" t="s">
        <v>32</v>
      </c>
      <c r="B49" s="15"/>
      <c r="C49" s="14"/>
      <c r="D49" s="14"/>
      <c r="E49" s="14"/>
    </row>
    <row r="50" spans="1:9" ht="24.75" thickBot="1" x14ac:dyDescent="0.3">
      <c r="A50" s="13" t="s">
        <v>34</v>
      </c>
      <c r="B50" s="15"/>
      <c r="C50" s="14"/>
      <c r="D50" s="14"/>
      <c r="E50" s="14"/>
    </row>
    <row r="51" spans="1:9" ht="15.75" thickBot="1" x14ac:dyDescent="0.3">
      <c r="A51" s="13" t="s">
        <v>36</v>
      </c>
      <c r="B51" s="15"/>
      <c r="C51" s="14"/>
      <c r="D51" s="14"/>
      <c r="E51" s="14"/>
    </row>
    <row r="52" spans="1:9" ht="24.75" thickBot="1" x14ac:dyDescent="0.3">
      <c r="A52" s="13" t="s">
        <v>38</v>
      </c>
      <c r="B52" s="15"/>
      <c r="C52" s="14"/>
      <c r="D52" s="14"/>
      <c r="E52" s="14"/>
    </row>
    <row r="53" spans="1:9" ht="15.75" thickBot="1" x14ac:dyDescent="0.3">
      <c r="A53" s="16" t="s">
        <v>40</v>
      </c>
      <c r="B53" s="15">
        <f>B52+B51+B50+B49+B48+B47+B46</f>
        <v>22500</v>
      </c>
      <c r="C53" s="15">
        <f>C52+C51+C50+C49+C48+C47+C46</f>
        <v>25000</v>
      </c>
      <c r="D53" s="15">
        <f>D52+D51+D50+D49+D48+D47+D46</f>
        <v>25000</v>
      </c>
      <c r="E53" s="15">
        <f>E52+E51+E50+E49+E48+E47+E46</f>
        <v>25000</v>
      </c>
    </row>
    <row r="54" spans="1:9" ht="15.75" thickBot="1" x14ac:dyDescent="0.3">
      <c r="A54" s="17" t="s">
        <v>41</v>
      </c>
      <c r="B54" s="18">
        <f>IF(B53-B38=0,0,"Error")</f>
        <v>0</v>
      </c>
      <c r="C54" s="18">
        <f>IF(C53-C38=0,0,"Error")</f>
        <v>0</v>
      </c>
      <c r="D54" s="18">
        <f>IF(D53-D38=0,0,"Error")</f>
        <v>0</v>
      </c>
      <c r="E54" s="18">
        <f>IF(E53-E38=0,0,"Error")</f>
        <v>0</v>
      </c>
    </row>
    <row r="55" spans="1:9" ht="15.75" thickBot="1" x14ac:dyDescent="0.3">
      <c r="A55" s="979" t="s">
        <v>140</v>
      </c>
      <c r="B55" s="2550" t="s">
        <v>333</v>
      </c>
      <c r="C55" s="2551"/>
      <c r="D55" s="2551"/>
      <c r="E55" s="2552"/>
    </row>
    <row r="56" spans="1:9" ht="25.5" customHeight="1" thickBot="1" x14ac:dyDescent="0.3">
      <c r="A56" s="5" t="s">
        <v>17</v>
      </c>
      <c r="B56" s="2553" t="s">
        <v>334</v>
      </c>
      <c r="C56" s="2554"/>
      <c r="D56" s="2554"/>
      <c r="E56" s="2555"/>
    </row>
    <row r="57" spans="1:9" ht="15.75" thickBot="1" x14ac:dyDescent="0.3">
      <c r="A57" s="5" t="s">
        <v>18</v>
      </c>
      <c r="B57" s="1248" t="s">
        <v>335</v>
      </c>
      <c r="C57" s="1249"/>
      <c r="D57" s="1249"/>
      <c r="E57" s="2545"/>
    </row>
    <row r="58" spans="1:9" ht="12.75" customHeight="1" x14ac:dyDescent="0.25">
      <c r="A58" s="1250"/>
      <c r="B58" s="8">
        <v>2018</v>
      </c>
      <c r="C58" s="8">
        <v>2019</v>
      </c>
      <c r="D58" s="8">
        <v>2020</v>
      </c>
      <c r="E58" s="8">
        <v>2021</v>
      </c>
    </row>
    <row r="59" spans="1:9" ht="9" customHeight="1" thickBot="1" x14ac:dyDescent="0.3">
      <c r="A59" s="1251"/>
      <c r="B59" s="9" t="s">
        <v>10</v>
      </c>
      <c r="C59" s="9" t="s">
        <v>11</v>
      </c>
      <c r="D59" s="9" t="s">
        <v>11</v>
      </c>
      <c r="E59" s="9" t="s">
        <v>11</v>
      </c>
    </row>
    <row r="60" spans="1:9" ht="15.75" thickBot="1" x14ac:dyDescent="0.3">
      <c r="A60" s="5" t="s">
        <v>19</v>
      </c>
      <c r="B60" s="978">
        <v>4</v>
      </c>
      <c r="C60" s="978">
        <v>4</v>
      </c>
      <c r="D60" s="978">
        <v>4</v>
      </c>
      <c r="E60" s="978">
        <v>4</v>
      </c>
    </row>
    <row r="61" spans="1:9" ht="15.75" thickBot="1" x14ac:dyDescent="0.3">
      <c r="A61" s="5" t="s">
        <v>20</v>
      </c>
      <c r="B61" s="10">
        <f>45000*0.2</f>
        <v>9000</v>
      </c>
      <c r="C61" s="10">
        <v>10000</v>
      </c>
      <c r="D61" s="10">
        <v>10000</v>
      </c>
      <c r="E61" s="10">
        <v>10000</v>
      </c>
    </row>
    <row r="62" spans="1:9" s="235" customFormat="1" ht="15.75" thickBot="1" x14ac:dyDescent="0.3">
      <c r="A62" s="5" t="s">
        <v>21</v>
      </c>
      <c r="B62" s="10">
        <f>B61/B60</f>
        <v>2250</v>
      </c>
      <c r="C62" s="10">
        <f>C61/C60</f>
        <v>2500</v>
      </c>
      <c r="D62" s="10">
        <f>D61/D60</f>
        <v>2500</v>
      </c>
      <c r="E62" s="10">
        <f>E61/E60</f>
        <v>2500</v>
      </c>
    </row>
    <row r="63" spans="1:9" ht="15.75" thickBot="1" x14ac:dyDescent="0.3">
      <c r="A63" s="5" t="s">
        <v>22</v>
      </c>
      <c r="B63" s="260" t="s">
        <v>23</v>
      </c>
      <c r="C63" s="11">
        <f t="shared" ref="C63:E65" si="1">C60/B60-1</f>
        <v>0</v>
      </c>
      <c r="D63" s="11">
        <f t="shared" si="1"/>
        <v>0</v>
      </c>
      <c r="E63" s="11">
        <f t="shared" si="1"/>
        <v>0</v>
      </c>
      <c r="F63" s="12"/>
      <c r="G63" s="12"/>
      <c r="H63" s="12"/>
      <c r="I63" s="12"/>
    </row>
    <row r="64" spans="1:9" ht="15.75" thickBot="1" x14ac:dyDescent="0.3">
      <c r="A64" s="5" t="s">
        <v>24</v>
      </c>
      <c r="B64" s="260" t="s">
        <v>23</v>
      </c>
      <c r="C64" s="11">
        <f t="shared" si="1"/>
        <v>0.11111111111111116</v>
      </c>
      <c r="D64" s="11">
        <f t="shared" si="1"/>
        <v>0</v>
      </c>
      <c r="E64" s="11">
        <f t="shared" si="1"/>
        <v>0</v>
      </c>
    </row>
    <row r="65" spans="1:5" ht="23.25" thickBot="1" x14ac:dyDescent="0.3">
      <c r="A65" s="5" t="s">
        <v>25</v>
      </c>
      <c r="B65" s="260" t="s">
        <v>23</v>
      </c>
      <c r="C65" s="11">
        <f t="shared" si="1"/>
        <v>0.11111111111111116</v>
      </c>
      <c r="D65" s="11">
        <f t="shared" si="1"/>
        <v>0</v>
      </c>
      <c r="E65" s="11">
        <f t="shared" si="1"/>
        <v>0</v>
      </c>
    </row>
    <row r="66" spans="1:5" ht="15.75" thickBot="1" x14ac:dyDescent="0.3">
      <c r="A66" s="1252" t="s">
        <v>884</v>
      </c>
      <c r="B66" s="1253"/>
      <c r="C66" s="1253"/>
      <c r="D66" s="1253"/>
      <c r="E66" s="1300"/>
    </row>
    <row r="67" spans="1:5" ht="12.75" customHeight="1" x14ac:dyDescent="0.25">
      <c r="A67" s="1250"/>
      <c r="B67" s="8">
        <v>2018</v>
      </c>
      <c r="C67" s="8">
        <v>2019</v>
      </c>
      <c r="D67" s="8">
        <v>2020</v>
      </c>
      <c r="E67" s="8">
        <v>2021</v>
      </c>
    </row>
    <row r="68" spans="1:5" ht="9" customHeight="1" thickBot="1" x14ac:dyDescent="0.3">
      <c r="A68" s="1251"/>
      <c r="B68" s="9" t="s">
        <v>10</v>
      </c>
      <c r="C68" s="9" t="s">
        <v>11</v>
      </c>
      <c r="D68" s="9" t="s">
        <v>11</v>
      </c>
      <c r="E68" s="9" t="s">
        <v>11</v>
      </c>
    </row>
    <row r="69" spans="1:5" ht="15.75" thickBot="1" x14ac:dyDescent="0.3">
      <c r="A69" s="13" t="s">
        <v>26</v>
      </c>
      <c r="B69" s="14">
        <v>5600</v>
      </c>
      <c r="C69" s="14">
        <v>5600</v>
      </c>
      <c r="D69" s="14">
        <v>5600</v>
      </c>
      <c r="E69" s="14">
        <v>5600</v>
      </c>
    </row>
    <row r="70" spans="1:5" ht="24.75" thickBot="1" x14ac:dyDescent="0.3">
      <c r="A70" s="13" t="s">
        <v>28</v>
      </c>
      <c r="B70" s="60">
        <f>4000*0.2</f>
        <v>800</v>
      </c>
      <c r="C70" s="60">
        <f>4000*0.2</f>
        <v>800</v>
      </c>
      <c r="D70" s="60">
        <f>4000*0.2</f>
        <v>800</v>
      </c>
      <c r="E70" s="60">
        <f>4000*0.2</f>
        <v>800</v>
      </c>
    </row>
    <row r="71" spans="1:5" ht="15.75" thickBot="1" x14ac:dyDescent="0.3">
      <c r="A71" s="13" t="s">
        <v>30</v>
      </c>
      <c r="B71" s="191">
        <f>13000*0.2</f>
        <v>2600</v>
      </c>
      <c r="C71" s="191">
        <v>3600</v>
      </c>
      <c r="D71" s="191">
        <v>3600</v>
      </c>
      <c r="E71" s="191">
        <v>3600</v>
      </c>
    </row>
    <row r="72" spans="1:5" ht="15.75" thickBot="1" x14ac:dyDescent="0.3">
      <c r="A72" s="13" t="s">
        <v>32</v>
      </c>
      <c r="B72" s="15"/>
      <c r="C72" s="14"/>
      <c r="D72" s="14"/>
      <c r="E72" s="14"/>
    </row>
    <row r="73" spans="1:5" ht="24.75" thickBot="1" x14ac:dyDescent="0.3">
      <c r="A73" s="13" t="s">
        <v>34</v>
      </c>
      <c r="B73" s="15"/>
      <c r="C73" s="14"/>
      <c r="D73" s="14"/>
      <c r="E73" s="14"/>
    </row>
    <row r="74" spans="1:5" ht="15.75" thickBot="1" x14ac:dyDescent="0.3">
      <c r="A74" s="13" t="s">
        <v>36</v>
      </c>
      <c r="B74" s="15"/>
      <c r="C74" s="14"/>
      <c r="D74" s="14"/>
      <c r="E74" s="14"/>
    </row>
    <row r="75" spans="1:5" ht="24.75" thickBot="1" x14ac:dyDescent="0.3">
      <c r="A75" s="13" t="s">
        <v>38</v>
      </c>
      <c r="B75" s="15"/>
      <c r="C75" s="14"/>
      <c r="D75" s="14"/>
      <c r="E75" s="14"/>
    </row>
    <row r="76" spans="1:5" ht="15.75" thickBot="1" x14ac:dyDescent="0.3">
      <c r="A76" s="16" t="s">
        <v>40</v>
      </c>
      <c r="B76" s="15">
        <f>B75+B74+B73+B72+B71+B70+B69</f>
        <v>9000</v>
      </c>
      <c r="C76" s="15">
        <f>C75+C74+C73+C72+C71+C70+C69</f>
        <v>10000</v>
      </c>
      <c r="D76" s="15">
        <f>D75+D74+D73+D72+D71+D70+D69</f>
        <v>10000</v>
      </c>
      <c r="E76" s="15">
        <f>E75+E74+E73+E72+E71+E70+E69</f>
        <v>10000</v>
      </c>
    </row>
    <row r="77" spans="1:5" ht="15.75" thickBot="1" x14ac:dyDescent="0.3">
      <c r="A77" s="17" t="s">
        <v>41</v>
      </c>
      <c r="B77" s="18">
        <f>IF(B76-B61=0,0,"Error")</f>
        <v>0</v>
      </c>
      <c r="C77" s="18">
        <f>IF(C76-C61=0,0,"Error")</f>
        <v>0</v>
      </c>
      <c r="D77" s="18">
        <f>IF(D76-D61=0,0,"Error")</f>
        <v>0</v>
      </c>
      <c r="E77" s="18">
        <f>IF(E76-E61=0,0,"Error")</f>
        <v>0</v>
      </c>
    </row>
    <row r="78" spans="1:5" ht="15.75" thickBot="1" x14ac:dyDescent="0.3">
      <c r="A78" s="977" t="s">
        <v>1534</v>
      </c>
      <c r="B78" s="2546" t="s">
        <v>1533</v>
      </c>
      <c r="C78" s="2547"/>
      <c r="D78" s="2547"/>
      <c r="E78" s="2548"/>
    </row>
    <row r="79" spans="1:5" ht="15.75" thickBot="1" x14ac:dyDescent="0.3">
      <c r="A79" s="5" t="s">
        <v>17</v>
      </c>
      <c r="B79" s="1319" t="s">
        <v>336</v>
      </c>
      <c r="C79" s="1320"/>
      <c r="D79" s="1320"/>
      <c r="E79" s="2549"/>
    </row>
    <row r="80" spans="1:5" ht="15.75" thickBot="1" x14ac:dyDescent="0.3">
      <c r="A80" s="5" t="s">
        <v>18</v>
      </c>
      <c r="B80" s="1248" t="s">
        <v>1532</v>
      </c>
      <c r="C80" s="1249"/>
      <c r="D80" s="1249"/>
      <c r="E80" s="2545"/>
    </row>
    <row r="81" spans="1:9" ht="12.75" customHeight="1" x14ac:dyDescent="0.25">
      <c r="A81" s="1250"/>
      <c r="B81" s="8">
        <v>2018</v>
      </c>
      <c r="C81" s="8">
        <v>2019</v>
      </c>
      <c r="D81" s="8">
        <v>2020</v>
      </c>
      <c r="E81" s="8">
        <v>2021</v>
      </c>
    </row>
    <row r="82" spans="1:9" ht="9" customHeight="1" thickBot="1" x14ac:dyDescent="0.3">
      <c r="A82" s="1251"/>
      <c r="B82" s="9" t="s">
        <v>10</v>
      </c>
      <c r="C82" s="9" t="s">
        <v>11</v>
      </c>
      <c r="D82" s="9" t="s">
        <v>11</v>
      </c>
      <c r="E82" s="9" t="s">
        <v>11</v>
      </c>
    </row>
    <row r="83" spans="1:9" ht="15.75" thickBot="1" x14ac:dyDescent="0.3">
      <c r="A83" s="5" t="s">
        <v>19</v>
      </c>
      <c r="B83" s="194">
        <f>12500/120/5*8*365*4</f>
        <v>243333.33333333337</v>
      </c>
      <c r="C83" s="194">
        <v>270370</v>
      </c>
      <c r="D83" s="194">
        <v>270370</v>
      </c>
      <c r="E83" s="194">
        <v>270370</v>
      </c>
    </row>
    <row r="84" spans="1:9" ht="15.75" thickBot="1" x14ac:dyDescent="0.3">
      <c r="A84" s="5" t="s">
        <v>20</v>
      </c>
      <c r="B84" s="10">
        <f>45000*0.3</f>
        <v>13500</v>
      </c>
      <c r="C84" s="10">
        <v>15000</v>
      </c>
      <c r="D84" s="10">
        <v>15000</v>
      </c>
      <c r="E84" s="10">
        <v>15000</v>
      </c>
    </row>
    <row r="85" spans="1:9" s="235" customFormat="1" ht="15.75" thickBot="1" x14ac:dyDescent="0.3">
      <c r="A85" s="5" t="s">
        <v>21</v>
      </c>
      <c r="B85" s="976">
        <f>B84/B83</f>
        <v>5.5479452054794515E-2</v>
      </c>
      <c r="C85" s="976">
        <f>C84/C83</f>
        <v>5.547952805414802E-2</v>
      </c>
      <c r="D85" s="976">
        <f>D84/D83</f>
        <v>5.547952805414802E-2</v>
      </c>
      <c r="E85" s="976">
        <f>E84/E83</f>
        <v>5.547952805414802E-2</v>
      </c>
    </row>
    <row r="86" spans="1:9" ht="15.75" thickBot="1" x14ac:dyDescent="0.3">
      <c r="A86" s="5" t="s">
        <v>22</v>
      </c>
      <c r="B86" s="260" t="s">
        <v>23</v>
      </c>
      <c r="C86" s="11">
        <f t="shared" ref="C86:E88" si="2">C83/B83-1</f>
        <v>0.1111095890410958</v>
      </c>
      <c r="D86" s="11">
        <f t="shared" si="2"/>
        <v>0</v>
      </c>
      <c r="E86" s="11">
        <f t="shared" si="2"/>
        <v>0</v>
      </c>
      <c r="F86" s="12"/>
      <c r="G86" s="12"/>
      <c r="H86" s="12"/>
      <c r="I86" s="12"/>
    </row>
    <row r="87" spans="1:9" ht="15.75" thickBot="1" x14ac:dyDescent="0.3">
      <c r="A87" s="5" t="s">
        <v>24</v>
      </c>
      <c r="B87" s="260" t="s">
        <v>23</v>
      </c>
      <c r="C87" s="11">
        <f t="shared" si="2"/>
        <v>0.11111111111111116</v>
      </c>
      <c r="D87" s="11">
        <f t="shared" si="2"/>
        <v>0</v>
      </c>
      <c r="E87" s="11">
        <f t="shared" si="2"/>
        <v>0</v>
      </c>
    </row>
    <row r="88" spans="1:9" ht="23.25" thickBot="1" x14ac:dyDescent="0.3">
      <c r="A88" s="5" t="s">
        <v>25</v>
      </c>
      <c r="B88" s="260" t="s">
        <v>23</v>
      </c>
      <c r="C88" s="11">
        <f t="shared" si="2"/>
        <v>1.369864890410355E-6</v>
      </c>
      <c r="D88" s="11">
        <f t="shared" si="2"/>
        <v>0</v>
      </c>
      <c r="E88" s="11">
        <f t="shared" si="2"/>
        <v>0</v>
      </c>
    </row>
    <row r="89" spans="1:9" ht="15.75" thickBot="1" x14ac:dyDescent="0.3">
      <c r="A89" s="1252" t="s">
        <v>872</v>
      </c>
      <c r="B89" s="1253"/>
      <c r="C89" s="1253"/>
      <c r="D89" s="1253"/>
      <c r="E89" s="1300"/>
    </row>
    <row r="90" spans="1:9" ht="12.75" customHeight="1" x14ac:dyDescent="0.25">
      <c r="A90" s="1250"/>
      <c r="B90" s="8">
        <v>2018</v>
      </c>
      <c r="C90" s="8">
        <v>2019</v>
      </c>
      <c r="D90" s="8">
        <v>2020</v>
      </c>
      <c r="E90" s="8">
        <v>2021</v>
      </c>
    </row>
    <row r="91" spans="1:9" ht="9" customHeight="1" thickBot="1" x14ac:dyDescent="0.3">
      <c r="A91" s="1251"/>
      <c r="B91" s="9" t="s">
        <v>10</v>
      </c>
      <c r="C91" s="9" t="s">
        <v>11</v>
      </c>
      <c r="D91" s="9" t="s">
        <v>11</v>
      </c>
      <c r="E91" s="9" t="s">
        <v>11</v>
      </c>
    </row>
    <row r="92" spans="1:9" ht="15.75" thickBot="1" x14ac:dyDescent="0.3">
      <c r="A92" s="13" t="s">
        <v>26</v>
      </c>
      <c r="B92" s="14">
        <v>8400</v>
      </c>
      <c r="C92" s="14">
        <v>8400</v>
      </c>
      <c r="D92" s="14">
        <v>8400</v>
      </c>
      <c r="E92" s="14">
        <v>8400</v>
      </c>
    </row>
    <row r="93" spans="1:9" ht="24.75" thickBot="1" x14ac:dyDescent="0.3">
      <c r="A93" s="13" t="s">
        <v>28</v>
      </c>
      <c r="B93" s="60">
        <v>1200</v>
      </c>
      <c r="C93" s="60">
        <v>1200</v>
      </c>
      <c r="D93" s="60">
        <v>1200</v>
      </c>
      <c r="E93" s="60">
        <v>1200</v>
      </c>
    </row>
    <row r="94" spans="1:9" ht="15.75" thickBot="1" x14ac:dyDescent="0.3">
      <c r="A94" s="13" t="s">
        <v>30</v>
      </c>
      <c r="B94" s="191">
        <f>13000*0.3</f>
        <v>3900</v>
      </c>
      <c r="C94" s="191">
        <v>5400</v>
      </c>
      <c r="D94" s="191">
        <v>5400</v>
      </c>
      <c r="E94" s="191">
        <v>5400</v>
      </c>
    </row>
    <row r="95" spans="1:9" ht="15.75" thickBot="1" x14ac:dyDescent="0.3">
      <c r="A95" s="13" t="s">
        <v>32</v>
      </c>
      <c r="B95" s="15"/>
      <c r="C95" s="14"/>
      <c r="D95" s="14"/>
      <c r="E95" s="14"/>
    </row>
    <row r="96" spans="1:9" ht="24.75" thickBot="1" x14ac:dyDescent="0.3">
      <c r="A96" s="13" t="s">
        <v>34</v>
      </c>
      <c r="B96" s="15"/>
      <c r="C96" s="14"/>
      <c r="D96" s="14"/>
      <c r="E96" s="14"/>
    </row>
    <row r="97" spans="1:9" ht="15.75" thickBot="1" x14ac:dyDescent="0.3">
      <c r="A97" s="13" t="s">
        <v>36</v>
      </c>
      <c r="B97" s="15"/>
      <c r="C97" s="14"/>
      <c r="D97" s="14"/>
      <c r="E97" s="14"/>
    </row>
    <row r="98" spans="1:9" ht="24.75" thickBot="1" x14ac:dyDescent="0.3">
      <c r="A98" s="13" t="s">
        <v>38</v>
      </c>
      <c r="B98" s="15"/>
      <c r="C98" s="14"/>
      <c r="D98" s="14"/>
      <c r="E98" s="14"/>
    </row>
    <row r="99" spans="1:9" ht="15.75" thickBot="1" x14ac:dyDescent="0.3">
      <c r="A99" s="16" t="s">
        <v>40</v>
      </c>
      <c r="B99" s="15">
        <f>B98+B97+B96+B95+B94+B93+B92</f>
        <v>13500</v>
      </c>
      <c r="C99" s="15">
        <f>C98+C97+C96+C95+C94+C93+C92</f>
        <v>15000</v>
      </c>
      <c r="D99" s="15">
        <f>D98+D97+D96+D95+D94+D93+D92</f>
        <v>15000</v>
      </c>
      <c r="E99" s="15">
        <f>E98+E97+E96+E95+E94+E93+E92</f>
        <v>15000</v>
      </c>
    </row>
    <row r="100" spans="1:9" ht="15.75" thickBot="1" x14ac:dyDescent="0.3">
      <c r="A100" s="17" t="s">
        <v>41</v>
      </c>
      <c r="B100" s="18">
        <f>IF(B99-B84=0,0,"Error")</f>
        <v>0</v>
      </c>
      <c r="C100" s="18">
        <f>IF(C99-C84=0,0,"Error")</f>
        <v>0</v>
      </c>
      <c r="D100" s="18">
        <f>IF(D99-D84=0,0,"Error")</f>
        <v>0</v>
      </c>
      <c r="E100" s="18">
        <f>IF(E99-E84=0,0,"Error")</f>
        <v>0</v>
      </c>
    </row>
    <row r="101" spans="1:9" ht="15.75" thickBot="1" x14ac:dyDescent="0.3">
      <c r="A101" s="1275" t="s">
        <v>63</v>
      </c>
      <c r="B101" s="1276"/>
      <c r="C101" s="1276"/>
      <c r="D101" s="1276"/>
      <c r="E101" s="1317"/>
    </row>
    <row r="102" spans="1:9" ht="15.75" thickBot="1" x14ac:dyDescent="0.3">
      <c r="A102" s="1275" t="s">
        <v>56</v>
      </c>
      <c r="B102" s="1276"/>
      <c r="C102" s="1276"/>
      <c r="D102" s="1276"/>
      <c r="E102" s="1317"/>
    </row>
    <row r="103" spans="1:9" ht="23.25" thickBot="1" x14ac:dyDescent="0.3">
      <c r="A103" s="20" t="s">
        <v>79</v>
      </c>
      <c r="B103" s="1241" t="s">
        <v>1531</v>
      </c>
      <c r="C103" s="1242"/>
      <c r="D103" s="1242"/>
      <c r="E103" s="2540"/>
    </row>
    <row r="104" spans="1:9" ht="15.75" thickBot="1" x14ac:dyDescent="0.3">
      <c r="A104" s="7" t="s">
        <v>16</v>
      </c>
      <c r="B104" s="1243" t="s">
        <v>337</v>
      </c>
      <c r="C104" s="1244"/>
      <c r="D104" s="1244"/>
      <c r="E104" s="2541"/>
    </row>
    <row r="105" spans="1:9" ht="27.75" customHeight="1" thickBot="1" x14ac:dyDescent="0.3">
      <c r="A105" s="5" t="s">
        <v>17</v>
      </c>
      <c r="B105" s="2542" t="s">
        <v>338</v>
      </c>
      <c r="C105" s="2543"/>
      <c r="D105" s="2543"/>
      <c r="E105" s="2544"/>
    </row>
    <row r="106" spans="1:9" ht="15.75" thickBot="1" x14ac:dyDescent="0.3">
      <c r="A106" s="5" t="s">
        <v>18</v>
      </c>
      <c r="B106" s="1248" t="s">
        <v>339</v>
      </c>
      <c r="C106" s="1249"/>
      <c r="D106" s="1249"/>
      <c r="E106" s="2545"/>
    </row>
    <row r="107" spans="1:9" ht="12.75" customHeight="1" x14ac:dyDescent="0.25">
      <c r="A107" s="1250"/>
      <c r="B107" s="8">
        <v>2018</v>
      </c>
      <c r="C107" s="8">
        <v>2019</v>
      </c>
      <c r="D107" s="8">
        <v>2020</v>
      </c>
      <c r="E107" s="8">
        <v>2021</v>
      </c>
    </row>
    <row r="108" spans="1:9" ht="9" customHeight="1" thickBot="1" x14ac:dyDescent="0.3">
      <c r="A108" s="1251"/>
      <c r="B108" s="9" t="s">
        <v>10</v>
      </c>
      <c r="C108" s="9" t="s">
        <v>11</v>
      </c>
      <c r="D108" s="9" t="s">
        <v>11</v>
      </c>
      <c r="E108" s="9" t="s">
        <v>11</v>
      </c>
    </row>
    <row r="109" spans="1:9" ht="15.75" thickBot="1" x14ac:dyDescent="0.3">
      <c r="A109" s="5" t="s">
        <v>19</v>
      </c>
      <c r="B109" s="10">
        <v>255</v>
      </c>
      <c r="C109" s="10">
        <v>43</v>
      </c>
      <c r="D109" s="10">
        <v>43</v>
      </c>
      <c r="E109" s="10">
        <v>43</v>
      </c>
    </row>
    <row r="110" spans="1:9" ht="15.75" thickBot="1" x14ac:dyDescent="0.3">
      <c r="A110" s="5" t="s">
        <v>20</v>
      </c>
      <c r="B110" s="10">
        <v>12000</v>
      </c>
      <c r="C110" s="10">
        <v>2000</v>
      </c>
      <c r="D110" s="10">
        <v>2000</v>
      </c>
      <c r="E110" s="10">
        <v>2000</v>
      </c>
    </row>
    <row r="111" spans="1:9" ht="15.75" thickBot="1" x14ac:dyDescent="0.3">
      <c r="A111" s="5" t="s">
        <v>21</v>
      </c>
      <c r="B111" s="10">
        <f>B110/B109</f>
        <v>47.058823529411768</v>
      </c>
      <c r="C111" s="10">
        <f>C110/C109</f>
        <v>46.511627906976742</v>
      </c>
      <c r="D111" s="10">
        <f>D110/D109</f>
        <v>46.511627906976742</v>
      </c>
      <c r="E111" s="10">
        <f>E110/E109</f>
        <v>46.511627906976742</v>
      </c>
    </row>
    <row r="112" spans="1:9" ht="15.75" thickBot="1" x14ac:dyDescent="0.3">
      <c r="A112" s="5" t="s">
        <v>22</v>
      </c>
      <c r="B112" s="260" t="s">
        <v>23</v>
      </c>
      <c r="C112" s="11">
        <f t="shared" ref="C112:E114" si="3">C109/B109-1</f>
        <v>-0.83137254901960778</v>
      </c>
      <c r="D112" s="11">
        <f t="shared" si="3"/>
        <v>0</v>
      </c>
      <c r="E112" s="11">
        <f t="shared" si="3"/>
        <v>0</v>
      </c>
      <c r="F112" s="12"/>
      <c r="G112" s="12"/>
      <c r="H112" s="12"/>
      <c r="I112" s="12"/>
    </row>
    <row r="113" spans="1:5" ht="15.75" thickBot="1" x14ac:dyDescent="0.3">
      <c r="A113" s="5" t="s">
        <v>24</v>
      </c>
      <c r="B113" s="260" t="s">
        <v>23</v>
      </c>
      <c r="C113" s="11">
        <f t="shared" si="3"/>
        <v>-0.83333333333333337</v>
      </c>
      <c r="D113" s="11">
        <f t="shared" si="3"/>
        <v>0</v>
      </c>
      <c r="E113" s="11">
        <f t="shared" si="3"/>
        <v>0</v>
      </c>
    </row>
    <row r="114" spans="1:5" ht="23.25" thickBot="1" x14ac:dyDescent="0.3">
      <c r="A114" s="5" t="s">
        <v>25</v>
      </c>
      <c r="B114" s="260" t="s">
        <v>23</v>
      </c>
      <c r="C114" s="11">
        <f t="shared" si="3"/>
        <v>-1.1627906976744318E-2</v>
      </c>
      <c r="D114" s="11">
        <f t="shared" si="3"/>
        <v>0</v>
      </c>
      <c r="E114" s="11">
        <f t="shared" si="3"/>
        <v>0</v>
      </c>
    </row>
    <row r="115" spans="1:5" ht="15.75" thickBot="1" x14ac:dyDescent="0.3">
      <c r="A115" s="1252" t="s">
        <v>633</v>
      </c>
      <c r="B115" s="1253"/>
      <c r="C115" s="1253"/>
      <c r="D115" s="1253"/>
      <c r="E115" s="1300"/>
    </row>
    <row r="116" spans="1:5" ht="12.75" customHeight="1" x14ac:dyDescent="0.25">
      <c r="A116" s="1250"/>
      <c r="B116" s="8">
        <v>2018</v>
      </c>
      <c r="C116" s="8">
        <v>2019</v>
      </c>
      <c r="D116" s="8">
        <v>2020</v>
      </c>
      <c r="E116" s="8">
        <v>2021</v>
      </c>
    </row>
    <row r="117" spans="1:5" ht="9" customHeight="1" thickBot="1" x14ac:dyDescent="0.3">
      <c r="A117" s="1251"/>
      <c r="B117" s="9" t="s">
        <v>10</v>
      </c>
      <c r="C117" s="9" t="s">
        <v>11</v>
      </c>
      <c r="D117" s="9" t="s">
        <v>11</v>
      </c>
      <c r="E117" s="9" t="s">
        <v>11</v>
      </c>
    </row>
    <row r="118" spans="1:5" ht="15.75" thickBot="1" x14ac:dyDescent="0.3">
      <c r="A118" s="13" t="s">
        <v>58</v>
      </c>
      <c r="B118" s="14"/>
      <c r="C118" s="14"/>
      <c r="D118" s="14"/>
      <c r="E118" s="14"/>
    </row>
    <row r="119" spans="1:5" ht="15.75" thickBot="1" x14ac:dyDescent="0.3">
      <c r="A119" s="13" t="s">
        <v>59</v>
      </c>
      <c r="B119" s="15">
        <v>12000</v>
      </c>
      <c r="C119" s="14">
        <v>2000</v>
      </c>
      <c r="D119" s="14">
        <v>2000</v>
      </c>
      <c r="E119" s="14">
        <v>2000</v>
      </c>
    </row>
    <row r="120" spans="1:5" ht="15.75" thickBot="1" x14ac:dyDescent="0.3">
      <c r="A120" s="16" t="s">
        <v>40</v>
      </c>
      <c r="B120" s="15">
        <f>B119+B118</f>
        <v>12000</v>
      </c>
      <c r="C120" s="15">
        <f>C119+C118</f>
        <v>2000</v>
      </c>
      <c r="D120" s="15">
        <f>D119+D118</f>
        <v>2000</v>
      </c>
      <c r="E120" s="15">
        <f>E119+E118</f>
        <v>2000</v>
      </c>
    </row>
    <row r="121" spans="1:5" x14ac:dyDescent="0.25">
      <c r="A121" s="1254" t="s">
        <v>60</v>
      </c>
      <c r="B121" s="1322"/>
      <c r="C121" s="1289"/>
      <c r="D121" s="1289"/>
      <c r="E121" s="1290"/>
    </row>
    <row r="122" spans="1:5" x14ac:dyDescent="0.25">
      <c r="A122" s="1255"/>
      <c r="B122" s="1291"/>
      <c r="C122" s="1292"/>
      <c r="D122" s="1292"/>
      <c r="E122" s="1293"/>
    </row>
    <row r="123" spans="1:5" ht="15.75" thickBot="1" x14ac:dyDescent="0.3">
      <c r="A123" s="1256"/>
      <c r="B123" s="1294"/>
      <c r="C123" s="1295"/>
      <c r="D123" s="1295"/>
      <c r="E123" s="1296"/>
    </row>
    <row r="124" spans="1:5" ht="15.75" thickBot="1" x14ac:dyDescent="0.3">
      <c r="A124" s="22"/>
      <c r="B124" s="23"/>
      <c r="C124" s="23"/>
      <c r="D124" s="23"/>
      <c r="E124" s="23"/>
    </row>
    <row r="125" spans="1:5" ht="39" customHeight="1" thickBot="1" x14ac:dyDescent="0.3">
      <c r="A125" s="6" t="s">
        <v>82</v>
      </c>
      <c r="B125" s="24">
        <f>B110+B84+B61+B38</f>
        <v>57000</v>
      </c>
      <c r="C125" s="24">
        <f>C110+C84+C61+C38</f>
        <v>52000</v>
      </c>
      <c r="D125" s="24">
        <f>D110+D84+D61+D38</f>
        <v>52000</v>
      </c>
      <c r="E125" s="24">
        <f>E110+E84+E61+E38</f>
        <v>52000</v>
      </c>
    </row>
    <row r="126" spans="1:5" ht="36.75" thickBot="1" x14ac:dyDescent="0.3">
      <c r="A126" s="6" t="s">
        <v>83</v>
      </c>
      <c r="B126" s="24">
        <f>B128+B130+B132+B134+B136+B138+B140+B142+B144</f>
        <v>57000</v>
      </c>
      <c r="C126" s="24">
        <f>C128+C130+C132+C134+C136+C138+C140+C142+C144</f>
        <v>52000</v>
      </c>
      <c r="D126" s="24">
        <f>D128+D130+D132+D134+D136+D138+D140+D142+D144</f>
        <v>52000</v>
      </c>
      <c r="E126" s="24">
        <f>E128+E130+E132+E134+E136+E138+E140+E142+E144</f>
        <v>52000</v>
      </c>
    </row>
    <row r="127" spans="1:5" ht="36.75" thickBot="1" x14ac:dyDescent="0.3">
      <c r="A127" s="25" t="s">
        <v>84</v>
      </c>
      <c r="B127" s="26"/>
      <c r="C127" s="27">
        <f>C126/B126-1</f>
        <v>-8.7719298245614086E-2</v>
      </c>
      <c r="D127" s="27">
        <f>D126/C126-1</f>
        <v>0</v>
      </c>
      <c r="E127" s="27">
        <f>E126/D126-1</f>
        <v>0</v>
      </c>
    </row>
    <row r="128" spans="1:5" ht="15.75" thickBot="1" x14ac:dyDescent="0.3">
      <c r="A128" s="13" t="s">
        <v>26</v>
      </c>
      <c r="B128" s="14">
        <f>B92+B69+B46</f>
        <v>28000</v>
      </c>
      <c r="C128" s="14">
        <f>C92+C69+C46</f>
        <v>28000</v>
      </c>
      <c r="D128" s="14">
        <f>D92+D69+D46</f>
        <v>28000</v>
      </c>
      <c r="E128" s="14">
        <f>E92+E69+E46</f>
        <v>28000</v>
      </c>
    </row>
    <row r="129" spans="1:5" ht="15.75" thickBot="1" x14ac:dyDescent="0.3">
      <c r="A129" s="28" t="s">
        <v>85</v>
      </c>
      <c r="B129" s="15"/>
      <c r="C129" s="29">
        <f>C128/B128-1</f>
        <v>0</v>
      </c>
      <c r="D129" s="29">
        <f>D128/C128-1</f>
        <v>0</v>
      </c>
      <c r="E129" s="29">
        <f>E128/D128-1</f>
        <v>0</v>
      </c>
    </row>
    <row r="130" spans="1:5" ht="24.75" thickBot="1" x14ac:dyDescent="0.3">
      <c r="A130" s="13" t="s">
        <v>28</v>
      </c>
      <c r="B130" s="14">
        <f>B93+B70+B47</f>
        <v>4000</v>
      </c>
      <c r="C130" s="14">
        <f>C93+C70+C47</f>
        <v>4000</v>
      </c>
      <c r="D130" s="14">
        <f>D93+D70+D47</f>
        <v>4000</v>
      </c>
      <c r="E130" s="14">
        <f>E93+E70+E47</f>
        <v>4000</v>
      </c>
    </row>
    <row r="131" spans="1:5" ht="24.75" thickBot="1" x14ac:dyDescent="0.3">
      <c r="A131" s="28" t="s">
        <v>86</v>
      </c>
      <c r="B131" s="15"/>
      <c r="C131" s="29">
        <f>C130/B130-1</f>
        <v>0</v>
      </c>
      <c r="D131" s="29">
        <f>D130/C130-1</f>
        <v>0</v>
      </c>
      <c r="E131" s="29">
        <f>E130/D130-1</f>
        <v>0</v>
      </c>
    </row>
    <row r="132" spans="1:5" ht="15.75" thickBot="1" x14ac:dyDescent="0.3">
      <c r="A132" s="13" t="s">
        <v>30</v>
      </c>
      <c r="B132" s="14">
        <f>B94+B71+B48</f>
        <v>13000</v>
      </c>
      <c r="C132" s="14">
        <f>C94+C71+C48</f>
        <v>18000</v>
      </c>
      <c r="D132" s="14">
        <f>D94+D71+D48</f>
        <v>18000</v>
      </c>
      <c r="E132" s="14">
        <f>E94+E71+E48</f>
        <v>18000</v>
      </c>
    </row>
    <row r="133" spans="1:5" ht="24.75" thickBot="1" x14ac:dyDescent="0.3">
      <c r="A133" s="28" t="s">
        <v>87</v>
      </c>
      <c r="B133" s="15"/>
      <c r="C133" s="29">
        <f>C132/B132-1</f>
        <v>0.38461538461538458</v>
      </c>
      <c r="D133" s="29">
        <f>D132/C132-1</f>
        <v>0</v>
      </c>
      <c r="E133" s="29">
        <f>E132/D132-1</f>
        <v>0</v>
      </c>
    </row>
    <row r="134" spans="1:5" ht="15.75" thickBot="1" x14ac:dyDescent="0.3">
      <c r="A134" s="13" t="s">
        <v>32</v>
      </c>
      <c r="B134" s="14">
        <f>B95+B72</f>
        <v>0</v>
      </c>
      <c r="C134" s="14">
        <f>C95+C72</f>
        <v>0</v>
      </c>
      <c r="D134" s="14">
        <f>D72</f>
        <v>0</v>
      </c>
      <c r="E134" s="14">
        <f>E72</f>
        <v>0</v>
      </c>
    </row>
    <row r="135" spans="1:5" ht="24.75" thickBot="1" x14ac:dyDescent="0.3">
      <c r="A135" s="28" t="s">
        <v>88</v>
      </c>
      <c r="B135" s="15"/>
      <c r="C135" s="29" t="e">
        <f>C134/B134-1</f>
        <v>#DIV/0!</v>
      </c>
      <c r="D135" s="29" t="e">
        <f>D134/C134-1</f>
        <v>#DIV/0!</v>
      </c>
      <c r="E135" s="29" t="e">
        <f>E134/D134-1</f>
        <v>#DIV/0!</v>
      </c>
    </row>
    <row r="136" spans="1:5" ht="24.75" thickBot="1" x14ac:dyDescent="0.3">
      <c r="A136" s="13" t="s">
        <v>34</v>
      </c>
      <c r="B136" s="14">
        <f>B96+B73</f>
        <v>0</v>
      </c>
      <c r="C136" s="14">
        <f>C96+C73</f>
        <v>0</v>
      </c>
      <c r="D136" s="14">
        <f>D73</f>
        <v>0</v>
      </c>
      <c r="E136" s="14">
        <f>E96+E73</f>
        <v>0</v>
      </c>
    </row>
    <row r="137" spans="1:5" ht="24.75" thickBot="1" x14ac:dyDescent="0.3">
      <c r="A137" s="28" t="s">
        <v>89</v>
      </c>
      <c r="B137" s="15"/>
      <c r="C137" s="29" t="e">
        <f>C136/B136-1</f>
        <v>#DIV/0!</v>
      </c>
      <c r="D137" s="29" t="e">
        <f>D136/C136-1</f>
        <v>#DIV/0!</v>
      </c>
      <c r="E137" s="29" t="e">
        <f>E136/D136-1</f>
        <v>#DIV/0!</v>
      </c>
    </row>
    <row r="138" spans="1:5" ht="15.75" thickBot="1" x14ac:dyDescent="0.3">
      <c r="A138" s="13" t="s">
        <v>36</v>
      </c>
      <c r="B138" s="14">
        <f>B97+B74</f>
        <v>0</v>
      </c>
      <c r="C138" s="14">
        <f>+C97+C74</f>
        <v>0</v>
      </c>
      <c r="D138" s="14">
        <f>D97+D74</f>
        <v>0</v>
      </c>
      <c r="E138" s="14">
        <f>E97+E74</f>
        <v>0</v>
      </c>
    </row>
    <row r="139" spans="1:5" ht="24.75" thickBot="1" x14ac:dyDescent="0.3">
      <c r="A139" s="28" t="s">
        <v>90</v>
      </c>
      <c r="B139" s="15"/>
      <c r="C139" s="29" t="e">
        <f>C138/B138-1</f>
        <v>#DIV/0!</v>
      </c>
      <c r="D139" s="29" t="e">
        <f>D138/C138-1</f>
        <v>#DIV/0!</v>
      </c>
      <c r="E139" s="29" t="e">
        <f>E138/D138-1</f>
        <v>#DIV/0!</v>
      </c>
    </row>
    <row r="140" spans="1:5" ht="24.75" thickBot="1" x14ac:dyDescent="0.3">
      <c r="A140" s="13" t="s">
        <v>38</v>
      </c>
      <c r="B140" s="14">
        <f>B98+B75</f>
        <v>0</v>
      </c>
      <c r="C140" s="14">
        <f>C98+C75</f>
        <v>0</v>
      </c>
      <c r="D140" s="14">
        <f>D98+D75</f>
        <v>0</v>
      </c>
      <c r="E140" s="14">
        <f>E98+E75</f>
        <v>0</v>
      </c>
    </row>
    <row r="141" spans="1:5" ht="24.75" thickBot="1" x14ac:dyDescent="0.3">
      <c r="A141" s="28" t="s">
        <v>91</v>
      </c>
      <c r="B141" s="15"/>
      <c r="C141" s="29" t="e">
        <f>C140/B140-1</f>
        <v>#DIV/0!</v>
      </c>
      <c r="D141" s="29" t="e">
        <f>D140/C140-1</f>
        <v>#DIV/0!</v>
      </c>
      <c r="E141" s="29" t="e">
        <f>E140/D140-1</f>
        <v>#DIV/0!</v>
      </c>
    </row>
    <row r="142" spans="1:5" ht="15.75" thickBot="1" x14ac:dyDescent="0.3">
      <c r="A142" s="13" t="s">
        <v>92</v>
      </c>
      <c r="B142" s="14">
        <f>B118</f>
        <v>0</v>
      </c>
      <c r="C142" s="14">
        <f>C118</f>
        <v>0</v>
      </c>
      <c r="D142" s="14">
        <f>D118</f>
        <v>0</v>
      </c>
      <c r="E142" s="14">
        <f>E118</f>
        <v>0</v>
      </c>
    </row>
    <row r="143" spans="1:5" ht="24.75" thickBot="1" x14ac:dyDescent="0.3">
      <c r="A143" s="28" t="s">
        <v>93</v>
      </c>
      <c r="B143" s="15"/>
      <c r="C143" s="29" t="e">
        <f>C142/B142-1</f>
        <v>#DIV/0!</v>
      </c>
      <c r="D143" s="29" t="e">
        <f>D142/C142-1</f>
        <v>#DIV/0!</v>
      </c>
      <c r="E143" s="29" t="e">
        <f>E142/D142-1</f>
        <v>#DIV/0!</v>
      </c>
    </row>
    <row r="144" spans="1:5" ht="15.75" thickBot="1" x14ac:dyDescent="0.3">
      <c r="A144" s="13" t="s">
        <v>94</v>
      </c>
      <c r="B144" s="14">
        <f>B119</f>
        <v>12000</v>
      </c>
      <c r="C144" s="14">
        <f>C119</f>
        <v>2000</v>
      </c>
      <c r="D144" s="14">
        <f>D119</f>
        <v>2000</v>
      </c>
      <c r="E144" s="14">
        <f>E119</f>
        <v>2000</v>
      </c>
    </row>
    <row r="145" spans="1:5" ht="24.75" thickBot="1" x14ac:dyDescent="0.3">
      <c r="A145" s="28" t="s">
        <v>95</v>
      </c>
      <c r="B145" s="15"/>
      <c r="C145" s="29">
        <f>C144/B144-1</f>
        <v>-0.83333333333333337</v>
      </c>
      <c r="D145" s="29">
        <f>D144/C144-1</f>
        <v>0</v>
      </c>
      <c r="E145" s="29">
        <f>E144/D144-1</f>
        <v>0</v>
      </c>
    </row>
    <row r="146" spans="1:5" ht="15.75" thickBot="1" x14ac:dyDescent="0.3">
      <c r="A146" s="17" t="s">
        <v>41</v>
      </c>
      <c r="B146" s="18">
        <f>IF(B126-B125=0,0,"Error")</f>
        <v>0</v>
      </c>
      <c r="C146" s="18">
        <f>IF(C126-C125=0,0,"Error")</f>
        <v>0</v>
      </c>
      <c r="D146" s="18">
        <f>IF(D126-D125=0,0,"Error")</f>
        <v>0</v>
      </c>
      <c r="E146" s="18">
        <f>IF(E126-E125=0,0,"Error")</f>
        <v>0</v>
      </c>
    </row>
    <row r="147" spans="1:5" ht="36.75" thickBot="1" x14ac:dyDescent="0.3">
      <c r="A147" s="30" t="s">
        <v>96</v>
      </c>
      <c r="B147" s="14">
        <v>30</v>
      </c>
      <c r="C147" s="14">
        <v>30</v>
      </c>
      <c r="D147" s="14">
        <v>30</v>
      </c>
      <c r="E147" s="14">
        <v>30</v>
      </c>
    </row>
    <row r="148" spans="1:5" ht="36.75" thickBot="1" x14ac:dyDescent="0.3">
      <c r="A148" s="30" t="s">
        <v>97</v>
      </c>
      <c r="B148" s="14">
        <v>6</v>
      </c>
      <c r="C148" s="14">
        <v>6</v>
      </c>
      <c r="D148" s="14">
        <v>6</v>
      </c>
      <c r="E148" s="14">
        <v>6</v>
      </c>
    </row>
    <row r="149" spans="1:5" x14ac:dyDescent="0.25">
      <c r="A149" s="31"/>
      <c r="B149" s="32"/>
      <c r="C149" s="32"/>
      <c r="D149" s="32"/>
      <c r="E149" s="32"/>
    </row>
  </sheetData>
  <mergeCells count="46">
    <mergeCell ref="A44:A45"/>
    <mergeCell ref="B33:E33"/>
    <mergeCell ref="B34:E34"/>
    <mergeCell ref="A35:A36"/>
    <mergeCell ref="B5:E5"/>
    <mergeCell ref="B6:E6"/>
    <mergeCell ref="B7:E7"/>
    <mergeCell ref="C8:E8"/>
    <mergeCell ref="C9:E9"/>
    <mergeCell ref="A43:E43"/>
    <mergeCell ref="B20:E20"/>
    <mergeCell ref="A21:A22"/>
    <mergeCell ref="B26:E26"/>
    <mergeCell ref="A27:E27"/>
    <mergeCell ref="A121:A123"/>
    <mergeCell ref="B121:E123"/>
    <mergeCell ref="A101:E101"/>
    <mergeCell ref="B32:E32"/>
    <mergeCell ref="A11:E11"/>
    <mergeCell ref="B13:E13"/>
    <mergeCell ref="B14:E14"/>
    <mergeCell ref="B15:E15"/>
    <mergeCell ref="A16:E16"/>
    <mergeCell ref="A17:E19"/>
    <mergeCell ref="A30:E30"/>
    <mergeCell ref="A31:E31"/>
    <mergeCell ref="A90:A91"/>
    <mergeCell ref="A107:A108"/>
    <mergeCell ref="A115:E115"/>
    <mergeCell ref="A116:A117"/>
    <mergeCell ref="B55:E55"/>
    <mergeCell ref="B56:E56"/>
    <mergeCell ref="B57:E57"/>
    <mergeCell ref="A58:A59"/>
    <mergeCell ref="A66:E66"/>
    <mergeCell ref="B106:E106"/>
    <mergeCell ref="A102:E102"/>
    <mergeCell ref="B78:E78"/>
    <mergeCell ref="B79:E79"/>
    <mergeCell ref="B80:E80"/>
    <mergeCell ref="A89:E89"/>
    <mergeCell ref="A67:A68"/>
    <mergeCell ref="A81:A82"/>
    <mergeCell ref="B103:E103"/>
    <mergeCell ref="B104:E104"/>
    <mergeCell ref="B105:E105"/>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2:I208"/>
  <sheetViews>
    <sheetView view="pageBreakPreview" topLeftCell="A182" zoomScale="60" zoomScaleNormal="150" workbookViewId="0">
      <selection activeCell="K225" sqref="K225"/>
    </sheetView>
  </sheetViews>
  <sheetFormatPr defaultRowHeight="15" x14ac:dyDescent="0.25"/>
  <cols>
    <col min="1" max="1" width="44.5703125" customWidth="1"/>
    <col min="2" max="2" width="17.85546875" customWidth="1"/>
    <col min="3" max="4" width="11.7109375" customWidth="1"/>
    <col min="5" max="5" width="11.42578125" customWidth="1"/>
    <col min="6" max="6" width="11" customWidth="1"/>
    <col min="7" max="7" width="11" bestFit="1" customWidth="1"/>
  </cols>
  <sheetData>
    <row r="2" spans="1:5" ht="21" customHeight="1" x14ac:dyDescent="0.25">
      <c r="A2" s="1282" t="s">
        <v>898</v>
      </c>
      <c r="B2" s="1282"/>
      <c r="C2" s="1282"/>
      <c r="D2" s="1282"/>
      <c r="E2" s="1282"/>
    </row>
    <row r="4" spans="1:5" ht="15.75" thickBot="1" x14ac:dyDescent="0.3"/>
    <row r="5" spans="1:5" ht="16.5" thickBot="1" x14ac:dyDescent="0.3">
      <c r="A5" s="168" t="s">
        <v>897</v>
      </c>
      <c r="B5" s="1084" t="s">
        <v>952</v>
      </c>
      <c r="C5" s="1085"/>
      <c r="D5" s="1085"/>
      <c r="E5" s="1233"/>
    </row>
    <row r="6" spans="1:5" ht="16.5" thickBot="1" x14ac:dyDescent="0.3">
      <c r="A6" s="36" t="s">
        <v>895</v>
      </c>
      <c r="B6" s="1087" t="s">
        <v>951</v>
      </c>
      <c r="C6" s="1088"/>
      <c r="D6" s="1088"/>
      <c r="E6" s="1235"/>
    </row>
    <row r="7" spans="1:5" ht="16.5" thickBot="1" x14ac:dyDescent="0.3">
      <c r="A7" s="36" t="s">
        <v>893</v>
      </c>
      <c r="B7" s="1239" t="s">
        <v>950</v>
      </c>
      <c r="C7" s="1095"/>
      <c r="D7" s="1095"/>
      <c r="E7" s="1240"/>
    </row>
    <row r="8" spans="1:5" ht="16.5" thickBot="1" x14ac:dyDescent="0.3">
      <c r="A8" s="36" t="s">
        <v>891</v>
      </c>
      <c r="B8" s="167" t="s">
        <v>3</v>
      </c>
      <c r="C8" s="1093" t="s">
        <v>7</v>
      </c>
      <c r="D8" s="1093"/>
      <c r="E8" s="1238"/>
    </row>
    <row r="9" spans="1:5" ht="115.5" customHeight="1" thickBot="1" x14ac:dyDescent="0.3">
      <c r="A9" s="36" t="s">
        <v>929</v>
      </c>
      <c r="B9" s="36" t="s">
        <v>4</v>
      </c>
      <c r="C9" s="1283" t="s">
        <v>949</v>
      </c>
      <c r="D9" s="1284"/>
      <c r="E9" s="1285"/>
    </row>
    <row r="10" spans="1:5" ht="4.5" hidden="1" customHeight="1" thickBot="1" x14ac:dyDescent="0.3">
      <c r="A10" s="36"/>
      <c r="B10" s="36"/>
      <c r="C10" s="36"/>
      <c r="D10" s="36"/>
      <c r="E10" s="201"/>
    </row>
    <row r="11" spans="1:5" ht="18" customHeight="1" x14ac:dyDescent="0.25">
      <c r="A11" s="200" t="s">
        <v>122</v>
      </c>
      <c r="B11" s="200"/>
      <c r="C11" s="200"/>
      <c r="D11" s="200"/>
      <c r="E11" s="199"/>
    </row>
    <row r="12" spans="1:5" ht="18" customHeight="1" x14ac:dyDescent="0.25">
      <c r="A12" s="1286" t="s">
        <v>948</v>
      </c>
      <c r="B12" s="1286"/>
      <c r="C12" s="1286"/>
      <c r="D12" s="1286"/>
      <c r="E12" s="1287"/>
    </row>
    <row r="13" spans="1:5" ht="15.75" thickBot="1" x14ac:dyDescent="0.3">
      <c r="A13" s="198"/>
      <c r="B13" s="198"/>
      <c r="C13" s="198"/>
      <c r="D13" s="198"/>
      <c r="E13" s="197"/>
    </row>
    <row r="14" spans="1:5" ht="15.75" thickBot="1" x14ac:dyDescent="0.3">
      <c r="A14" s="2" t="s">
        <v>2</v>
      </c>
      <c r="B14" s="1263" t="s">
        <v>323</v>
      </c>
      <c r="C14" s="1263"/>
      <c r="D14" s="1263"/>
      <c r="E14" s="1263"/>
    </row>
    <row r="15" spans="1:5" ht="15.75" thickBot="1" x14ac:dyDescent="0.3">
      <c r="A15" s="2" t="s">
        <v>3</v>
      </c>
      <c r="B15" s="1087" t="s">
        <v>4</v>
      </c>
      <c r="C15" s="1088"/>
      <c r="D15" s="1088"/>
      <c r="E15" s="1089"/>
    </row>
    <row r="16" spans="1:5" ht="15.75" thickBot="1" x14ac:dyDescent="0.3">
      <c r="A16" s="2" t="s">
        <v>5</v>
      </c>
      <c r="B16" s="1265" t="s">
        <v>6</v>
      </c>
      <c r="C16" s="1095"/>
      <c r="D16" s="1095"/>
      <c r="E16" s="1096"/>
    </row>
    <row r="17" spans="1:8" ht="15.75" thickBot="1" x14ac:dyDescent="0.3">
      <c r="A17" s="1266" t="s">
        <v>7</v>
      </c>
      <c r="B17" s="1267"/>
      <c r="C17" s="1267"/>
      <c r="D17" s="1267"/>
      <c r="E17" s="1297"/>
    </row>
    <row r="18" spans="1:8" ht="15.75" thickBot="1" x14ac:dyDescent="0.3">
      <c r="A18" s="1268" t="s">
        <v>460</v>
      </c>
      <c r="B18" s="1269"/>
      <c r="C18" s="1269"/>
      <c r="D18" s="1269"/>
      <c r="E18" s="1301"/>
    </row>
    <row r="19" spans="1:8" ht="36.75" customHeight="1" thickBot="1" x14ac:dyDescent="0.3">
      <c r="A19" s="1268"/>
      <c r="B19" s="1269"/>
      <c r="C19" s="1269"/>
      <c r="D19" s="1269"/>
      <c r="E19" s="1301"/>
    </row>
    <row r="20" spans="1:8" ht="15.75" thickBot="1" x14ac:dyDescent="0.3">
      <c r="A20" s="1268"/>
      <c r="B20" s="1269"/>
      <c r="C20" s="1269"/>
      <c r="D20" s="1269"/>
      <c r="E20" s="1301"/>
    </row>
    <row r="21" spans="1:8" ht="30" customHeight="1" thickBot="1" x14ac:dyDescent="0.3">
      <c r="A21" s="3" t="s">
        <v>8</v>
      </c>
      <c r="B21" s="1302" t="s">
        <v>461</v>
      </c>
      <c r="C21" s="1303"/>
      <c r="D21" s="1303"/>
      <c r="E21" s="1304"/>
    </row>
    <row r="22" spans="1:8" ht="23.25" customHeight="1" x14ac:dyDescent="0.25">
      <c r="A22" s="1250" t="s">
        <v>9</v>
      </c>
      <c r="B22" s="66">
        <v>2018</v>
      </c>
      <c r="C22" s="66">
        <v>2019</v>
      </c>
      <c r="D22" s="66">
        <v>2020</v>
      </c>
      <c r="E22" s="66">
        <v>2021</v>
      </c>
    </row>
    <row r="23" spans="1:8" ht="15.75" thickBot="1" x14ac:dyDescent="0.3">
      <c r="A23" s="1251"/>
      <c r="B23" s="67" t="s">
        <v>10</v>
      </c>
      <c r="C23" s="67" t="s">
        <v>11</v>
      </c>
      <c r="D23" s="67" t="s">
        <v>11</v>
      </c>
      <c r="E23" s="67" t="s">
        <v>11</v>
      </c>
    </row>
    <row r="24" spans="1:8" ht="15.75" thickBot="1" x14ac:dyDescent="0.3">
      <c r="A24" s="150" t="s">
        <v>164</v>
      </c>
      <c r="B24" s="4" t="s">
        <v>112</v>
      </c>
      <c r="C24" s="4" t="s">
        <v>113</v>
      </c>
      <c r="D24" s="4" t="s">
        <v>113</v>
      </c>
      <c r="E24" s="4" t="s">
        <v>113</v>
      </c>
    </row>
    <row r="25" spans="1:8" ht="15.75" thickBot="1" x14ac:dyDescent="0.3">
      <c r="A25" s="5" t="s">
        <v>165</v>
      </c>
      <c r="B25" s="4" t="s">
        <v>112</v>
      </c>
      <c r="C25" s="4" t="s">
        <v>113</v>
      </c>
      <c r="D25" s="4" t="s">
        <v>113</v>
      </c>
      <c r="E25" s="4" t="s">
        <v>113</v>
      </c>
    </row>
    <row r="26" spans="1:8" ht="15.75" thickBot="1" x14ac:dyDescent="0.3">
      <c r="A26" s="5" t="s">
        <v>111</v>
      </c>
      <c r="B26" s="4" t="s">
        <v>112</v>
      </c>
      <c r="C26" s="4" t="s">
        <v>113</v>
      </c>
      <c r="D26" s="4" t="s">
        <v>113</v>
      </c>
      <c r="E26" s="4" t="s">
        <v>113</v>
      </c>
    </row>
    <row r="27" spans="1:8" ht="24.75" customHeight="1" thickBot="1" x14ac:dyDescent="0.3">
      <c r="A27" s="6" t="s">
        <v>12</v>
      </c>
      <c r="B27" s="1272" t="s">
        <v>462</v>
      </c>
      <c r="C27" s="1270"/>
      <c r="D27" s="1270"/>
      <c r="E27" s="1305"/>
    </row>
    <row r="28" spans="1:8" ht="23.25" customHeight="1" thickBot="1" x14ac:dyDescent="0.3">
      <c r="A28" s="1245" t="s">
        <v>13</v>
      </c>
      <c r="B28" s="1246"/>
      <c r="C28" s="1246"/>
      <c r="D28" s="1246"/>
      <c r="E28" s="1298"/>
      <c r="F28" s="35"/>
      <c r="H28" s="35"/>
    </row>
    <row r="29" spans="1:8" ht="15.75" thickBot="1" x14ac:dyDescent="0.3">
      <c r="A29" s="150" t="s">
        <v>947</v>
      </c>
      <c r="B29" s="196">
        <v>1696000</v>
      </c>
      <c r="C29" s="196">
        <v>2900000</v>
      </c>
      <c r="D29" s="196">
        <v>2900000</v>
      </c>
      <c r="E29" s="196">
        <v>3000000</v>
      </c>
    </row>
    <row r="30" spans="1:8" ht="15.75" thickBot="1" x14ac:dyDescent="0.3">
      <c r="A30" s="5" t="s">
        <v>946</v>
      </c>
      <c r="B30" s="196" t="s">
        <v>945</v>
      </c>
      <c r="C30" s="196">
        <v>150000</v>
      </c>
      <c r="D30" s="196">
        <v>220000</v>
      </c>
      <c r="E30" s="196">
        <v>250000</v>
      </c>
    </row>
    <row r="31" spans="1:8" ht="15.75" thickBot="1" x14ac:dyDescent="0.3">
      <c r="A31" s="1273" t="s">
        <v>14</v>
      </c>
      <c r="B31" s="1274"/>
      <c r="C31" s="1274"/>
      <c r="D31" s="1274"/>
      <c r="E31" s="1299"/>
    </row>
    <row r="32" spans="1:8" ht="15.75" thickBot="1" x14ac:dyDescent="0.3">
      <c r="A32" s="1275" t="s">
        <v>15</v>
      </c>
      <c r="B32" s="1276"/>
      <c r="C32" s="1276"/>
      <c r="D32" s="1276"/>
      <c r="E32" s="1317"/>
    </row>
    <row r="33" spans="1:9" ht="15.75" thickBot="1" x14ac:dyDescent="0.3">
      <c r="A33" s="195" t="s">
        <v>16</v>
      </c>
      <c r="B33" s="1243" t="s">
        <v>463</v>
      </c>
      <c r="C33" s="1244"/>
      <c r="D33" s="1244"/>
      <c r="E33" s="1315"/>
    </row>
    <row r="34" spans="1:9" ht="17.25" customHeight="1" thickBot="1" x14ac:dyDescent="0.3">
      <c r="A34" s="5" t="s">
        <v>17</v>
      </c>
      <c r="B34" s="1319" t="s">
        <v>464</v>
      </c>
      <c r="C34" s="1320"/>
      <c r="D34" s="1320"/>
      <c r="E34" s="1321"/>
    </row>
    <row r="35" spans="1:9" ht="15.75" thickBot="1" x14ac:dyDescent="0.3">
      <c r="A35" s="5" t="s">
        <v>18</v>
      </c>
      <c r="B35" s="1248" t="s">
        <v>465</v>
      </c>
      <c r="C35" s="1249"/>
      <c r="D35" s="1249"/>
      <c r="E35" s="1316"/>
    </row>
    <row r="36" spans="1:9" ht="12.75" customHeight="1" x14ac:dyDescent="0.25">
      <c r="A36" s="1250"/>
      <c r="B36" s="8">
        <v>2018</v>
      </c>
      <c r="C36" s="8">
        <v>2019</v>
      </c>
      <c r="D36" s="8">
        <v>2020</v>
      </c>
      <c r="E36" s="8">
        <v>2021</v>
      </c>
    </row>
    <row r="37" spans="1:9" ht="9" customHeight="1" thickBot="1" x14ac:dyDescent="0.3">
      <c r="A37" s="1251"/>
      <c r="B37" s="9" t="s">
        <v>10</v>
      </c>
      <c r="C37" s="9" t="s">
        <v>11</v>
      </c>
      <c r="D37" s="9" t="s">
        <v>11</v>
      </c>
      <c r="E37" s="9" t="s">
        <v>11</v>
      </c>
    </row>
    <row r="38" spans="1:9" ht="15.75" thickBot="1" x14ac:dyDescent="0.3">
      <c r="A38" s="5" t="s">
        <v>19</v>
      </c>
      <c r="B38" s="194"/>
      <c r="C38" s="194"/>
      <c r="D38" s="194"/>
      <c r="E38" s="194"/>
    </row>
    <row r="39" spans="1:9" ht="15.75" thickBot="1" x14ac:dyDescent="0.3">
      <c r="A39" s="5" t="s">
        <v>20</v>
      </c>
      <c r="B39" s="10">
        <f>B68</f>
        <v>168000</v>
      </c>
      <c r="C39" s="10">
        <f>C68</f>
        <v>169000</v>
      </c>
      <c r="D39" s="10">
        <f>D68</f>
        <v>169000</v>
      </c>
      <c r="E39" s="10">
        <f>E68</f>
        <v>169000</v>
      </c>
    </row>
    <row r="40" spans="1:9" ht="15.75" thickBot="1" x14ac:dyDescent="0.3">
      <c r="A40" s="5" t="s">
        <v>21</v>
      </c>
      <c r="B40" s="10" t="e">
        <f>B39/B38</f>
        <v>#DIV/0!</v>
      </c>
      <c r="C40" s="10" t="e">
        <f>C39/C38</f>
        <v>#DIV/0!</v>
      </c>
      <c r="D40" s="10" t="e">
        <f>D39/D38</f>
        <v>#DIV/0!</v>
      </c>
      <c r="E40" s="10" t="e">
        <f>E39/E38</f>
        <v>#DIV/0!</v>
      </c>
    </row>
    <row r="41" spans="1:9" ht="15.75" thickBot="1" x14ac:dyDescent="0.3">
      <c r="A41" s="5" t="s">
        <v>22</v>
      </c>
      <c r="B41" s="151" t="s">
        <v>23</v>
      </c>
      <c r="C41" s="11" t="e">
        <f t="shared" ref="C41:E43" si="0">C38/B38-1</f>
        <v>#DIV/0!</v>
      </c>
      <c r="D41" s="11" t="e">
        <f t="shared" si="0"/>
        <v>#DIV/0!</v>
      </c>
      <c r="E41" s="11" t="e">
        <f t="shared" si="0"/>
        <v>#DIV/0!</v>
      </c>
      <c r="F41" s="12"/>
      <c r="G41" s="12"/>
      <c r="H41" s="12"/>
      <c r="I41" s="12"/>
    </row>
    <row r="42" spans="1:9" ht="15.75" thickBot="1" x14ac:dyDescent="0.3">
      <c r="A42" s="5" t="s">
        <v>24</v>
      </c>
      <c r="B42" s="151" t="s">
        <v>23</v>
      </c>
      <c r="C42" s="11">
        <f t="shared" si="0"/>
        <v>5.9523809523809312E-3</v>
      </c>
      <c r="D42" s="11">
        <f t="shared" si="0"/>
        <v>0</v>
      </c>
      <c r="E42" s="11">
        <f t="shared" si="0"/>
        <v>0</v>
      </c>
    </row>
    <row r="43" spans="1:9" ht="15.75" thickBot="1" x14ac:dyDescent="0.3">
      <c r="A43" s="5" t="s">
        <v>25</v>
      </c>
      <c r="B43" s="151" t="s">
        <v>23</v>
      </c>
      <c r="C43" s="11" t="e">
        <f t="shared" si="0"/>
        <v>#DIV/0!</v>
      </c>
      <c r="D43" s="11" t="e">
        <f t="shared" si="0"/>
        <v>#DIV/0!</v>
      </c>
      <c r="E43" s="11" t="e">
        <f t="shared" si="0"/>
        <v>#DIV/0!</v>
      </c>
    </row>
    <row r="44" spans="1:9" ht="15.75" thickBot="1" x14ac:dyDescent="0.3">
      <c r="A44" s="1252" t="s">
        <v>633</v>
      </c>
      <c r="B44" s="1253"/>
      <c r="C44" s="1253"/>
      <c r="D44" s="1253"/>
      <c r="E44" s="1300"/>
    </row>
    <row r="45" spans="1:9" ht="12.75" customHeight="1" x14ac:dyDescent="0.25">
      <c r="A45" s="1250"/>
      <c r="B45" s="8">
        <v>2018</v>
      </c>
      <c r="C45" s="8">
        <v>2019</v>
      </c>
      <c r="D45" s="8">
        <v>2020</v>
      </c>
      <c r="E45" s="8">
        <v>2021</v>
      </c>
    </row>
    <row r="46" spans="1:9" ht="9" customHeight="1" thickBot="1" x14ac:dyDescent="0.3">
      <c r="A46" s="1251"/>
      <c r="B46" s="9" t="s">
        <v>10</v>
      </c>
      <c r="C46" s="9" t="s">
        <v>11</v>
      </c>
      <c r="D46" s="9" t="s">
        <v>11</v>
      </c>
      <c r="E46" s="9" t="s">
        <v>11</v>
      </c>
    </row>
    <row r="47" spans="1:9" ht="15.75" thickBot="1" x14ac:dyDescent="0.3">
      <c r="A47" s="13" t="s">
        <v>26</v>
      </c>
      <c r="B47" s="60">
        <v>111800</v>
      </c>
      <c r="C47" s="60">
        <v>111800</v>
      </c>
      <c r="D47" s="60">
        <v>111800</v>
      </c>
      <c r="E47" s="60">
        <v>111800</v>
      </c>
    </row>
    <row r="48" spans="1:9" ht="24.75" thickBot="1" x14ac:dyDescent="0.3">
      <c r="A48" s="28" t="s">
        <v>27</v>
      </c>
      <c r="B48" s="15"/>
      <c r="C48" s="141"/>
      <c r="D48" s="141"/>
      <c r="E48" s="141"/>
    </row>
    <row r="49" spans="1:5" ht="24.75" thickBot="1" x14ac:dyDescent="0.3">
      <c r="A49" s="28" t="s">
        <v>863</v>
      </c>
      <c r="B49" s="15"/>
      <c r="C49" s="29"/>
      <c r="D49" s="29"/>
      <c r="E49" s="29"/>
    </row>
    <row r="50" spans="1:5" ht="15.75" thickBot="1" x14ac:dyDescent="0.3">
      <c r="A50" s="13" t="s">
        <v>28</v>
      </c>
      <c r="B50" s="60">
        <v>22200</v>
      </c>
      <c r="C50" s="60">
        <v>22200</v>
      </c>
      <c r="D50" s="60">
        <v>22200</v>
      </c>
      <c r="E50" s="60">
        <v>22200</v>
      </c>
    </row>
    <row r="51" spans="1:5" ht="24.75" thickBot="1" x14ac:dyDescent="0.3">
      <c r="A51" s="28" t="s">
        <v>29</v>
      </c>
      <c r="B51" s="15"/>
      <c r="C51" s="14"/>
      <c r="D51" s="14"/>
      <c r="E51" s="14"/>
    </row>
    <row r="52" spans="1:5" ht="24.75" thickBot="1" x14ac:dyDescent="0.3">
      <c r="A52" s="28" t="s">
        <v>864</v>
      </c>
      <c r="B52" s="15"/>
      <c r="C52" s="14"/>
      <c r="D52" s="14"/>
      <c r="E52" s="14"/>
    </row>
    <row r="53" spans="1:5" ht="15.75" thickBot="1" x14ac:dyDescent="0.3">
      <c r="A53" s="13" t="s">
        <v>30</v>
      </c>
      <c r="B53" s="191">
        <v>33800</v>
      </c>
      <c r="C53" s="60">
        <v>34800</v>
      </c>
      <c r="D53" s="60">
        <v>34800</v>
      </c>
      <c r="E53" s="60">
        <v>34800</v>
      </c>
    </row>
    <row r="54" spans="1:5" ht="24.75" thickBot="1" x14ac:dyDescent="0.3">
      <c r="A54" s="28" t="s">
        <v>31</v>
      </c>
      <c r="B54" s="15"/>
      <c r="C54" s="142"/>
      <c r="D54" s="142"/>
      <c r="E54" s="142"/>
    </row>
    <row r="55" spans="1:5" ht="24.75" thickBot="1" x14ac:dyDescent="0.3">
      <c r="A55" s="28" t="s">
        <v>865</v>
      </c>
      <c r="B55" s="15"/>
      <c r="C55" s="14"/>
      <c r="D55" s="14"/>
      <c r="E55" s="14"/>
    </row>
    <row r="56" spans="1:5" ht="15.75" thickBot="1" x14ac:dyDescent="0.3">
      <c r="A56" s="13" t="s">
        <v>32</v>
      </c>
      <c r="B56" s="15"/>
      <c r="C56" s="14"/>
      <c r="D56" s="14"/>
      <c r="E56" s="14"/>
    </row>
    <row r="57" spans="1:5" ht="24.75" thickBot="1" x14ac:dyDescent="0.3">
      <c r="A57" s="28" t="s">
        <v>33</v>
      </c>
      <c r="B57" s="15"/>
      <c r="C57" s="14"/>
      <c r="D57" s="14"/>
      <c r="E57" s="14"/>
    </row>
    <row r="58" spans="1:5" ht="24.75" thickBot="1" x14ac:dyDescent="0.3">
      <c r="A58" s="28" t="s">
        <v>866</v>
      </c>
      <c r="B58" s="15"/>
      <c r="C58" s="14"/>
      <c r="D58" s="14"/>
      <c r="E58" s="14"/>
    </row>
    <row r="59" spans="1:5" ht="15.75" thickBot="1" x14ac:dyDescent="0.3">
      <c r="A59" s="13" t="s">
        <v>34</v>
      </c>
      <c r="B59" s="15"/>
      <c r="C59" s="14"/>
      <c r="D59" s="14"/>
      <c r="E59" s="14"/>
    </row>
    <row r="60" spans="1:5" ht="24.75" thickBot="1" x14ac:dyDescent="0.3">
      <c r="A60" s="28" t="s">
        <v>35</v>
      </c>
      <c r="B60" s="15"/>
      <c r="C60" s="14"/>
      <c r="D60" s="14"/>
      <c r="E60" s="14"/>
    </row>
    <row r="61" spans="1:5" ht="24.75" thickBot="1" x14ac:dyDescent="0.3">
      <c r="A61" s="28" t="s">
        <v>867</v>
      </c>
      <c r="B61" s="15"/>
      <c r="C61" s="14"/>
      <c r="D61" s="14"/>
      <c r="E61" s="14"/>
    </row>
    <row r="62" spans="1:5" ht="15.75" thickBot="1" x14ac:dyDescent="0.3">
      <c r="A62" s="13" t="s">
        <v>36</v>
      </c>
      <c r="B62" s="15">
        <v>200</v>
      </c>
      <c r="C62" s="14">
        <v>200</v>
      </c>
      <c r="D62" s="14">
        <v>200</v>
      </c>
      <c r="E62" s="14">
        <v>200</v>
      </c>
    </row>
    <row r="63" spans="1:5" ht="24.75" thickBot="1" x14ac:dyDescent="0.3">
      <c r="A63" s="28" t="s">
        <v>37</v>
      </c>
      <c r="B63" s="15"/>
      <c r="C63" s="14"/>
      <c r="D63" s="14"/>
      <c r="E63" s="14"/>
    </row>
    <row r="64" spans="1:5" ht="24.75" thickBot="1" x14ac:dyDescent="0.3">
      <c r="A64" s="28" t="s">
        <v>868</v>
      </c>
      <c r="B64" s="15"/>
      <c r="C64" s="14">
        <v>0.5</v>
      </c>
      <c r="D64" s="14"/>
      <c r="E64" s="14"/>
    </row>
    <row r="65" spans="1:5" ht="15.75" thickBot="1" x14ac:dyDescent="0.3">
      <c r="A65" s="13" t="s">
        <v>38</v>
      </c>
      <c r="B65" s="15">
        <v>0</v>
      </c>
      <c r="C65" s="14">
        <v>0</v>
      </c>
      <c r="D65" s="14">
        <v>0</v>
      </c>
      <c r="E65" s="14">
        <v>0</v>
      </c>
    </row>
    <row r="66" spans="1:5" ht="24.75" thickBot="1" x14ac:dyDescent="0.3">
      <c r="A66" s="28" t="s">
        <v>39</v>
      </c>
      <c r="B66" s="15"/>
      <c r="C66" s="14"/>
      <c r="D66" s="14"/>
      <c r="E66" s="14"/>
    </row>
    <row r="67" spans="1:5" ht="24.75" thickBot="1" x14ac:dyDescent="0.3">
      <c r="A67" s="28" t="s">
        <v>869</v>
      </c>
      <c r="B67" s="15"/>
      <c r="C67" s="14"/>
      <c r="D67" s="14"/>
      <c r="E67" s="14"/>
    </row>
    <row r="68" spans="1:5" ht="15.75" thickBot="1" x14ac:dyDescent="0.3">
      <c r="A68" s="16" t="s">
        <v>40</v>
      </c>
      <c r="B68" s="15">
        <f>B47+B50+B53+B62+B65</f>
        <v>168000</v>
      </c>
      <c r="C68" s="15">
        <f>C65+C62+C59+C56+C53+C50+C47</f>
        <v>169000</v>
      </c>
      <c r="D68" s="15">
        <f>D65+D62+D59+D56+D53+D50+D47</f>
        <v>169000</v>
      </c>
      <c r="E68" s="15">
        <f>E65+E62+E59+E56+E53+E50+E47</f>
        <v>169000</v>
      </c>
    </row>
    <row r="69" spans="1:5" x14ac:dyDescent="0.25">
      <c r="A69" s="1254" t="s">
        <v>870</v>
      </c>
      <c r="B69" s="1288"/>
      <c r="C69" s="1289"/>
      <c r="D69" s="1289"/>
      <c r="E69" s="1290"/>
    </row>
    <row r="70" spans="1:5" x14ac:dyDescent="0.25">
      <c r="A70" s="1255"/>
      <c r="B70" s="1291"/>
      <c r="C70" s="1292"/>
      <c r="D70" s="1292"/>
      <c r="E70" s="1293"/>
    </row>
    <row r="71" spans="1:5" ht="15.75" thickBot="1" x14ac:dyDescent="0.3">
      <c r="A71" s="1256"/>
      <c r="B71" s="1294"/>
      <c r="C71" s="1295"/>
      <c r="D71" s="1295"/>
      <c r="E71" s="1296"/>
    </row>
    <row r="72" spans="1:5" ht="15.75" thickBot="1" x14ac:dyDescent="0.3">
      <c r="A72" s="17" t="s">
        <v>41</v>
      </c>
      <c r="B72" s="18"/>
      <c r="C72" s="18">
        <f>IF(C68-C39=0,0,"Error")</f>
        <v>0</v>
      </c>
      <c r="D72" s="18">
        <f>IF(D68-D39=0,0,"Error")</f>
        <v>0</v>
      </c>
      <c r="E72" s="18">
        <f>IF(E68-E39=0,0,"Error")</f>
        <v>0</v>
      </c>
    </row>
    <row r="73" spans="1:5" ht="15.75" thickBot="1" x14ac:dyDescent="0.3">
      <c r="A73" s="1275" t="s">
        <v>55</v>
      </c>
      <c r="B73" s="1276"/>
      <c r="C73" s="1276"/>
      <c r="D73" s="1276"/>
      <c r="E73" s="1317"/>
    </row>
    <row r="74" spans="1:5" ht="15.75" thickBot="1" x14ac:dyDescent="0.3">
      <c r="A74" s="1275" t="s">
        <v>56</v>
      </c>
      <c r="B74" s="1276"/>
      <c r="C74" s="1276"/>
      <c r="D74" s="1276"/>
      <c r="E74" s="1317"/>
    </row>
    <row r="75" spans="1:5" ht="15.75" thickBot="1" x14ac:dyDescent="0.3">
      <c r="A75" s="20" t="s">
        <v>130</v>
      </c>
      <c r="B75" s="1241" t="s">
        <v>466</v>
      </c>
      <c r="C75" s="1242"/>
      <c r="D75" s="1242"/>
      <c r="E75" s="1318"/>
    </row>
    <row r="76" spans="1:5" ht="15.75" thickBot="1" x14ac:dyDescent="0.3">
      <c r="A76" s="7" t="s">
        <v>16</v>
      </c>
      <c r="B76" s="1243" t="s">
        <v>944</v>
      </c>
      <c r="C76" s="1244"/>
      <c r="D76" s="1244"/>
      <c r="E76" s="1315"/>
    </row>
    <row r="77" spans="1:5" ht="17.25" customHeight="1" thickBot="1" x14ac:dyDescent="0.3">
      <c r="A77" s="5" t="s">
        <v>17</v>
      </c>
      <c r="B77" s="1241" t="s">
        <v>467</v>
      </c>
      <c r="C77" s="1242"/>
      <c r="D77" s="1242"/>
      <c r="E77" s="1318"/>
    </row>
    <row r="78" spans="1:5" ht="15.75" thickBot="1" x14ac:dyDescent="0.3">
      <c r="A78" s="5" t="s">
        <v>18</v>
      </c>
      <c r="B78" s="1248" t="s">
        <v>943</v>
      </c>
      <c r="C78" s="1249"/>
      <c r="D78" s="1249"/>
      <c r="E78" s="1316"/>
    </row>
    <row r="79" spans="1:5" ht="12.75" customHeight="1" x14ac:dyDescent="0.25">
      <c r="A79" s="1250"/>
      <c r="B79" s="8">
        <v>2018</v>
      </c>
      <c r="C79" s="8">
        <v>2019</v>
      </c>
      <c r="D79" s="8">
        <v>2020</v>
      </c>
      <c r="E79" s="8">
        <v>2021</v>
      </c>
    </row>
    <row r="80" spans="1:5" ht="9" customHeight="1" thickBot="1" x14ac:dyDescent="0.3">
      <c r="A80" s="1251"/>
      <c r="B80" s="9" t="s">
        <v>10</v>
      </c>
      <c r="C80" s="9" t="s">
        <v>11</v>
      </c>
      <c r="D80" s="9" t="s">
        <v>11</v>
      </c>
      <c r="E80" s="9" t="s">
        <v>11</v>
      </c>
    </row>
    <row r="81" spans="1:9" ht="15.75" thickBot="1" x14ac:dyDescent="0.3">
      <c r="A81" s="5" t="s">
        <v>19</v>
      </c>
      <c r="B81" s="10"/>
      <c r="C81" s="10"/>
      <c r="D81" s="10"/>
      <c r="E81" s="10">
        <v>5</v>
      </c>
    </row>
    <row r="82" spans="1:9" ht="15.75" thickBot="1" x14ac:dyDescent="0.3">
      <c r="A82" s="5" t="s">
        <v>20</v>
      </c>
      <c r="B82" s="10">
        <v>16200</v>
      </c>
      <c r="C82" s="10"/>
      <c r="D82" s="10"/>
      <c r="E82" s="10">
        <v>500</v>
      </c>
    </row>
    <row r="83" spans="1:9" ht="15.75" thickBot="1" x14ac:dyDescent="0.3">
      <c r="A83" s="5" t="s">
        <v>21</v>
      </c>
      <c r="B83" s="10">
        <v>90</v>
      </c>
      <c r="C83" s="10"/>
      <c r="D83" s="10"/>
      <c r="E83" s="10">
        <v>100</v>
      </c>
    </row>
    <row r="84" spans="1:9" ht="15.75" thickBot="1" x14ac:dyDescent="0.3">
      <c r="A84" s="5" t="s">
        <v>22</v>
      </c>
      <c r="B84" s="151" t="s">
        <v>23</v>
      </c>
      <c r="C84" s="11" t="e">
        <f t="shared" ref="C84:E86" si="1">C81/B81-1</f>
        <v>#DIV/0!</v>
      </c>
      <c r="D84" s="11" t="e">
        <f t="shared" si="1"/>
        <v>#DIV/0!</v>
      </c>
      <c r="E84" s="11" t="e">
        <f t="shared" si="1"/>
        <v>#DIV/0!</v>
      </c>
      <c r="F84" s="12"/>
      <c r="G84" s="12"/>
      <c r="H84" s="12"/>
      <c r="I84" s="12"/>
    </row>
    <row r="85" spans="1:9" ht="15.75" thickBot="1" x14ac:dyDescent="0.3">
      <c r="A85" s="5" t="s">
        <v>24</v>
      </c>
      <c r="B85" s="151" t="s">
        <v>23</v>
      </c>
      <c r="C85" s="11">
        <f t="shared" si="1"/>
        <v>-1</v>
      </c>
      <c r="D85" s="11" t="e">
        <f t="shared" si="1"/>
        <v>#DIV/0!</v>
      </c>
      <c r="E85" s="11" t="e">
        <f t="shared" si="1"/>
        <v>#DIV/0!</v>
      </c>
    </row>
    <row r="86" spans="1:9" ht="15.75" thickBot="1" x14ac:dyDescent="0.3">
      <c r="A86" s="5" t="s">
        <v>25</v>
      </c>
      <c r="B86" s="151" t="s">
        <v>23</v>
      </c>
      <c r="C86" s="11">
        <f t="shared" si="1"/>
        <v>-1</v>
      </c>
      <c r="D86" s="11" t="e">
        <f t="shared" si="1"/>
        <v>#DIV/0!</v>
      </c>
      <c r="E86" s="11" t="e">
        <f t="shared" si="1"/>
        <v>#DIV/0!</v>
      </c>
    </row>
    <row r="87" spans="1:9" ht="15.75" thickBot="1" x14ac:dyDescent="0.3">
      <c r="A87" s="1252" t="s">
        <v>633</v>
      </c>
      <c r="B87" s="1253"/>
      <c r="C87" s="1253"/>
      <c r="D87" s="1253"/>
      <c r="E87" s="1300"/>
    </row>
    <row r="88" spans="1:9" ht="12.75" customHeight="1" x14ac:dyDescent="0.25">
      <c r="A88" s="1250"/>
      <c r="B88" s="8">
        <v>2018</v>
      </c>
      <c r="C88" s="8">
        <v>2019</v>
      </c>
      <c r="D88" s="8">
        <v>2020</v>
      </c>
      <c r="E88" s="8">
        <v>2021</v>
      </c>
    </row>
    <row r="89" spans="1:9" ht="9" customHeight="1" thickBot="1" x14ac:dyDescent="0.3">
      <c r="A89" s="1251"/>
      <c r="B89" s="9" t="s">
        <v>10</v>
      </c>
      <c r="C89" s="9" t="s">
        <v>11</v>
      </c>
      <c r="D89" s="9" t="s">
        <v>11</v>
      </c>
      <c r="E89" s="9" t="s">
        <v>11</v>
      </c>
    </row>
    <row r="90" spans="1:9" ht="15.75" thickBot="1" x14ac:dyDescent="0.3">
      <c r="A90" s="13" t="s">
        <v>58</v>
      </c>
      <c r="B90" s="14"/>
      <c r="C90" s="14"/>
      <c r="D90" s="14"/>
      <c r="E90" s="14"/>
    </row>
    <row r="91" spans="1:9" ht="15.75" thickBot="1" x14ac:dyDescent="0.3">
      <c r="A91" s="13" t="s">
        <v>59</v>
      </c>
      <c r="B91" s="193">
        <v>16200</v>
      </c>
      <c r="C91" s="14"/>
      <c r="D91" s="14"/>
      <c r="E91" s="14">
        <v>500</v>
      </c>
      <c r="G91" t="s">
        <v>942</v>
      </c>
    </row>
    <row r="92" spans="1:9" ht="15.75" thickBot="1" x14ac:dyDescent="0.3">
      <c r="A92" s="16" t="s">
        <v>40</v>
      </c>
      <c r="B92" s="193">
        <f>B90+B91</f>
        <v>16200</v>
      </c>
      <c r="C92" s="15">
        <f>C91+C90</f>
        <v>0</v>
      </c>
      <c r="D92" s="15">
        <f>D91+D90</f>
        <v>0</v>
      </c>
      <c r="E92" s="15">
        <f>E91+E90</f>
        <v>500</v>
      </c>
    </row>
    <row r="93" spans="1:9" x14ac:dyDescent="0.25">
      <c r="A93" s="1254" t="s">
        <v>60</v>
      </c>
      <c r="B93" s="1322"/>
      <c r="C93" s="1289"/>
      <c r="D93" s="1289"/>
      <c r="E93" s="1290"/>
    </row>
    <row r="94" spans="1:9" x14ac:dyDescent="0.25">
      <c r="A94" s="1255"/>
      <c r="B94" s="1291"/>
      <c r="C94" s="1292"/>
      <c r="D94" s="1292"/>
      <c r="E94" s="1293"/>
    </row>
    <row r="95" spans="1:9" ht="15.75" thickBot="1" x14ac:dyDescent="0.3">
      <c r="A95" s="1256"/>
      <c r="B95" s="1294"/>
      <c r="C95" s="1295"/>
      <c r="D95" s="1295"/>
      <c r="E95" s="1296"/>
    </row>
    <row r="96" spans="1:9" ht="15.75" thickBot="1" x14ac:dyDescent="0.3">
      <c r="A96" s="20" t="s">
        <v>130</v>
      </c>
      <c r="B96" s="1241" t="s">
        <v>941</v>
      </c>
      <c r="C96" s="1242"/>
      <c r="D96" s="1242"/>
      <c r="E96" s="1318"/>
    </row>
    <row r="97" spans="1:9" ht="15.75" customHeight="1" thickBot="1" x14ac:dyDescent="0.3">
      <c r="A97" s="7" t="s">
        <v>42</v>
      </c>
      <c r="B97" s="1248" t="s">
        <v>940</v>
      </c>
      <c r="C97" s="1249"/>
      <c r="D97" s="1249"/>
      <c r="E97" s="1316"/>
    </row>
    <row r="98" spans="1:9" ht="17.25" customHeight="1" thickBot="1" x14ac:dyDescent="0.3">
      <c r="A98" s="5" t="s">
        <v>17</v>
      </c>
      <c r="B98" s="1241" t="s">
        <v>939</v>
      </c>
      <c r="C98" s="1242"/>
      <c r="D98" s="1242"/>
      <c r="E98" s="1318"/>
    </row>
    <row r="99" spans="1:9" ht="15.75" customHeight="1" thickBot="1" x14ac:dyDescent="0.3">
      <c r="A99" s="5" t="s">
        <v>18</v>
      </c>
      <c r="B99" s="1243" t="s">
        <v>938</v>
      </c>
      <c r="C99" s="1244"/>
      <c r="D99" s="1244"/>
      <c r="E99" s="1315"/>
    </row>
    <row r="100" spans="1:9" ht="12.75" customHeight="1" x14ac:dyDescent="0.25">
      <c r="A100" s="1250"/>
      <c r="B100" s="8">
        <v>2018</v>
      </c>
      <c r="C100" s="8">
        <v>2019</v>
      </c>
      <c r="D100" s="8">
        <v>2020</v>
      </c>
      <c r="E100" s="8">
        <v>2021</v>
      </c>
    </row>
    <row r="101" spans="1:9" ht="17.25" customHeight="1" thickBot="1" x14ac:dyDescent="0.3">
      <c r="A101" s="1251"/>
      <c r="B101" s="9" t="s">
        <v>10</v>
      </c>
      <c r="C101" s="9" t="s">
        <v>11</v>
      </c>
      <c r="D101" s="9" t="s">
        <v>11</v>
      </c>
      <c r="E101" s="9" t="s">
        <v>11</v>
      </c>
    </row>
    <row r="102" spans="1:9" ht="15.75" thickBot="1" x14ac:dyDescent="0.3">
      <c r="A102" s="5" t="s">
        <v>19</v>
      </c>
      <c r="B102" s="10"/>
      <c r="C102" s="10"/>
      <c r="D102" s="10"/>
      <c r="E102" s="10"/>
    </row>
    <row r="103" spans="1:9" ht="15.75" thickBot="1" x14ac:dyDescent="0.3">
      <c r="A103" s="5" t="s">
        <v>20</v>
      </c>
      <c r="B103" s="10"/>
      <c r="C103" s="10"/>
      <c r="D103" s="10"/>
      <c r="E103" s="10"/>
    </row>
    <row r="104" spans="1:9" ht="15.75" thickBot="1" x14ac:dyDescent="0.3">
      <c r="A104" s="5" t="s">
        <v>21</v>
      </c>
      <c r="B104" s="10" t="e">
        <f>B103/B102</f>
        <v>#DIV/0!</v>
      </c>
      <c r="C104" s="10" t="e">
        <f>C103/C102</f>
        <v>#DIV/0!</v>
      </c>
      <c r="D104" s="10" t="e">
        <f>D103/D102</f>
        <v>#DIV/0!</v>
      </c>
      <c r="E104" s="10" t="e">
        <f>E103/E102</f>
        <v>#DIV/0!</v>
      </c>
    </row>
    <row r="105" spans="1:9" ht="15.75" thickBot="1" x14ac:dyDescent="0.3">
      <c r="A105" s="5" t="s">
        <v>22</v>
      </c>
      <c r="B105" s="151" t="s">
        <v>23</v>
      </c>
      <c r="C105" s="11" t="e">
        <f t="shared" ref="C105:E107" si="2">C102/B102-1</f>
        <v>#DIV/0!</v>
      </c>
      <c r="D105" s="11" t="e">
        <f t="shared" si="2"/>
        <v>#DIV/0!</v>
      </c>
      <c r="E105" s="11" t="e">
        <f t="shared" si="2"/>
        <v>#DIV/0!</v>
      </c>
      <c r="F105" s="12"/>
      <c r="G105" s="12"/>
      <c r="H105" s="12"/>
      <c r="I105" s="12"/>
    </row>
    <row r="106" spans="1:9" ht="15.75" thickBot="1" x14ac:dyDescent="0.3">
      <c r="A106" s="5" t="s">
        <v>24</v>
      </c>
      <c r="B106" s="151" t="s">
        <v>23</v>
      </c>
      <c r="C106" s="11" t="e">
        <f t="shared" si="2"/>
        <v>#DIV/0!</v>
      </c>
      <c r="D106" s="11" t="e">
        <f t="shared" si="2"/>
        <v>#DIV/0!</v>
      </c>
      <c r="E106" s="11" t="e">
        <f t="shared" si="2"/>
        <v>#DIV/0!</v>
      </c>
    </row>
    <row r="107" spans="1:9" ht="15.75" thickBot="1" x14ac:dyDescent="0.3">
      <c r="A107" s="5" t="s">
        <v>25</v>
      </c>
      <c r="B107" s="151" t="s">
        <v>23</v>
      </c>
      <c r="C107" s="11" t="e">
        <f t="shared" si="2"/>
        <v>#DIV/0!</v>
      </c>
      <c r="D107" s="11" t="e">
        <f t="shared" si="2"/>
        <v>#DIV/0!</v>
      </c>
      <c r="E107" s="11" t="e">
        <f t="shared" si="2"/>
        <v>#DIV/0!</v>
      </c>
    </row>
    <row r="108" spans="1:9" ht="15.75" customHeight="1" thickBot="1" x14ac:dyDescent="0.3">
      <c r="A108" s="1252" t="s">
        <v>884</v>
      </c>
      <c r="B108" s="1253"/>
      <c r="C108" s="1253"/>
      <c r="D108" s="1253"/>
      <c r="E108" s="1300"/>
    </row>
    <row r="109" spans="1:9" ht="12.75" customHeight="1" x14ac:dyDescent="0.25">
      <c r="A109" s="1250"/>
      <c r="B109" s="8">
        <v>2018</v>
      </c>
      <c r="C109" s="8">
        <v>2019</v>
      </c>
      <c r="D109" s="8">
        <v>2020</v>
      </c>
      <c r="E109" s="8">
        <v>2021</v>
      </c>
    </row>
    <row r="110" spans="1:9" ht="9" customHeight="1" thickBot="1" x14ac:dyDescent="0.3">
      <c r="A110" s="1251"/>
      <c r="B110" s="9" t="s">
        <v>10</v>
      </c>
      <c r="C110" s="9" t="s">
        <v>11</v>
      </c>
      <c r="D110" s="9" t="s">
        <v>11</v>
      </c>
      <c r="E110" s="9" t="s">
        <v>11</v>
      </c>
    </row>
    <row r="111" spans="1:9" ht="15.75" thickBot="1" x14ac:dyDescent="0.3">
      <c r="A111" s="13" t="s">
        <v>58</v>
      </c>
      <c r="B111" s="14"/>
      <c r="C111" s="14"/>
      <c r="D111" s="14"/>
      <c r="E111" s="14"/>
    </row>
    <row r="112" spans="1:9" ht="15.75" thickBot="1" x14ac:dyDescent="0.3">
      <c r="A112" s="13" t="s">
        <v>59</v>
      </c>
      <c r="B112" s="15"/>
      <c r="C112" s="14"/>
      <c r="D112" s="14"/>
      <c r="E112" s="14"/>
    </row>
    <row r="113" spans="1:9" ht="15.75" thickBot="1" x14ac:dyDescent="0.3">
      <c r="A113" s="16" t="s">
        <v>43</v>
      </c>
      <c r="B113" s="15">
        <f>B112+B111</f>
        <v>0</v>
      </c>
      <c r="C113" s="15"/>
      <c r="D113" s="15"/>
      <c r="E113" s="15">
        <f>E112+E111</f>
        <v>0</v>
      </c>
    </row>
    <row r="114" spans="1:9" ht="15" customHeight="1" x14ac:dyDescent="0.25">
      <c r="A114" s="1254" t="s">
        <v>118</v>
      </c>
      <c r="B114" s="1322"/>
      <c r="C114" s="1289"/>
      <c r="D114" s="1289"/>
      <c r="E114" s="1290"/>
    </row>
    <row r="115" spans="1:9" x14ac:dyDescent="0.25">
      <c r="A115" s="1255"/>
      <c r="B115" s="1291"/>
      <c r="C115" s="1292"/>
      <c r="D115" s="1292"/>
      <c r="E115" s="1293"/>
    </row>
    <row r="116" spans="1:9" ht="15.75" thickBot="1" x14ac:dyDescent="0.3">
      <c r="A116" s="1256"/>
      <c r="B116" s="1294"/>
      <c r="C116" s="1295"/>
      <c r="D116" s="1295"/>
      <c r="E116" s="1296"/>
    </row>
    <row r="117" spans="1:9" ht="15.75" thickBot="1" x14ac:dyDescent="0.3">
      <c r="A117" s="1275" t="s">
        <v>63</v>
      </c>
      <c r="B117" s="1276"/>
      <c r="C117" s="1276"/>
      <c r="D117" s="1276"/>
      <c r="E117" s="1317"/>
    </row>
    <row r="118" spans="1:9" ht="15.75" thickBot="1" x14ac:dyDescent="0.3">
      <c r="A118" s="1275" t="s">
        <v>64</v>
      </c>
      <c r="B118" s="1276"/>
      <c r="C118" s="1276"/>
      <c r="D118" s="1276"/>
      <c r="E118" s="1317"/>
    </row>
    <row r="119" spans="1:9" ht="15.75" thickBot="1" x14ac:dyDescent="0.3">
      <c r="A119" s="20" t="s">
        <v>130</v>
      </c>
      <c r="B119" s="1241" t="s">
        <v>468</v>
      </c>
      <c r="C119" s="1242"/>
      <c r="D119" s="1242"/>
      <c r="E119" s="1318"/>
    </row>
    <row r="120" spans="1:9" ht="15.75" thickBot="1" x14ac:dyDescent="0.3">
      <c r="A120" s="7" t="s">
        <v>16</v>
      </c>
      <c r="B120" s="1243" t="s">
        <v>469</v>
      </c>
      <c r="C120" s="1244"/>
      <c r="D120" s="1244"/>
      <c r="E120" s="1315"/>
    </row>
    <row r="121" spans="1:9" ht="17.25" customHeight="1" thickBot="1" x14ac:dyDescent="0.3">
      <c r="A121" s="5" t="s">
        <v>17</v>
      </c>
      <c r="B121" s="1241" t="s">
        <v>470</v>
      </c>
      <c r="C121" s="1242"/>
      <c r="D121" s="1242"/>
      <c r="E121" s="1318"/>
    </row>
    <row r="122" spans="1:9" ht="15.75" thickBot="1" x14ac:dyDescent="0.3">
      <c r="A122" s="5" t="s">
        <v>18</v>
      </c>
      <c r="B122" s="1248" t="s">
        <v>471</v>
      </c>
      <c r="C122" s="1249"/>
      <c r="D122" s="1249"/>
      <c r="E122" s="1316"/>
    </row>
    <row r="123" spans="1:9" ht="12.75" customHeight="1" x14ac:dyDescent="0.25">
      <c r="A123" s="1250"/>
      <c r="B123" s="8">
        <v>2018</v>
      </c>
      <c r="C123" s="8">
        <v>2019</v>
      </c>
      <c r="D123" s="8">
        <v>2020</v>
      </c>
      <c r="E123" s="8">
        <v>2021</v>
      </c>
    </row>
    <row r="124" spans="1:9" ht="17.25" customHeight="1" thickBot="1" x14ac:dyDescent="0.3">
      <c r="A124" s="1251"/>
      <c r="B124" s="9" t="s">
        <v>10</v>
      </c>
      <c r="C124" s="9" t="s">
        <v>11</v>
      </c>
      <c r="D124" s="9" t="s">
        <v>11</v>
      </c>
      <c r="E124" s="9" t="s">
        <v>11</v>
      </c>
    </row>
    <row r="125" spans="1:9" ht="15.75" thickBot="1" x14ac:dyDescent="0.3">
      <c r="A125" s="5" t="s">
        <v>19</v>
      </c>
      <c r="B125" s="10">
        <v>1</v>
      </c>
      <c r="C125" s="10">
        <v>1</v>
      </c>
      <c r="D125" s="10">
        <v>1</v>
      </c>
      <c r="E125" s="10"/>
    </row>
    <row r="126" spans="1:9" ht="15.75" thickBot="1" x14ac:dyDescent="0.3">
      <c r="A126" s="5" t="s">
        <v>20</v>
      </c>
      <c r="B126" s="10">
        <v>40000</v>
      </c>
      <c r="C126" s="10">
        <v>80000</v>
      </c>
      <c r="D126" s="10">
        <v>80000</v>
      </c>
      <c r="E126" s="10"/>
    </row>
    <row r="127" spans="1:9" ht="15.75" thickBot="1" x14ac:dyDescent="0.3">
      <c r="A127" s="5" t="s">
        <v>21</v>
      </c>
      <c r="B127" s="10">
        <f>B126/B125</f>
        <v>40000</v>
      </c>
      <c r="C127" s="10">
        <f>C126/C125</f>
        <v>80000</v>
      </c>
      <c r="D127" s="10">
        <f>D126/D125</f>
        <v>80000</v>
      </c>
      <c r="E127" s="10" t="e">
        <f>E126/E125</f>
        <v>#DIV/0!</v>
      </c>
    </row>
    <row r="128" spans="1:9" ht="15.75" thickBot="1" x14ac:dyDescent="0.3">
      <c r="A128" s="5" t="s">
        <v>22</v>
      </c>
      <c r="B128" s="151" t="s">
        <v>23</v>
      </c>
      <c r="C128" s="11">
        <f t="shared" ref="C128:E130" si="3">C125/B125-1</f>
        <v>0</v>
      </c>
      <c r="D128" s="11">
        <f t="shared" si="3"/>
        <v>0</v>
      </c>
      <c r="E128" s="11">
        <f t="shared" si="3"/>
        <v>-1</v>
      </c>
      <c r="F128" s="12"/>
      <c r="G128" s="12"/>
      <c r="H128" s="12"/>
      <c r="I128" s="12"/>
    </row>
    <row r="129" spans="1:5" ht="15.75" thickBot="1" x14ac:dyDescent="0.3">
      <c r="A129" s="5" t="s">
        <v>24</v>
      </c>
      <c r="B129" s="151" t="s">
        <v>23</v>
      </c>
      <c r="C129" s="11">
        <f t="shared" si="3"/>
        <v>1</v>
      </c>
      <c r="D129" s="11">
        <f t="shared" si="3"/>
        <v>0</v>
      </c>
      <c r="E129" s="11">
        <f t="shared" si="3"/>
        <v>-1</v>
      </c>
    </row>
    <row r="130" spans="1:5" ht="15.75" thickBot="1" x14ac:dyDescent="0.3">
      <c r="A130" s="5" t="s">
        <v>25</v>
      </c>
      <c r="B130" s="151" t="s">
        <v>23</v>
      </c>
      <c r="C130" s="11">
        <f t="shared" si="3"/>
        <v>1</v>
      </c>
      <c r="D130" s="11">
        <f t="shared" si="3"/>
        <v>0</v>
      </c>
      <c r="E130" s="11" t="e">
        <f t="shared" si="3"/>
        <v>#DIV/0!</v>
      </c>
    </row>
    <row r="131" spans="1:5" ht="15.75" thickBot="1" x14ac:dyDescent="0.3">
      <c r="A131" s="1323" t="s">
        <v>114</v>
      </c>
      <c r="B131" s="1324"/>
      <c r="C131" s="1324"/>
      <c r="D131" s="1324"/>
      <c r="E131" s="1325"/>
    </row>
    <row r="132" spans="1:5" ht="12.75" customHeight="1" x14ac:dyDescent="0.25">
      <c r="A132" s="1250"/>
      <c r="B132" s="8">
        <v>2018</v>
      </c>
      <c r="C132" s="8">
        <v>2019</v>
      </c>
      <c r="D132" s="8">
        <v>2020</v>
      </c>
      <c r="E132" s="8">
        <v>2021</v>
      </c>
    </row>
    <row r="133" spans="1:5" ht="15.75" customHeight="1" thickBot="1" x14ac:dyDescent="0.3">
      <c r="A133" s="1251"/>
      <c r="B133" s="9" t="s">
        <v>10</v>
      </c>
      <c r="C133" s="9" t="s">
        <v>11</v>
      </c>
      <c r="D133" s="9" t="s">
        <v>11</v>
      </c>
      <c r="E133" s="9" t="s">
        <v>11</v>
      </c>
    </row>
    <row r="134" spans="1:5" ht="15.75" thickBot="1" x14ac:dyDescent="0.3">
      <c r="A134" s="13" t="s">
        <v>58</v>
      </c>
      <c r="B134" s="14"/>
      <c r="C134" s="14"/>
      <c r="D134" s="14"/>
      <c r="E134" s="14"/>
    </row>
    <row r="135" spans="1:5" ht="15.75" thickBot="1" x14ac:dyDescent="0.3">
      <c r="A135" s="13" t="s">
        <v>59</v>
      </c>
      <c r="B135" s="15">
        <v>40000</v>
      </c>
      <c r="C135" s="60">
        <v>80000</v>
      </c>
      <c r="D135" s="60">
        <v>80000</v>
      </c>
      <c r="E135" s="14">
        <v>0</v>
      </c>
    </row>
    <row r="136" spans="1:5" ht="15.75" thickBot="1" x14ac:dyDescent="0.3">
      <c r="A136" s="192" t="s">
        <v>40</v>
      </c>
      <c r="B136" s="15">
        <f>B135</f>
        <v>40000</v>
      </c>
      <c r="C136" s="15">
        <f>C135+C134</f>
        <v>80000</v>
      </c>
      <c r="D136" s="15">
        <f>D135+D134</f>
        <v>80000</v>
      </c>
      <c r="E136" s="15">
        <f>E135+E134</f>
        <v>0</v>
      </c>
    </row>
    <row r="137" spans="1:5" x14ac:dyDescent="0.25">
      <c r="A137" s="1254" t="s">
        <v>60</v>
      </c>
      <c r="B137" s="1322"/>
      <c r="C137" s="1289"/>
      <c r="D137" s="1289"/>
      <c r="E137" s="1290"/>
    </row>
    <row r="138" spans="1:5" x14ac:dyDescent="0.25">
      <c r="A138" s="1255"/>
      <c r="B138" s="1291"/>
      <c r="C138" s="1292"/>
      <c r="D138" s="1292"/>
      <c r="E138" s="1293"/>
    </row>
    <row r="139" spans="1:5" ht="15.75" thickBot="1" x14ac:dyDescent="0.3">
      <c r="A139" s="1256"/>
      <c r="B139" s="1294"/>
      <c r="C139" s="1295"/>
      <c r="D139" s="1295"/>
      <c r="E139" s="1296"/>
    </row>
    <row r="140" spans="1:5" ht="15.75" thickBot="1" x14ac:dyDescent="0.3">
      <c r="A140" s="20" t="s">
        <v>130</v>
      </c>
      <c r="B140" s="1241" t="s">
        <v>472</v>
      </c>
      <c r="C140" s="1242"/>
      <c r="D140" s="1242"/>
      <c r="E140" s="1318"/>
    </row>
    <row r="141" spans="1:5" ht="15.75" thickBot="1" x14ac:dyDescent="0.3">
      <c r="A141" s="7" t="s">
        <v>42</v>
      </c>
      <c r="B141" s="1326" t="s">
        <v>473</v>
      </c>
      <c r="C141" s="1327"/>
      <c r="D141" s="1327"/>
      <c r="E141" s="1328"/>
    </row>
    <row r="142" spans="1:5" ht="15.75" customHeight="1" thickBot="1" x14ac:dyDescent="0.3">
      <c r="A142" s="5" t="s">
        <v>17</v>
      </c>
      <c r="B142" s="1241" t="s">
        <v>474</v>
      </c>
      <c r="C142" s="1242"/>
      <c r="D142" s="1242"/>
      <c r="E142" s="1318"/>
    </row>
    <row r="143" spans="1:5" ht="15.75" thickBot="1" x14ac:dyDescent="0.3">
      <c r="A143" s="5" t="s">
        <v>18</v>
      </c>
      <c r="B143" s="1248" t="s">
        <v>475</v>
      </c>
      <c r="C143" s="1249"/>
      <c r="D143" s="1249"/>
      <c r="E143" s="1316"/>
    </row>
    <row r="144" spans="1:5" x14ac:dyDescent="0.25">
      <c r="A144" s="1250"/>
      <c r="B144" s="8">
        <v>2018</v>
      </c>
      <c r="C144" s="8">
        <v>2019</v>
      </c>
      <c r="D144" s="8">
        <v>2020</v>
      </c>
      <c r="E144" s="8">
        <v>2021</v>
      </c>
    </row>
    <row r="145" spans="1:5" ht="15.75" thickBot="1" x14ac:dyDescent="0.3">
      <c r="A145" s="1251"/>
      <c r="B145" s="9" t="s">
        <v>10</v>
      </c>
      <c r="C145" s="9" t="s">
        <v>11</v>
      </c>
      <c r="D145" s="9" t="s">
        <v>11</v>
      </c>
      <c r="E145" s="9" t="s">
        <v>11</v>
      </c>
    </row>
    <row r="146" spans="1:5" ht="15.75" thickBot="1" x14ac:dyDescent="0.3">
      <c r="A146" s="5" t="s">
        <v>19</v>
      </c>
      <c r="B146" s="10">
        <v>1</v>
      </c>
      <c r="C146" s="10"/>
      <c r="D146" s="10"/>
      <c r="E146" s="10"/>
    </row>
    <row r="147" spans="1:5" ht="15.75" thickBot="1" x14ac:dyDescent="0.3">
      <c r="A147" s="5" t="s">
        <v>20</v>
      </c>
      <c r="B147" s="10">
        <v>3200</v>
      </c>
      <c r="C147" s="10"/>
      <c r="D147" s="10"/>
      <c r="E147" s="10"/>
    </row>
    <row r="148" spans="1:5" ht="15.75" thickBot="1" x14ac:dyDescent="0.3">
      <c r="A148" s="5" t="s">
        <v>21</v>
      </c>
      <c r="B148" s="10">
        <f>B147/B146</f>
        <v>3200</v>
      </c>
      <c r="C148" s="10"/>
      <c r="D148" s="10"/>
      <c r="E148" s="10"/>
    </row>
    <row r="149" spans="1:5" ht="15.75" thickBot="1" x14ac:dyDescent="0.3">
      <c r="A149" s="5" t="s">
        <v>22</v>
      </c>
      <c r="B149" s="151" t="s">
        <v>23</v>
      </c>
      <c r="C149" s="11">
        <f t="shared" ref="C149:E151" si="4">C146/B146-1</f>
        <v>-1</v>
      </c>
      <c r="D149" s="11" t="e">
        <f t="shared" si="4"/>
        <v>#DIV/0!</v>
      </c>
      <c r="E149" s="11" t="e">
        <f t="shared" si="4"/>
        <v>#DIV/0!</v>
      </c>
    </row>
    <row r="150" spans="1:5" ht="15.75" thickBot="1" x14ac:dyDescent="0.3">
      <c r="A150" s="5" t="s">
        <v>24</v>
      </c>
      <c r="B150" s="151" t="s">
        <v>23</v>
      </c>
      <c r="C150" s="11">
        <f t="shared" si="4"/>
        <v>-1</v>
      </c>
      <c r="D150" s="11" t="e">
        <f t="shared" si="4"/>
        <v>#DIV/0!</v>
      </c>
      <c r="E150" s="11" t="e">
        <f t="shared" si="4"/>
        <v>#DIV/0!</v>
      </c>
    </row>
    <row r="151" spans="1:5" ht="15.75" thickBot="1" x14ac:dyDescent="0.3">
      <c r="A151" s="5" t="s">
        <v>25</v>
      </c>
      <c r="B151" s="151" t="s">
        <v>23</v>
      </c>
      <c r="C151" s="11">
        <f t="shared" si="4"/>
        <v>-1</v>
      </c>
      <c r="D151" s="11" t="e">
        <f t="shared" si="4"/>
        <v>#DIV/0!</v>
      </c>
      <c r="E151" s="11" t="e">
        <f t="shared" si="4"/>
        <v>#DIV/0!</v>
      </c>
    </row>
    <row r="152" spans="1:5" ht="15.75" thickBot="1" x14ac:dyDescent="0.3">
      <c r="A152" s="1323" t="s">
        <v>568</v>
      </c>
      <c r="B152" s="1324"/>
      <c r="C152" s="1324"/>
      <c r="D152" s="1324"/>
      <c r="E152" s="1325"/>
    </row>
    <row r="153" spans="1:5" x14ac:dyDescent="0.25">
      <c r="A153" s="1250"/>
      <c r="B153" s="8">
        <v>2018</v>
      </c>
      <c r="C153" s="8">
        <v>2019</v>
      </c>
      <c r="D153" s="8">
        <v>2020</v>
      </c>
      <c r="E153" s="8">
        <v>2021</v>
      </c>
    </row>
    <row r="154" spans="1:5" ht="15.75" thickBot="1" x14ac:dyDescent="0.3">
      <c r="A154" s="1251"/>
      <c r="B154" s="9" t="s">
        <v>10</v>
      </c>
      <c r="C154" s="9" t="s">
        <v>11</v>
      </c>
      <c r="D154" s="9" t="s">
        <v>11</v>
      </c>
      <c r="E154" s="9" t="s">
        <v>11</v>
      </c>
    </row>
    <row r="155" spans="1:5" ht="15.75" thickBot="1" x14ac:dyDescent="0.3">
      <c r="A155" s="13" t="s">
        <v>58</v>
      </c>
      <c r="B155" s="14"/>
      <c r="C155" s="14"/>
      <c r="D155" s="14"/>
      <c r="E155" s="14"/>
    </row>
    <row r="156" spans="1:5" ht="15.75" thickBot="1" x14ac:dyDescent="0.3">
      <c r="A156" s="13" t="s">
        <v>59</v>
      </c>
      <c r="B156" s="15">
        <v>3200</v>
      </c>
      <c r="C156" s="14"/>
      <c r="D156" s="14"/>
      <c r="E156" s="14"/>
    </row>
    <row r="157" spans="1:5" ht="15.75" thickBot="1" x14ac:dyDescent="0.3">
      <c r="A157" s="192" t="s">
        <v>43</v>
      </c>
      <c r="B157" s="15">
        <f>B156</f>
        <v>3200</v>
      </c>
      <c r="C157" s="15"/>
      <c r="D157" s="15"/>
      <c r="E157" s="15"/>
    </row>
    <row r="158" spans="1:5" x14ac:dyDescent="0.25">
      <c r="A158" s="1254" t="s">
        <v>118</v>
      </c>
      <c r="B158" s="1322"/>
      <c r="C158" s="1289"/>
      <c r="D158" s="1289"/>
      <c r="E158" s="1290"/>
    </row>
    <row r="159" spans="1:5" x14ac:dyDescent="0.25">
      <c r="A159" s="1255"/>
      <c r="B159" s="1291"/>
      <c r="C159" s="1292"/>
      <c r="D159" s="1292"/>
      <c r="E159" s="1293"/>
    </row>
    <row r="160" spans="1:5" ht="15.75" thickBot="1" x14ac:dyDescent="0.3">
      <c r="A160" s="1256"/>
      <c r="B160" s="1294"/>
      <c r="C160" s="1295"/>
      <c r="D160" s="1295"/>
      <c r="E160" s="1296"/>
    </row>
    <row r="161" spans="1:5" ht="15.75" thickBot="1" x14ac:dyDescent="0.3">
      <c r="A161" s="20" t="s">
        <v>937</v>
      </c>
      <c r="B161" s="1241" t="s">
        <v>936</v>
      </c>
      <c r="C161" s="1242"/>
      <c r="D161" s="1242"/>
      <c r="E161" s="1318"/>
    </row>
    <row r="162" spans="1:5" ht="19.5" customHeight="1" thickBot="1" x14ac:dyDescent="0.3">
      <c r="A162" s="7" t="s">
        <v>44</v>
      </c>
      <c r="B162" s="1319" t="s">
        <v>935</v>
      </c>
      <c r="C162" s="1320"/>
      <c r="D162" s="1320"/>
      <c r="E162" s="1321"/>
    </row>
    <row r="163" spans="1:5" ht="15.75" customHeight="1" thickBot="1" x14ac:dyDescent="0.3">
      <c r="A163" s="5" t="s">
        <v>17</v>
      </c>
      <c r="B163" s="1241" t="s">
        <v>934</v>
      </c>
      <c r="C163" s="1242"/>
      <c r="D163" s="1242"/>
      <c r="E163" s="1318"/>
    </row>
    <row r="164" spans="1:5" ht="15.75" thickBot="1" x14ac:dyDescent="0.3">
      <c r="A164" s="5" t="s">
        <v>18</v>
      </c>
      <c r="B164" s="1248" t="s">
        <v>933</v>
      </c>
      <c r="C164" s="1249"/>
      <c r="D164" s="1249"/>
      <c r="E164" s="1316"/>
    </row>
    <row r="165" spans="1:5" x14ac:dyDescent="0.25">
      <c r="A165" s="1250"/>
      <c r="B165" s="8">
        <v>2018</v>
      </c>
      <c r="C165" s="8">
        <v>2019</v>
      </c>
      <c r="D165" s="8">
        <v>2020</v>
      </c>
      <c r="E165" s="8">
        <v>2021</v>
      </c>
    </row>
    <row r="166" spans="1:5" ht="15.75" thickBot="1" x14ac:dyDescent="0.3">
      <c r="A166" s="1251"/>
      <c r="B166" s="9" t="s">
        <v>10</v>
      </c>
      <c r="C166" s="9" t="s">
        <v>11</v>
      </c>
      <c r="D166" s="9" t="s">
        <v>11</v>
      </c>
      <c r="E166" s="9" t="s">
        <v>11</v>
      </c>
    </row>
    <row r="167" spans="1:5" ht="15.75" thickBot="1" x14ac:dyDescent="0.3">
      <c r="A167" s="5" t="s">
        <v>19</v>
      </c>
      <c r="B167" s="10">
        <v>1</v>
      </c>
      <c r="C167" s="10"/>
      <c r="D167" s="10"/>
      <c r="E167" s="10"/>
    </row>
    <row r="168" spans="1:5" ht="15.75" thickBot="1" x14ac:dyDescent="0.3">
      <c r="A168" s="5" t="s">
        <v>20</v>
      </c>
      <c r="B168" s="10">
        <v>18500</v>
      </c>
      <c r="C168" s="10"/>
      <c r="D168" s="10"/>
      <c r="E168" s="10"/>
    </row>
    <row r="169" spans="1:5" ht="15.75" thickBot="1" x14ac:dyDescent="0.3">
      <c r="A169" s="5" t="s">
        <v>21</v>
      </c>
      <c r="B169" s="10">
        <f>B168/B167</f>
        <v>18500</v>
      </c>
      <c r="C169" s="10" t="e">
        <f>C168/C167</f>
        <v>#DIV/0!</v>
      </c>
      <c r="D169" s="10" t="e">
        <f>D168/D167</f>
        <v>#DIV/0!</v>
      </c>
      <c r="E169" s="10" t="e">
        <f>E168/E167</f>
        <v>#DIV/0!</v>
      </c>
    </row>
    <row r="170" spans="1:5" ht="15.75" thickBot="1" x14ac:dyDescent="0.3">
      <c r="A170" s="5" t="s">
        <v>22</v>
      </c>
      <c r="B170" s="151" t="s">
        <v>23</v>
      </c>
      <c r="C170" s="11">
        <f t="shared" ref="C170:E172" si="5">C167/B167-1</f>
        <v>-1</v>
      </c>
      <c r="D170" s="11" t="e">
        <f t="shared" si="5"/>
        <v>#DIV/0!</v>
      </c>
      <c r="E170" s="11" t="e">
        <f t="shared" si="5"/>
        <v>#DIV/0!</v>
      </c>
    </row>
    <row r="171" spans="1:5" ht="15.75" thickBot="1" x14ac:dyDescent="0.3">
      <c r="A171" s="5" t="s">
        <v>24</v>
      </c>
      <c r="B171" s="151" t="s">
        <v>23</v>
      </c>
      <c r="C171" s="11">
        <f t="shared" si="5"/>
        <v>-1</v>
      </c>
      <c r="D171" s="11" t="e">
        <f t="shared" si="5"/>
        <v>#DIV/0!</v>
      </c>
      <c r="E171" s="11" t="e">
        <f t="shared" si="5"/>
        <v>#DIV/0!</v>
      </c>
    </row>
    <row r="172" spans="1:5" ht="15.75" thickBot="1" x14ac:dyDescent="0.3">
      <c r="A172" s="5" t="s">
        <v>25</v>
      </c>
      <c r="B172" s="151" t="s">
        <v>23</v>
      </c>
      <c r="C172" s="11" t="e">
        <f t="shared" si="5"/>
        <v>#DIV/0!</v>
      </c>
      <c r="D172" s="11" t="e">
        <f t="shared" si="5"/>
        <v>#DIV/0!</v>
      </c>
      <c r="E172" s="11" t="e">
        <f t="shared" si="5"/>
        <v>#DIV/0!</v>
      </c>
    </row>
    <row r="173" spans="1:5" ht="15.75" thickBot="1" x14ac:dyDescent="0.3">
      <c r="A173" s="1252" t="s">
        <v>872</v>
      </c>
      <c r="B173" s="1253"/>
      <c r="C173" s="1253"/>
      <c r="D173" s="1253"/>
      <c r="E173" s="1300"/>
    </row>
    <row r="174" spans="1:5" x14ac:dyDescent="0.25">
      <c r="A174" s="1250"/>
      <c r="B174" s="8">
        <v>2018</v>
      </c>
      <c r="C174" s="8">
        <v>2019</v>
      </c>
      <c r="D174" s="8">
        <v>2020</v>
      </c>
      <c r="E174" s="8">
        <v>2021</v>
      </c>
    </row>
    <row r="175" spans="1:5" ht="15.75" thickBot="1" x14ac:dyDescent="0.3">
      <c r="A175" s="1251"/>
      <c r="B175" s="9" t="s">
        <v>10</v>
      </c>
      <c r="C175" s="9" t="s">
        <v>11</v>
      </c>
      <c r="D175" s="9" t="s">
        <v>11</v>
      </c>
      <c r="E175" s="9" t="s">
        <v>11</v>
      </c>
    </row>
    <row r="176" spans="1:5" ht="15.75" thickBot="1" x14ac:dyDescent="0.3">
      <c r="A176" s="13" t="s">
        <v>58</v>
      </c>
      <c r="B176" s="14"/>
      <c r="C176" s="14"/>
      <c r="D176" s="14"/>
      <c r="E176" s="14"/>
    </row>
    <row r="177" spans="1:5" ht="15.75" thickBot="1" x14ac:dyDescent="0.3">
      <c r="A177" s="13" t="s">
        <v>59</v>
      </c>
      <c r="B177" s="15">
        <v>18500</v>
      </c>
      <c r="C177" s="14">
        <v>0</v>
      </c>
      <c r="D177" s="14">
        <v>0</v>
      </c>
      <c r="E177" s="14">
        <v>0</v>
      </c>
    </row>
    <row r="178" spans="1:5" ht="15.75" thickBot="1" x14ac:dyDescent="0.3">
      <c r="A178" s="16" t="s">
        <v>52</v>
      </c>
      <c r="B178" s="15">
        <f>B177</f>
        <v>18500</v>
      </c>
      <c r="C178" s="15">
        <f>C177+C176</f>
        <v>0</v>
      </c>
      <c r="D178" s="15">
        <f>D177+D176</f>
        <v>0</v>
      </c>
      <c r="E178" s="15">
        <f>E177+E176</f>
        <v>0</v>
      </c>
    </row>
    <row r="179" spans="1:5" x14ac:dyDescent="0.25">
      <c r="A179" s="1254" t="s">
        <v>118</v>
      </c>
      <c r="B179" s="1322"/>
      <c r="C179" s="1289"/>
      <c r="D179" s="1289"/>
      <c r="E179" s="1290"/>
    </row>
    <row r="180" spans="1:5" x14ac:dyDescent="0.25">
      <c r="A180" s="1255"/>
      <c r="B180" s="1291"/>
      <c r="C180" s="1292"/>
      <c r="D180" s="1292"/>
      <c r="E180" s="1293"/>
    </row>
    <row r="181" spans="1:5" ht="27" customHeight="1" thickBot="1" x14ac:dyDescent="0.3">
      <c r="A181" s="1256"/>
      <c r="B181" s="1294"/>
      <c r="C181" s="1295"/>
      <c r="D181" s="1295"/>
      <c r="E181" s="1296"/>
    </row>
    <row r="182" spans="1:5" ht="27" customHeight="1" thickBot="1" x14ac:dyDescent="0.3">
      <c r="A182" s="6" t="s">
        <v>82</v>
      </c>
      <c r="B182" s="24">
        <f>B168+B147+B126+B103+B82+B39</f>
        <v>245900</v>
      </c>
      <c r="C182" s="24">
        <f>C168+C147+C126+C103+C82+C39</f>
        <v>249000</v>
      </c>
      <c r="D182" s="24">
        <f>D168+D147+D126+D103+D82+D39</f>
        <v>249000</v>
      </c>
      <c r="E182" s="24">
        <f>E168+E147+E126+E103+E82+E39</f>
        <v>169500</v>
      </c>
    </row>
    <row r="183" spans="1:5" ht="15.75" thickBot="1" x14ac:dyDescent="0.3">
      <c r="A183" s="6" t="s">
        <v>83</v>
      </c>
      <c r="B183" s="24">
        <f>B185+B187+B189+B191+B193+B195+B197+B199+B201</f>
        <v>245900</v>
      </c>
      <c r="C183" s="24">
        <f>C185+C187+C189+C191+C193+C195+C197+C199+C201</f>
        <v>249000</v>
      </c>
      <c r="D183" s="24">
        <f>D185+D187+D189+D191+D193+D195+D197+D199+D201</f>
        <v>249000</v>
      </c>
      <c r="E183" s="24">
        <f>E185+E187+E189+E191+E193+E195+E197+E199+E201</f>
        <v>169500</v>
      </c>
    </row>
    <row r="184" spans="1:5" ht="15.75" thickBot="1" x14ac:dyDescent="0.3">
      <c r="A184" s="25" t="s">
        <v>84</v>
      </c>
      <c r="B184" s="26"/>
      <c r="C184" s="27">
        <f>C183/B183-1</f>
        <v>1.2606750711671388E-2</v>
      </c>
      <c r="D184" s="27">
        <f>D183/C183-1</f>
        <v>0</v>
      </c>
      <c r="E184" s="27">
        <f>E183/D183-1</f>
        <v>-0.31927710843373491</v>
      </c>
    </row>
    <row r="185" spans="1:5" ht="15.75" thickBot="1" x14ac:dyDescent="0.3">
      <c r="A185" s="13" t="s">
        <v>26</v>
      </c>
      <c r="B185" s="14">
        <f>B47</f>
        <v>111800</v>
      </c>
      <c r="C185" s="14">
        <f>C47</f>
        <v>111800</v>
      </c>
      <c r="D185" s="14">
        <f>D47</f>
        <v>111800</v>
      </c>
      <c r="E185" s="14">
        <f>E47</f>
        <v>111800</v>
      </c>
    </row>
    <row r="186" spans="1:5" ht="15.75" thickBot="1" x14ac:dyDescent="0.3">
      <c r="A186" s="28" t="s">
        <v>85</v>
      </c>
      <c r="B186" s="15"/>
      <c r="C186" s="29">
        <f>C185/B185-1</f>
        <v>0</v>
      </c>
      <c r="D186" s="29">
        <f>D185/C185-1</f>
        <v>0</v>
      </c>
      <c r="E186" s="29">
        <f>E185/D185-1</f>
        <v>0</v>
      </c>
    </row>
    <row r="187" spans="1:5" ht="15.75" thickBot="1" x14ac:dyDescent="0.3">
      <c r="A187" s="13" t="s">
        <v>28</v>
      </c>
      <c r="B187" s="60">
        <f>B50</f>
        <v>22200</v>
      </c>
      <c r="C187" s="60">
        <f>C50</f>
        <v>22200</v>
      </c>
      <c r="D187" s="60">
        <f>D50</f>
        <v>22200</v>
      </c>
      <c r="E187" s="60">
        <f>E50</f>
        <v>22200</v>
      </c>
    </row>
    <row r="188" spans="1:5" ht="15.75" thickBot="1" x14ac:dyDescent="0.3">
      <c r="A188" s="28" t="s">
        <v>86</v>
      </c>
      <c r="B188" s="15"/>
      <c r="C188" s="29">
        <f>C187/B187-1</f>
        <v>0</v>
      </c>
      <c r="D188" s="29">
        <f>D187/C187-1</f>
        <v>0</v>
      </c>
      <c r="E188" s="29">
        <f>E187/D187-1</f>
        <v>0</v>
      </c>
    </row>
    <row r="189" spans="1:5" ht="15.75" thickBot="1" x14ac:dyDescent="0.3">
      <c r="A189" s="13" t="s">
        <v>30</v>
      </c>
      <c r="B189" s="191">
        <f>B53</f>
        <v>33800</v>
      </c>
      <c r="C189" s="191">
        <f>C53</f>
        <v>34800</v>
      </c>
      <c r="D189" s="191">
        <f>D53</f>
        <v>34800</v>
      </c>
      <c r="E189" s="191">
        <f>E53</f>
        <v>34800</v>
      </c>
    </row>
    <row r="190" spans="1:5" ht="15.75" thickBot="1" x14ac:dyDescent="0.3">
      <c r="A190" s="28" t="s">
        <v>87</v>
      </c>
      <c r="B190" s="15"/>
      <c r="C190" s="29">
        <f>C189/B189-1</f>
        <v>2.9585798816567976E-2</v>
      </c>
      <c r="D190" s="29">
        <f>D189/C189-1</f>
        <v>0</v>
      </c>
      <c r="E190" s="29">
        <f>E189/D189-1</f>
        <v>0</v>
      </c>
    </row>
    <row r="191" spans="1:5" ht="15.75" thickBot="1" x14ac:dyDescent="0.3">
      <c r="A191" s="13" t="s">
        <v>32</v>
      </c>
      <c r="B191" s="14">
        <f>B56</f>
        <v>0</v>
      </c>
      <c r="C191" s="14">
        <f>C56</f>
        <v>0</v>
      </c>
      <c r="D191" s="14">
        <f>D56</f>
        <v>0</v>
      </c>
      <c r="E191" s="14">
        <f>E56</f>
        <v>0</v>
      </c>
    </row>
    <row r="192" spans="1:5" ht="15.75" thickBot="1" x14ac:dyDescent="0.3">
      <c r="A192" s="28" t="s">
        <v>88</v>
      </c>
      <c r="B192" s="15"/>
      <c r="C192" s="29" t="e">
        <f>C191/B191-1</f>
        <v>#DIV/0!</v>
      </c>
      <c r="D192" s="29" t="e">
        <f>D191/C191-1</f>
        <v>#DIV/0!</v>
      </c>
      <c r="E192" s="29" t="e">
        <f>E191/D191-1</f>
        <v>#DIV/0!</v>
      </c>
    </row>
    <row r="193" spans="1:5" ht="15.75" thickBot="1" x14ac:dyDescent="0.3">
      <c r="A193" s="13" t="s">
        <v>34</v>
      </c>
      <c r="B193" s="14">
        <f>B59</f>
        <v>0</v>
      </c>
      <c r="C193" s="14">
        <f>C59</f>
        <v>0</v>
      </c>
      <c r="D193" s="14">
        <f>D59</f>
        <v>0</v>
      </c>
      <c r="E193" s="14">
        <f>E59</f>
        <v>0</v>
      </c>
    </row>
    <row r="194" spans="1:5" ht="15.75" thickBot="1" x14ac:dyDescent="0.3">
      <c r="A194" s="28" t="s">
        <v>89</v>
      </c>
      <c r="B194" s="15"/>
      <c r="C194" s="29" t="e">
        <f>C193/B193-1</f>
        <v>#DIV/0!</v>
      </c>
      <c r="D194" s="29" t="e">
        <f>D193/C193-1</f>
        <v>#DIV/0!</v>
      </c>
      <c r="E194" s="29" t="e">
        <f>E193/D193-1</f>
        <v>#DIV/0!</v>
      </c>
    </row>
    <row r="195" spans="1:5" ht="15.75" thickBot="1" x14ac:dyDescent="0.3">
      <c r="A195" s="13" t="s">
        <v>36</v>
      </c>
      <c r="B195" s="15">
        <f>B62</f>
        <v>200</v>
      </c>
      <c r="C195" s="15">
        <f>C62</f>
        <v>200</v>
      </c>
      <c r="D195" s="15">
        <f>D62</f>
        <v>200</v>
      </c>
      <c r="E195" s="15">
        <f>E62</f>
        <v>200</v>
      </c>
    </row>
    <row r="196" spans="1:5" ht="15.75" thickBot="1" x14ac:dyDescent="0.3">
      <c r="A196" s="28" t="s">
        <v>90</v>
      </c>
      <c r="B196" s="15"/>
      <c r="C196" s="29">
        <f>C195/B195-1</f>
        <v>0</v>
      </c>
      <c r="D196" s="29">
        <f>D195/C195-1</f>
        <v>0</v>
      </c>
      <c r="E196" s="29">
        <f>E195/D195-1</f>
        <v>0</v>
      </c>
    </row>
    <row r="197" spans="1:5" ht="15.75" thickBot="1" x14ac:dyDescent="0.3">
      <c r="A197" s="13" t="s">
        <v>38</v>
      </c>
      <c r="B197" s="15">
        <f>B65</f>
        <v>0</v>
      </c>
      <c r="C197" s="15">
        <f>C65</f>
        <v>0</v>
      </c>
      <c r="D197" s="15">
        <f>D65</f>
        <v>0</v>
      </c>
      <c r="E197" s="15">
        <f>E65</f>
        <v>0</v>
      </c>
    </row>
    <row r="198" spans="1:5" ht="15.75" thickBot="1" x14ac:dyDescent="0.3">
      <c r="A198" s="28" t="s">
        <v>91</v>
      </c>
      <c r="B198" s="15"/>
      <c r="C198" s="29" t="e">
        <f>C197/B197-1</f>
        <v>#DIV/0!</v>
      </c>
      <c r="D198" s="29" t="e">
        <f>D197/C197-1</f>
        <v>#DIV/0!</v>
      </c>
      <c r="E198" s="29" t="e">
        <f>E197/D197-1</f>
        <v>#DIV/0!</v>
      </c>
    </row>
    <row r="199" spans="1:5" ht="15.75" thickBot="1" x14ac:dyDescent="0.3">
      <c r="A199" s="13" t="s">
        <v>92</v>
      </c>
      <c r="B199" s="14">
        <f>B90+B111+B134+B155+B176</f>
        <v>0</v>
      </c>
      <c r="C199" s="14">
        <f>C90+C111+C134+C155+C176</f>
        <v>0</v>
      </c>
      <c r="D199" s="14">
        <f>D90+D111+D134+D155+D176</f>
        <v>0</v>
      </c>
      <c r="E199" s="14">
        <f>E90+E111+E134+E155+E176</f>
        <v>0</v>
      </c>
    </row>
    <row r="200" spans="1:5" ht="15.75" thickBot="1" x14ac:dyDescent="0.3">
      <c r="A200" s="28" t="s">
        <v>93</v>
      </c>
      <c r="B200" s="15"/>
      <c r="C200" s="29" t="e">
        <f>C199/B199-1</f>
        <v>#DIV/0!</v>
      </c>
      <c r="D200" s="29" t="e">
        <f>D199/C199-1</f>
        <v>#DIV/0!</v>
      </c>
      <c r="E200" s="29" t="e">
        <f>E199/D199-1</f>
        <v>#DIV/0!</v>
      </c>
    </row>
    <row r="201" spans="1:5" ht="15.75" thickBot="1" x14ac:dyDescent="0.3">
      <c r="A201" s="13" t="s">
        <v>94</v>
      </c>
      <c r="B201" s="14">
        <f>B91+B112+B135+B156+B177</f>
        <v>77900</v>
      </c>
      <c r="C201" s="14">
        <f>C91+C112+C135+C156+C177</f>
        <v>80000</v>
      </c>
      <c r="D201" s="14">
        <f>D91+D112+D135+D156+D177</f>
        <v>80000</v>
      </c>
      <c r="E201" s="14">
        <f>E91+E112+E135+E156+E177</f>
        <v>500</v>
      </c>
    </row>
    <row r="202" spans="1:5" ht="15.75" thickBot="1" x14ac:dyDescent="0.3">
      <c r="A202" s="28" t="s">
        <v>95</v>
      </c>
      <c r="B202" s="15"/>
      <c r="C202" s="29">
        <f>C201/B201-1</f>
        <v>2.695763799743256E-2</v>
      </c>
      <c r="D202" s="29">
        <f>D201/C201-1</f>
        <v>0</v>
      </c>
      <c r="E202" s="29">
        <f>E201/D201-1</f>
        <v>-0.99375000000000002</v>
      </c>
    </row>
    <row r="203" spans="1:5" x14ac:dyDescent="0.25">
      <c r="A203" s="1306" t="s">
        <v>871</v>
      </c>
      <c r="B203" s="1309"/>
      <c r="C203" s="1309"/>
      <c r="D203" s="1309"/>
      <c r="E203" s="1310"/>
    </row>
    <row r="204" spans="1:5" x14ac:dyDescent="0.25">
      <c r="A204" s="1307"/>
      <c r="B204" s="1311"/>
      <c r="C204" s="1311"/>
      <c r="D204" s="1311"/>
      <c r="E204" s="1312"/>
    </row>
    <row r="205" spans="1:5" ht="15.75" thickBot="1" x14ac:dyDescent="0.3">
      <c r="A205" s="1308"/>
      <c r="B205" s="1313"/>
      <c r="C205" s="1313"/>
      <c r="D205" s="1313"/>
      <c r="E205" s="1314"/>
    </row>
    <row r="206" spans="1:5" ht="15.75" thickBot="1" x14ac:dyDescent="0.3">
      <c r="A206" s="17" t="s">
        <v>41</v>
      </c>
      <c r="B206" s="18" t="str">
        <f>IF(B183-B181=0,0,"Error")</f>
        <v>Error</v>
      </c>
      <c r="C206" s="18" t="str">
        <f>IF(C183-C181=0,0,"Error")</f>
        <v>Error</v>
      </c>
      <c r="D206" s="18" t="str">
        <f>IF(D183-D181=0,0,"Error")</f>
        <v>Error</v>
      </c>
      <c r="E206" s="18" t="str">
        <f>IF(E183-E181=0,0,"Error")</f>
        <v>Error</v>
      </c>
    </row>
    <row r="207" spans="1:5" ht="15.75" thickBot="1" x14ac:dyDescent="0.3">
      <c r="A207" s="30" t="s">
        <v>96</v>
      </c>
      <c r="B207" s="14">
        <v>139</v>
      </c>
      <c r="C207" s="14">
        <v>139</v>
      </c>
      <c r="D207" s="14">
        <v>139</v>
      </c>
      <c r="E207" s="14">
        <v>139</v>
      </c>
    </row>
    <row r="208" spans="1:5" ht="24.75" thickBot="1" x14ac:dyDescent="0.3">
      <c r="A208" s="30" t="s">
        <v>97</v>
      </c>
      <c r="B208" s="14">
        <v>10</v>
      </c>
      <c r="C208" s="190">
        <v>15</v>
      </c>
      <c r="D208" s="14">
        <v>15</v>
      </c>
      <c r="E208" s="14">
        <v>15</v>
      </c>
    </row>
  </sheetData>
  <mergeCells count="77">
    <mergeCell ref="B161:E161"/>
    <mergeCell ref="B162:E162"/>
    <mergeCell ref="A179:A181"/>
    <mergeCell ref="B179:E181"/>
    <mergeCell ref="B163:E163"/>
    <mergeCell ref="B164:E164"/>
    <mergeCell ref="A165:A166"/>
    <mergeCell ref="A173:E173"/>
    <mergeCell ref="A174:A175"/>
    <mergeCell ref="B143:E143"/>
    <mergeCell ref="A144:A145"/>
    <mergeCell ref="A152:E152"/>
    <mergeCell ref="A153:A154"/>
    <mergeCell ref="A158:A160"/>
    <mergeCell ref="B158:E160"/>
    <mergeCell ref="B142:E142"/>
    <mergeCell ref="A123:A124"/>
    <mergeCell ref="A131:E131"/>
    <mergeCell ref="A114:A116"/>
    <mergeCell ref="B114:E116"/>
    <mergeCell ref="A117:E117"/>
    <mergeCell ref="A118:E118"/>
    <mergeCell ref="B119:E119"/>
    <mergeCell ref="B120:E120"/>
    <mergeCell ref="B121:E121"/>
    <mergeCell ref="B122:E122"/>
    <mergeCell ref="A132:A133"/>
    <mergeCell ref="A137:A139"/>
    <mergeCell ref="B137:E139"/>
    <mergeCell ref="B140:E140"/>
    <mergeCell ref="B141:E141"/>
    <mergeCell ref="B98:E98"/>
    <mergeCell ref="A93:A95"/>
    <mergeCell ref="B93:E95"/>
    <mergeCell ref="A74:E74"/>
    <mergeCell ref="B75:E75"/>
    <mergeCell ref="B76:E76"/>
    <mergeCell ref="A79:A80"/>
    <mergeCell ref="A87:E87"/>
    <mergeCell ref="A88:A89"/>
    <mergeCell ref="A203:A205"/>
    <mergeCell ref="B203:E205"/>
    <mergeCell ref="B99:E99"/>
    <mergeCell ref="B35:E35"/>
    <mergeCell ref="A32:E32"/>
    <mergeCell ref="A73:E73"/>
    <mergeCell ref="B77:E77"/>
    <mergeCell ref="A100:A101"/>
    <mergeCell ref="A108:E108"/>
    <mergeCell ref="A109:A110"/>
    <mergeCell ref="A45:A46"/>
    <mergeCell ref="B34:E34"/>
    <mergeCell ref="B33:E33"/>
    <mergeCell ref="B96:E96"/>
    <mergeCell ref="B97:E97"/>
    <mergeCell ref="B78:E78"/>
    <mergeCell ref="A12:E12"/>
    <mergeCell ref="A69:A71"/>
    <mergeCell ref="B69:E71"/>
    <mergeCell ref="B14:E14"/>
    <mergeCell ref="B15:E15"/>
    <mergeCell ref="B16:E16"/>
    <mergeCell ref="A17:E17"/>
    <mergeCell ref="A28:E28"/>
    <mergeCell ref="A31:E31"/>
    <mergeCell ref="A44:E44"/>
    <mergeCell ref="A36:A37"/>
    <mergeCell ref="A18:E20"/>
    <mergeCell ref="B21:E21"/>
    <mergeCell ref="A22:A23"/>
    <mergeCell ref="B27:E27"/>
    <mergeCell ref="A2:E2"/>
    <mergeCell ref="C9:E9"/>
    <mergeCell ref="B5:E5"/>
    <mergeCell ref="B6:E6"/>
    <mergeCell ref="B7:E7"/>
    <mergeCell ref="C8:E8"/>
  </mergeCells>
  <pageMargins left="0.7" right="0.7" top="0.75" bottom="0.75" header="0.3" footer="0.3"/>
  <pageSetup scale="11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516"/>
  <sheetViews>
    <sheetView view="pageBreakPreview" zoomScale="60" zoomScaleNormal="115" workbookViewId="0">
      <selection activeCell="W8" sqref="W8"/>
    </sheetView>
  </sheetViews>
  <sheetFormatPr defaultRowHeight="15" x14ac:dyDescent="0.25"/>
  <cols>
    <col min="1" max="1" width="30" customWidth="1"/>
    <col min="2" max="2" width="21.140625" customWidth="1"/>
    <col min="3" max="3" width="18.140625" customWidth="1"/>
    <col min="4" max="4" width="13.28515625" customWidth="1"/>
    <col min="5" max="5" width="14.5703125" customWidth="1"/>
    <col min="6" max="6" width="11" customWidth="1"/>
    <col min="7" max="7" width="11" bestFit="1" customWidth="1"/>
  </cols>
  <sheetData>
    <row r="1" spans="1:5" x14ac:dyDescent="0.25">
      <c r="A1" s="189" t="s">
        <v>898</v>
      </c>
      <c r="B1" s="188"/>
      <c r="C1" s="188"/>
      <c r="D1" s="188"/>
    </row>
    <row r="2" spans="1:5" x14ac:dyDescent="0.25">
      <c r="B2" s="170"/>
      <c r="C2" s="170"/>
      <c r="D2" s="170"/>
      <c r="E2" s="169"/>
    </row>
    <row r="3" spans="1:5" ht="15.75" thickBot="1" x14ac:dyDescent="0.3">
      <c r="B3" s="170"/>
      <c r="C3" s="170"/>
      <c r="D3" s="170"/>
      <c r="E3" s="169"/>
    </row>
    <row r="4" spans="1:5" ht="32.25" thickBot="1" x14ac:dyDescent="0.3">
      <c r="A4" s="168" t="s">
        <v>897</v>
      </c>
      <c r="B4" s="1084" t="s">
        <v>961</v>
      </c>
      <c r="C4" s="1085"/>
      <c r="D4" s="1085"/>
      <c r="E4" s="1233"/>
    </row>
    <row r="5" spans="1:5" ht="32.25" thickBot="1" x14ac:dyDescent="0.3">
      <c r="A5" s="36" t="s">
        <v>895</v>
      </c>
      <c r="B5" s="1087" t="s">
        <v>960</v>
      </c>
      <c r="C5" s="1088"/>
      <c r="D5" s="1088"/>
      <c r="E5" s="1235"/>
    </row>
    <row r="6" spans="1:5" ht="131.25" customHeight="1" thickBot="1" x14ac:dyDescent="0.3">
      <c r="A6" s="36" t="s">
        <v>914</v>
      </c>
      <c r="B6" s="1090" t="s">
        <v>959</v>
      </c>
      <c r="C6" s="1091"/>
      <c r="D6" s="1091"/>
      <c r="E6" s="1237"/>
    </row>
    <row r="7" spans="1:5" ht="16.5" thickBot="1" x14ac:dyDescent="0.3">
      <c r="A7" s="36" t="s">
        <v>891</v>
      </c>
      <c r="B7" s="167" t="s">
        <v>912</v>
      </c>
      <c r="C7" s="1093" t="s">
        <v>7</v>
      </c>
      <c r="D7" s="1093"/>
      <c r="E7" s="1238"/>
    </row>
    <row r="8" spans="1:5" ht="324.75" customHeight="1" thickBot="1" x14ac:dyDescent="0.3">
      <c r="A8" s="36" t="s">
        <v>638</v>
      </c>
      <c r="B8" s="219" t="s">
        <v>477</v>
      </c>
      <c r="C8" s="1091" t="s">
        <v>538</v>
      </c>
      <c r="D8" s="1091"/>
      <c r="E8" s="1237"/>
    </row>
    <row r="10" spans="1:5" ht="47.25" customHeight="1" x14ac:dyDescent="0.25">
      <c r="A10" s="1329" t="s">
        <v>926</v>
      </c>
      <c r="B10" s="1329"/>
      <c r="C10" s="1329"/>
      <c r="D10" s="1329"/>
      <c r="E10" s="1329"/>
    </row>
    <row r="11" spans="1:5" ht="15.75" thickBot="1" x14ac:dyDescent="0.3"/>
    <row r="12" spans="1:5" ht="23.25" customHeight="1" thickBot="1" x14ac:dyDescent="0.3">
      <c r="A12" s="2" t="s">
        <v>2</v>
      </c>
      <c r="B12" s="1348" t="e">
        <f>'[1]Formati 1 Misioni'!D5:I5</f>
        <v>#VALUE!</v>
      </c>
      <c r="C12" s="1349"/>
      <c r="D12" s="1349"/>
      <c r="E12" s="1350"/>
    </row>
    <row r="13" spans="1:5" ht="23.25" customHeight="1" thickBot="1" x14ac:dyDescent="0.3">
      <c r="A13" s="2" t="s">
        <v>3</v>
      </c>
      <c r="B13" s="1087" t="s">
        <v>477</v>
      </c>
      <c r="C13" s="1088"/>
      <c r="D13" s="1088"/>
      <c r="E13" s="1089"/>
    </row>
    <row r="14" spans="1:5" ht="29.25" customHeight="1" thickBot="1" x14ac:dyDescent="0.3">
      <c r="A14" s="2" t="s">
        <v>5</v>
      </c>
      <c r="B14" s="1265" t="s">
        <v>6</v>
      </c>
      <c r="C14" s="1095"/>
      <c r="D14" s="1095"/>
      <c r="E14" s="1096"/>
    </row>
    <row r="15" spans="1:5" ht="15.75" thickBot="1" x14ac:dyDescent="0.3">
      <c r="A15" s="1266" t="s">
        <v>7</v>
      </c>
      <c r="B15" s="1267"/>
      <c r="C15" s="1267"/>
      <c r="D15" s="1267"/>
      <c r="E15" s="1297"/>
    </row>
    <row r="16" spans="1:5" ht="54.75" customHeight="1" x14ac:dyDescent="0.25">
      <c r="A16" s="1336" t="s">
        <v>538</v>
      </c>
      <c r="B16" s="1337"/>
      <c r="C16" s="1337"/>
      <c r="D16" s="1337"/>
      <c r="E16" s="1338"/>
    </row>
    <row r="17" spans="1:8" ht="52.5" customHeight="1" x14ac:dyDescent="0.25">
      <c r="A17" s="1339"/>
      <c r="B17" s="1340"/>
      <c r="C17" s="1340"/>
      <c r="D17" s="1340"/>
      <c r="E17" s="1341"/>
    </row>
    <row r="18" spans="1:8" ht="55.5" customHeight="1" thickBot="1" x14ac:dyDescent="0.3">
      <c r="A18" s="1342"/>
      <c r="B18" s="1343"/>
      <c r="C18" s="1343"/>
      <c r="D18" s="1343"/>
      <c r="E18" s="1344"/>
    </row>
    <row r="19" spans="1:8" ht="120" customHeight="1" thickBot="1" x14ac:dyDescent="0.3">
      <c r="A19" s="3" t="s">
        <v>8</v>
      </c>
      <c r="B19" s="1345" t="s">
        <v>958</v>
      </c>
      <c r="C19" s="1346"/>
      <c r="D19" s="1346"/>
      <c r="E19" s="1347"/>
    </row>
    <row r="20" spans="1:8" ht="23.25" customHeight="1" x14ac:dyDescent="0.25">
      <c r="A20" s="1250" t="s">
        <v>102</v>
      </c>
      <c r="B20" s="66">
        <v>2018</v>
      </c>
      <c r="C20" s="66">
        <v>2019</v>
      </c>
      <c r="D20" s="66">
        <v>2020</v>
      </c>
      <c r="E20" s="66">
        <v>2021</v>
      </c>
    </row>
    <row r="21" spans="1:8" ht="15.75" thickBot="1" x14ac:dyDescent="0.3">
      <c r="A21" s="1251"/>
      <c r="B21" s="67" t="s">
        <v>10</v>
      </c>
      <c r="C21" s="67" t="s">
        <v>11</v>
      </c>
      <c r="D21" s="67" t="s">
        <v>11</v>
      </c>
      <c r="E21" s="67" t="s">
        <v>11</v>
      </c>
    </row>
    <row r="22" spans="1:8" ht="15.75" thickBot="1" x14ac:dyDescent="0.3">
      <c r="A22" s="150" t="s">
        <v>164</v>
      </c>
      <c r="B22" s="4"/>
      <c r="C22" s="4"/>
      <c r="D22" s="4"/>
      <c r="E22" s="4"/>
    </row>
    <row r="23" spans="1:8" ht="15.75" thickBot="1" x14ac:dyDescent="0.3">
      <c r="A23" s="5" t="s">
        <v>165</v>
      </c>
      <c r="B23" s="4"/>
      <c r="C23" s="4"/>
      <c r="D23" s="4"/>
      <c r="E23" s="4"/>
    </row>
    <row r="24" spans="1:8" ht="23.25" thickBot="1" x14ac:dyDescent="0.3">
      <c r="A24" s="5" t="s">
        <v>111</v>
      </c>
      <c r="B24" s="4"/>
      <c r="C24" s="4"/>
      <c r="D24" s="4"/>
      <c r="E24" s="4"/>
    </row>
    <row r="25" spans="1:8" ht="43.5" customHeight="1" thickBot="1" x14ac:dyDescent="0.3">
      <c r="A25" s="6" t="s">
        <v>12</v>
      </c>
      <c r="B25" s="1272" t="s">
        <v>639</v>
      </c>
      <c r="C25" s="1270"/>
      <c r="D25" s="1270"/>
      <c r="E25" s="1305"/>
    </row>
    <row r="26" spans="1:8" ht="23.25" customHeight="1" thickBot="1" x14ac:dyDescent="0.3">
      <c r="A26" s="1245" t="s">
        <v>103</v>
      </c>
      <c r="B26" s="1246"/>
      <c r="C26" s="1246"/>
      <c r="D26" s="1246"/>
      <c r="E26" s="1298"/>
      <c r="F26" s="35"/>
      <c r="H26" s="35"/>
    </row>
    <row r="27" spans="1:8" ht="45.75" thickBot="1" x14ac:dyDescent="0.3">
      <c r="A27" s="150" t="s">
        <v>957</v>
      </c>
      <c r="B27" s="4"/>
      <c r="C27" s="4"/>
      <c r="D27" s="4"/>
      <c r="E27" s="4"/>
    </row>
    <row r="28" spans="1:8" ht="45.75" thickBot="1" x14ac:dyDescent="0.3">
      <c r="A28" s="5" t="s">
        <v>483</v>
      </c>
      <c r="B28" s="4"/>
      <c r="C28" s="4"/>
      <c r="D28" s="4"/>
      <c r="E28" s="4"/>
    </row>
    <row r="29" spans="1:8" ht="45.75" thickBot="1" x14ac:dyDescent="0.3">
      <c r="A29" s="5" t="s">
        <v>956</v>
      </c>
      <c r="B29" s="4"/>
      <c r="C29" s="4"/>
      <c r="D29" s="4"/>
      <c r="E29" s="4"/>
    </row>
    <row r="30" spans="1:8" ht="15.75" thickBot="1" x14ac:dyDescent="0.3">
      <c r="A30" s="1273" t="s">
        <v>14</v>
      </c>
      <c r="B30" s="1274"/>
      <c r="C30" s="1274"/>
      <c r="D30" s="1274"/>
      <c r="E30" s="1299"/>
    </row>
    <row r="31" spans="1:8" ht="15.75" thickBot="1" x14ac:dyDescent="0.3">
      <c r="A31" s="1275" t="s">
        <v>104</v>
      </c>
      <c r="B31" s="1276"/>
      <c r="C31" s="1276"/>
      <c r="D31" s="1276"/>
      <c r="E31" s="1317"/>
    </row>
    <row r="32" spans="1:8" ht="15.75" thickBot="1" x14ac:dyDescent="0.3">
      <c r="A32" s="7" t="s">
        <v>105</v>
      </c>
      <c r="B32" s="1243" t="s">
        <v>478</v>
      </c>
      <c r="C32" s="1244"/>
      <c r="D32" s="1244"/>
      <c r="E32" s="1315"/>
    </row>
    <row r="33" spans="1:9" ht="76.5" customHeight="1" thickBot="1" x14ac:dyDescent="0.3">
      <c r="A33" s="5" t="s">
        <v>17</v>
      </c>
      <c r="B33" s="1333" t="s">
        <v>479</v>
      </c>
      <c r="C33" s="1334"/>
      <c r="D33" s="1334"/>
      <c r="E33" s="1335"/>
    </row>
    <row r="34" spans="1:9" ht="15.75" thickBot="1" x14ac:dyDescent="0.3">
      <c r="A34" s="5" t="s">
        <v>18</v>
      </c>
      <c r="B34" s="1248" t="s">
        <v>480</v>
      </c>
      <c r="C34" s="1249"/>
      <c r="D34" s="1249"/>
      <c r="E34" s="1316"/>
    </row>
    <row r="35" spans="1:9" ht="12.75" customHeight="1" x14ac:dyDescent="0.25">
      <c r="A35" s="1250"/>
      <c r="B35" s="8">
        <v>2018</v>
      </c>
      <c r="C35" s="8">
        <v>2019</v>
      </c>
      <c r="D35" s="8">
        <v>2020</v>
      </c>
      <c r="E35" s="8">
        <v>2021</v>
      </c>
    </row>
    <row r="36" spans="1:9" ht="9" customHeight="1" thickBot="1" x14ac:dyDescent="0.3">
      <c r="A36" s="1251"/>
      <c r="B36" s="9" t="s">
        <v>10</v>
      </c>
      <c r="C36" s="9" t="s">
        <v>11</v>
      </c>
      <c r="D36" s="9" t="s">
        <v>11</v>
      </c>
      <c r="E36" s="9" t="s">
        <v>11</v>
      </c>
    </row>
    <row r="37" spans="1:9" ht="15.75" thickBot="1" x14ac:dyDescent="0.3">
      <c r="A37" s="5" t="s">
        <v>19</v>
      </c>
      <c r="B37" s="10">
        <v>20</v>
      </c>
      <c r="C37" s="10">
        <v>25</v>
      </c>
      <c r="D37" s="10">
        <v>25</v>
      </c>
      <c r="E37" s="10">
        <v>25</v>
      </c>
    </row>
    <row r="38" spans="1:9" ht="15.75" thickBot="1" x14ac:dyDescent="0.3">
      <c r="A38" s="5" t="s">
        <v>20</v>
      </c>
      <c r="B38" s="10">
        <v>11800</v>
      </c>
      <c r="C38" s="10">
        <v>12000</v>
      </c>
      <c r="D38" s="10">
        <v>12000</v>
      </c>
      <c r="E38" s="10">
        <v>12000</v>
      </c>
    </row>
    <row r="39" spans="1:9" ht="15.75" thickBot="1" x14ac:dyDescent="0.3">
      <c r="A39" s="5" t="s">
        <v>21</v>
      </c>
      <c r="B39" s="10">
        <f>B38/B37</f>
        <v>590</v>
      </c>
      <c r="C39" s="10">
        <f>C38/C37</f>
        <v>480</v>
      </c>
      <c r="D39" s="10">
        <f>D38/D37</f>
        <v>480</v>
      </c>
      <c r="E39" s="10">
        <f>E38/E37</f>
        <v>480</v>
      </c>
    </row>
    <row r="40" spans="1:9" ht="15.75" thickBot="1" x14ac:dyDescent="0.3">
      <c r="A40" s="5" t="s">
        <v>22</v>
      </c>
      <c r="B40" s="151" t="s">
        <v>23</v>
      </c>
      <c r="C40" s="11">
        <f t="shared" ref="C40:E42" si="0">C37/B37-1</f>
        <v>0.25</v>
      </c>
      <c r="D40" s="11">
        <f t="shared" si="0"/>
        <v>0</v>
      </c>
      <c r="E40" s="11">
        <f t="shared" si="0"/>
        <v>0</v>
      </c>
      <c r="F40" s="12"/>
      <c r="G40" s="12"/>
      <c r="H40" s="12"/>
      <c r="I40" s="12"/>
    </row>
    <row r="41" spans="1:9" ht="15.75" thickBot="1" x14ac:dyDescent="0.3">
      <c r="A41" s="5" t="s">
        <v>24</v>
      </c>
      <c r="B41" s="151" t="s">
        <v>23</v>
      </c>
      <c r="C41" s="11">
        <f t="shared" si="0"/>
        <v>1.6949152542372836E-2</v>
      </c>
      <c r="D41" s="11">
        <f t="shared" si="0"/>
        <v>0</v>
      </c>
      <c r="E41" s="11">
        <f t="shared" si="0"/>
        <v>0</v>
      </c>
    </row>
    <row r="42" spans="1:9" ht="15.75" thickBot="1" x14ac:dyDescent="0.3">
      <c r="A42" s="5" t="s">
        <v>25</v>
      </c>
      <c r="B42" s="151" t="s">
        <v>23</v>
      </c>
      <c r="C42" s="11">
        <f t="shared" si="0"/>
        <v>-0.18644067796610164</v>
      </c>
      <c r="D42" s="11">
        <f t="shared" si="0"/>
        <v>0</v>
      </c>
      <c r="E42" s="11">
        <f t="shared" si="0"/>
        <v>0</v>
      </c>
    </row>
    <row r="43" spans="1:9" ht="15.75" thickBot="1" x14ac:dyDescent="0.3">
      <c r="A43" s="1252" t="s">
        <v>633</v>
      </c>
      <c r="B43" s="1253"/>
      <c r="C43" s="1253"/>
      <c r="D43" s="1253"/>
      <c r="E43" s="1300"/>
    </row>
    <row r="44" spans="1:9" ht="12.75" customHeight="1" x14ac:dyDescent="0.25">
      <c r="A44" s="1250"/>
      <c r="B44" s="8">
        <v>2018</v>
      </c>
      <c r="C44" s="8">
        <v>2019</v>
      </c>
      <c r="D44" s="8">
        <v>2020</v>
      </c>
      <c r="E44" s="8">
        <v>2021</v>
      </c>
    </row>
    <row r="45" spans="1:9" ht="9" customHeight="1" thickBot="1" x14ac:dyDescent="0.3">
      <c r="A45" s="1251"/>
      <c r="B45" s="9" t="s">
        <v>10</v>
      </c>
      <c r="C45" s="9" t="s">
        <v>11</v>
      </c>
      <c r="D45" s="9" t="s">
        <v>11</v>
      </c>
      <c r="E45" s="9" t="s">
        <v>11</v>
      </c>
    </row>
    <row r="46" spans="1:9" ht="15.75" thickBot="1" x14ac:dyDescent="0.3">
      <c r="A46" s="13" t="s">
        <v>26</v>
      </c>
      <c r="B46" s="14">
        <v>3000</v>
      </c>
      <c r="C46" s="14">
        <v>3500</v>
      </c>
      <c r="D46" s="14">
        <v>3500</v>
      </c>
      <c r="E46" s="14">
        <v>3500</v>
      </c>
    </row>
    <row r="47" spans="1:9" ht="24.75" thickBot="1" x14ac:dyDescent="0.3">
      <c r="A47" s="13" t="s">
        <v>28</v>
      </c>
      <c r="B47" s="14">
        <v>500</v>
      </c>
      <c r="C47" s="14">
        <v>650</v>
      </c>
      <c r="D47" s="14">
        <v>650</v>
      </c>
      <c r="E47" s="14">
        <v>650</v>
      </c>
    </row>
    <row r="48" spans="1:9" ht="15.75" thickBot="1" x14ac:dyDescent="0.3">
      <c r="A48" s="13" t="s">
        <v>30</v>
      </c>
      <c r="B48" s="15">
        <v>5300</v>
      </c>
      <c r="C48" s="15">
        <v>4350</v>
      </c>
      <c r="D48" s="15">
        <v>4350</v>
      </c>
      <c r="E48" s="15">
        <v>4350</v>
      </c>
    </row>
    <row r="49" spans="1:5" ht="15.75" thickBot="1" x14ac:dyDescent="0.3">
      <c r="A49" s="13" t="s">
        <v>32</v>
      </c>
      <c r="B49" s="15">
        <v>0</v>
      </c>
      <c r="C49" s="15">
        <v>0</v>
      </c>
      <c r="D49" s="15">
        <v>0</v>
      </c>
      <c r="E49" s="15">
        <v>0</v>
      </c>
    </row>
    <row r="50" spans="1:5" ht="15.75" thickBot="1" x14ac:dyDescent="0.3">
      <c r="A50" s="13" t="s">
        <v>34</v>
      </c>
      <c r="B50" s="15">
        <v>400</v>
      </c>
      <c r="C50" s="15">
        <v>400</v>
      </c>
      <c r="D50" s="15">
        <v>400</v>
      </c>
      <c r="E50" s="15">
        <v>400</v>
      </c>
    </row>
    <row r="51" spans="1:5" ht="15.75" thickBot="1" x14ac:dyDescent="0.3">
      <c r="A51" s="13" t="s">
        <v>36</v>
      </c>
      <c r="B51" s="15">
        <v>0</v>
      </c>
      <c r="C51" s="15">
        <v>0</v>
      </c>
      <c r="D51" s="15">
        <v>0</v>
      </c>
      <c r="E51" s="15">
        <v>0</v>
      </c>
    </row>
    <row r="52" spans="1:5" ht="24.75" thickBot="1" x14ac:dyDescent="0.3">
      <c r="A52" s="13" t="s">
        <v>38</v>
      </c>
      <c r="B52" s="15">
        <v>2600</v>
      </c>
      <c r="C52" s="15">
        <v>3100</v>
      </c>
      <c r="D52" s="15">
        <v>3100</v>
      </c>
      <c r="E52" s="15">
        <v>3100</v>
      </c>
    </row>
    <row r="53" spans="1:5" ht="15.75" thickBot="1" x14ac:dyDescent="0.3">
      <c r="A53" s="16" t="s">
        <v>40</v>
      </c>
      <c r="B53" s="15">
        <f>B52+B51+B50+B49+B48+B47+B46</f>
        <v>11800</v>
      </c>
      <c r="C53" s="15">
        <f>C52+C51+C50+C49+C48+C47+C46</f>
        <v>12000</v>
      </c>
      <c r="D53" s="15">
        <f>D52+D51+D50+D49+D48+D47+D46</f>
        <v>12000</v>
      </c>
      <c r="E53" s="15">
        <f>E52+E51+E50+E49+E48+E47+E46</f>
        <v>12000</v>
      </c>
    </row>
    <row r="54" spans="1:5" ht="15.75" thickBot="1" x14ac:dyDescent="0.3">
      <c r="A54" s="17" t="s">
        <v>41</v>
      </c>
      <c r="B54" s="18">
        <f>IF(B53-B38=0,0,"Error")</f>
        <v>0</v>
      </c>
      <c r="C54" s="18">
        <f>IF(C53-C38=0,0,"Error")</f>
        <v>0</v>
      </c>
      <c r="D54" s="18">
        <f>IF(D53-D38=0,0,"Error")</f>
        <v>0</v>
      </c>
      <c r="E54" s="18">
        <f>IF(E53-E38=0,0,"Error")</f>
        <v>0</v>
      </c>
    </row>
    <row r="55" spans="1:5" ht="15.75" thickBot="1" x14ac:dyDescent="0.3">
      <c r="A55" s="216"/>
      <c r="B55" s="215"/>
      <c r="C55" s="215"/>
      <c r="D55" s="215"/>
      <c r="E55" s="214"/>
    </row>
    <row r="56" spans="1:5" ht="23.25" customHeight="1" thickBot="1" x14ac:dyDescent="0.3">
      <c r="A56" s="213" t="s">
        <v>42</v>
      </c>
      <c r="B56" s="1330" t="s">
        <v>481</v>
      </c>
      <c r="C56" s="1331"/>
      <c r="D56" s="1331"/>
      <c r="E56" s="1332"/>
    </row>
    <row r="57" spans="1:5" ht="15.75" customHeight="1" thickBot="1" x14ac:dyDescent="0.3">
      <c r="A57" s="5" t="s">
        <v>17</v>
      </c>
      <c r="B57" s="1333" t="s">
        <v>482</v>
      </c>
      <c r="C57" s="1334"/>
      <c r="D57" s="1334"/>
      <c r="E57" s="1335"/>
    </row>
    <row r="58" spans="1:5" ht="15.75" customHeight="1" thickBot="1" x14ac:dyDescent="0.3">
      <c r="A58" s="5" t="s">
        <v>18</v>
      </c>
      <c r="B58" s="1333" t="s">
        <v>483</v>
      </c>
      <c r="C58" s="1334"/>
      <c r="D58" s="1334"/>
      <c r="E58" s="1335"/>
    </row>
    <row r="59" spans="1:5" x14ac:dyDescent="0.25">
      <c r="A59" s="1250"/>
      <c r="B59" s="8">
        <v>2018</v>
      </c>
      <c r="C59" s="8">
        <v>2019</v>
      </c>
      <c r="D59" s="8">
        <v>2020</v>
      </c>
      <c r="E59" s="8">
        <v>2021</v>
      </c>
    </row>
    <row r="60" spans="1:5" ht="12.75" customHeight="1" thickBot="1" x14ac:dyDescent="0.3">
      <c r="A60" s="1251"/>
      <c r="B60" s="9" t="s">
        <v>10</v>
      </c>
      <c r="C60" s="9" t="s">
        <v>11</v>
      </c>
      <c r="D60" s="9" t="s">
        <v>11</v>
      </c>
      <c r="E60" s="9" t="s">
        <v>11</v>
      </c>
    </row>
    <row r="61" spans="1:5" ht="9" customHeight="1" thickBot="1" x14ac:dyDescent="0.3">
      <c r="A61" s="5" t="s">
        <v>19</v>
      </c>
      <c r="B61" s="10">
        <v>15</v>
      </c>
      <c r="C61" s="10">
        <v>15</v>
      </c>
      <c r="D61" s="10">
        <v>15</v>
      </c>
      <c r="E61" s="10">
        <v>15</v>
      </c>
    </row>
    <row r="62" spans="1:5" ht="15.75" thickBot="1" x14ac:dyDescent="0.3">
      <c r="A62" s="5" t="s">
        <v>20</v>
      </c>
      <c r="B62" s="10">
        <v>12000</v>
      </c>
      <c r="C62" s="10">
        <v>11500</v>
      </c>
      <c r="D62" s="10">
        <v>11500</v>
      </c>
      <c r="E62" s="10">
        <v>11500</v>
      </c>
    </row>
    <row r="63" spans="1:5" ht="15.75" thickBot="1" x14ac:dyDescent="0.3">
      <c r="A63" s="5" t="s">
        <v>21</v>
      </c>
      <c r="B63" s="10">
        <f>B62/B59</f>
        <v>5.9464816650148666</v>
      </c>
      <c r="C63" s="10">
        <f>C62/C59</f>
        <v>5.6958890539871225</v>
      </c>
      <c r="D63" s="10">
        <f>D62/D59</f>
        <v>5.6930693069306928</v>
      </c>
      <c r="E63" s="10">
        <f>E62/E59</f>
        <v>5.6902523503216234</v>
      </c>
    </row>
    <row r="64" spans="1:5" ht="15.75" thickBot="1" x14ac:dyDescent="0.3">
      <c r="A64" s="5" t="s">
        <v>22</v>
      </c>
      <c r="B64" s="151"/>
      <c r="C64" s="11">
        <f>C59/B59-1</f>
        <v>4.9554013875119374E-4</v>
      </c>
      <c r="D64" s="11">
        <f>D59/C59-1</f>
        <v>4.9529470034670453E-4</v>
      </c>
      <c r="E64" s="11">
        <f>E59/D59-1</f>
        <v>4.9504950495049549E-4</v>
      </c>
    </row>
    <row r="65" spans="1:5" ht="15.75" thickBot="1" x14ac:dyDescent="0.3">
      <c r="A65" s="5" t="s">
        <v>24</v>
      </c>
      <c r="B65" s="151"/>
      <c r="C65" s="11">
        <f t="shared" ref="C65:E66" si="1">C62/B62-1</f>
        <v>-4.166666666666663E-2</v>
      </c>
      <c r="D65" s="11">
        <f t="shared" si="1"/>
        <v>0</v>
      </c>
      <c r="E65" s="11">
        <f t="shared" si="1"/>
        <v>0</v>
      </c>
    </row>
    <row r="66" spans="1:5" ht="15.75" thickBot="1" x14ac:dyDescent="0.3">
      <c r="A66" s="5" t="s">
        <v>25</v>
      </c>
      <c r="B66" s="151"/>
      <c r="C66" s="11">
        <f t="shared" si="1"/>
        <v>-4.2141324087832333E-2</v>
      </c>
      <c r="D66" s="11">
        <f t="shared" si="1"/>
        <v>-4.9504950495060651E-4</v>
      </c>
      <c r="E66" s="11">
        <f t="shared" si="1"/>
        <v>-4.9480455220174413E-4</v>
      </c>
    </row>
    <row r="67" spans="1:5" ht="24.75" customHeight="1" thickBot="1" x14ac:dyDescent="0.3">
      <c r="A67" s="1252" t="s">
        <v>634</v>
      </c>
      <c r="B67" s="1253"/>
      <c r="C67" s="1253"/>
      <c r="D67" s="1253"/>
      <c r="E67" s="1300"/>
    </row>
    <row r="68" spans="1:5" ht="12.75" customHeight="1" x14ac:dyDescent="0.25">
      <c r="A68" s="1250"/>
      <c r="B68" s="8">
        <v>2018</v>
      </c>
      <c r="C68" s="8">
        <v>2019</v>
      </c>
      <c r="D68" s="8">
        <v>2020</v>
      </c>
      <c r="E68" s="8">
        <v>2021</v>
      </c>
    </row>
    <row r="69" spans="1:5" ht="9" customHeight="1" thickBot="1" x14ac:dyDescent="0.3">
      <c r="A69" s="1251"/>
      <c r="B69" s="9" t="s">
        <v>10</v>
      </c>
      <c r="C69" s="9" t="s">
        <v>11</v>
      </c>
      <c r="D69" s="9" t="s">
        <v>11</v>
      </c>
      <c r="E69" s="9" t="s">
        <v>11</v>
      </c>
    </row>
    <row r="70" spans="1:5" ht="24.75" customHeight="1" thickBot="1" x14ac:dyDescent="0.3">
      <c r="A70" s="13" t="s">
        <v>26</v>
      </c>
      <c r="B70" s="14">
        <v>3000</v>
      </c>
      <c r="C70" s="14">
        <v>3400</v>
      </c>
      <c r="D70" s="14">
        <v>3400</v>
      </c>
      <c r="E70" s="14">
        <v>3400</v>
      </c>
    </row>
    <row r="71" spans="1:5" ht="24.75" customHeight="1" thickBot="1" x14ac:dyDescent="0.3">
      <c r="A71" s="13" t="s">
        <v>28</v>
      </c>
      <c r="B71" s="14">
        <v>500</v>
      </c>
      <c r="C71" s="14">
        <v>650</v>
      </c>
      <c r="D71" s="14">
        <v>650</v>
      </c>
      <c r="E71" s="14">
        <v>650</v>
      </c>
    </row>
    <row r="72" spans="1:5" ht="24.75" customHeight="1" thickBot="1" x14ac:dyDescent="0.3">
      <c r="A72" s="13" t="s">
        <v>30</v>
      </c>
      <c r="B72" s="15">
        <v>5900</v>
      </c>
      <c r="C72" s="15">
        <v>4350</v>
      </c>
      <c r="D72" s="15">
        <v>4350</v>
      </c>
      <c r="E72" s="15">
        <v>4350</v>
      </c>
    </row>
    <row r="73" spans="1:5" ht="15.75" thickBot="1" x14ac:dyDescent="0.3">
      <c r="A73" s="13" t="s">
        <v>32</v>
      </c>
      <c r="B73" s="15">
        <v>0</v>
      </c>
      <c r="C73" s="15">
        <v>0</v>
      </c>
      <c r="D73" s="15">
        <v>0</v>
      </c>
      <c r="E73" s="15">
        <v>0</v>
      </c>
    </row>
    <row r="74" spans="1:5" ht="15.75" thickBot="1" x14ac:dyDescent="0.3">
      <c r="A74" s="13" t="s">
        <v>34</v>
      </c>
      <c r="B74" s="15">
        <v>0</v>
      </c>
      <c r="C74" s="15">
        <v>0</v>
      </c>
      <c r="D74" s="15">
        <v>0</v>
      </c>
      <c r="E74" s="15">
        <v>0</v>
      </c>
    </row>
    <row r="75" spans="1:5" ht="15.75" thickBot="1" x14ac:dyDescent="0.3">
      <c r="A75" s="13" t="s">
        <v>36</v>
      </c>
      <c r="B75" s="15">
        <v>0</v>
      </c>
      <c r="C75" s="15">
        <v>0</v>
      </c>
      <c r="D75" s="15">
        <v>0</v>
      </c>
      <c r="E75" s="15">
        <v>0</v>
      </c>
    </row>
    <row r="76" spans="1:5" ht="24.75" thickBot="1" x14ac:dyDescent="0.3">
      <c r="A76" s="13" t="s">
        <v>38</v>
      </c>
      <c r="B76" s="15">
        <v>2600</v>
      </c>
      <c r="C76" s="15">
        <v>3100</v>
      </c>
      <c r="D76" s="15">
        <v>3100</v>
      </c>
      <c r="E76" s="15">
        <v>3100</v>
      </c>
    </row>
    <row r="77" spans="1:5" ht="15.75" thickBot="1" x14ac:dyDescent="0.3">
      <c r="A77" s="135" t="s">
        <v>74</v>
      </c>
      <c r="B77" s="15">
        <f>B76+B75+B74+B73+B72+B71+B70</f>
        <v>12000</v>
      </c>
      <c r="C77" s="15">
        <f>C76+C75+C74+C73+C72+C71+C70</f>
        <v>11500</v>
      </c>
      <c r="D77" s="15">
        <f>D76+D75+D74+D73+D72+D71+D70</f>
        <v>11500</v>
      </c>
      <c r="E77" s="15">
        <f>E76+E75+E74+E73+E72+E71+E70</f>
        <v>11500</v>
      </c>
    </row>
    <row r="78" spans="1:5" ht="17.25" customHeight="1" thickBot="1" x14ac:dyDescent="0.3">
      <c r="A78" s="17" t="s">
        <v>41</v>
      </c>
      <c r="B78" s="18">
        <f>IF(B77-B62=0,0,"Error")</f>
        <v>0</v>
      </c>
      <c r="C78" s="18">
        <f>IF(C77-C62=0,0,"Error")</f>
        <v>0</v>
      </c>
      <c r="D78" s="18">
        <f>IF(D77-D62=0,0,"Error")</f>
        <v>0</v>
      </c>
      <c r="E78" s="18">
        <f>IF(E77-E62=0,0,"Error")</f>
        <v>0</v>
      </c>
    </row>
    <row r="79" spans="1:5" ht="17.25" customHeight="1" thickBot="1" x14ac:dyDescent="0.3">
      <c r="A79" s="212"/>
      <c r="B79" s="211"/>
      <c r="C79" s="211"/>
      <c r="D79" s="211"/>
      <c r="E79" s="209"/>
    </row>
    <row r="80" spans="1:5" ht="15.75" thickBot="1" x14ac:dyDescent="0.3">
      <c r="A80" s="1275" t="s">
        <v>63</v>
      </c>
      <c r="B80" s="1276"/>
      <c r="C80" s="1276"/>
      <c r="D80" s="1276"/>
      <c r="E80" s="1317"/>
    </row>
    <row r="81" spans="1:9" ht="15.75" thickBot="1" x14ac:dyDescent="0.3">
      <c r="A81" s="1275" t="s">
        <v>56</v>
      </c>
      <c r="B81" s="1276"/>
      <c r="C81" s="1276"/>
      <c r="D81" s="1276"/>
      <c r="E81" s="1317"/>
    </row>
    <row r="82" spans="1:9" ht="15.75" thickBot="1" x14ac:dyDescent="0.3">
      <c r="A82" s="20" t="s">
        <v>484</v>
      </c>
      <c r="B82" s="1241" t="s">
        <v>485</v>
      </c>
      <c r="C82" s="1242"/>
      <c r="D82" s="1242"/>
      <c r="E82" s="1318"/>
    </row>
    <row r="83" spans="1:9" ht="15.75" thickBot="1" x14ac:dyDescent="0.3">
      <c r="A83" s="7" t="s">
        <v>16</v>
      </c>
      <c r="B83" s="1243" t="s">
        <v>478</v>
      </c>
      <c r="C83" s="1244"/>
      <c r="D83" s="1244"/>
      <c r="E83" s="1315"/>
    </row>
    <row r="84" spans="1:9" ht="67.5" customHeight="1" thickBot="1" x14ac:dyDescent="0.3">
      <c r="A84" s="5" t="s">
        <v>17</v>
      </c>
      <c r="B84" s="1333" t="s">
        <v>479</v>
      </c>
      <c r="C84" s="1334"/>
      <c r="D84" s="1334"/>
      <c r="E84" s="1335"/>
    </row>
    <row r="85" spans="1:9" ht="15.75" customHeight="1" thickBot="1" x14ac:dyDescent="0.3">
      <c r="A85" s="5" t="s">
        <v>18</v>
      </c>
      <c r="B85" s="1248" t="s">
        <v>480</v>
      </c>
      <c r="C85" s="1249"/>
      <c r="D85" s="1249"/>
      <c r="E85" s="1316"/>
    </row>
    <row r="86" spans="1:9" ht="12.75" customHeight="1" x14ac:dyDescent="0.25">
      <c r="A86" s="1250"/>
      <c r="B86" s="8">
        <v>2018</v>
      </c>
      <c r="C86" s="8">
        <v>2019</v>
      </c>
      <c r="D86" s="8">
        <v>2020</v>
      </c>
      <c r="E86" s="8">
        <v>2021</v>
      </c>
    </row>
    <row r="87" spans="1:9" ht="9" customHeight="1" thickBot="1" x14ac:dyDescent="0.3">
      <c r="A87" s="1251"/>
      <c r="B87" s="9" t="s">
        <v>10</v>
      </c>
      <c r="C87" s="9" t="s">
        <v>11</v>
      </c>
      <c r="D87" s="9" t="s">
        <v>11</v>
      </c>
      <c r="E87" s="9" t="s">
        <v>11</v>
      </c>
    </row>
    <row r="88" spans="1:9" ht="15.75" thickBot="1" x14ac:dyDescent="0.3">
      <c r="A88" s="5" t="s">
        <v>19</v>
      </c>
      <c r="B88" s="10">
        <v>0</v>
      </c>
      <c r="C88" s="10">
        <v>15</v>
      </c>
      <c r="D88" s="10">
        <v>25</v>
      </c>
      <c r="E88" s="10">
        <v>25</v>
      </c>
    </row>
    <row r="89" spans="1:9" ht="15.75" thickBot="1" x14ac:dyDescent="0.3">
      <c r="A89" s="5" t="s">
        <v>20</v>
      </c>
      <c r="B89" s="10">
        <v>0</v>
      </c>
      <c r="C89" s="10">
        <v>100</v>
      </c>
      <c r="D89" s="10">
        <v>100</v>
      </c>
      <c r="E89" s="10">
        <v>100</v>
      </c>
    </row>
    <row r="90" spans="1:9" ht="15.75" thickBot="1" x14ac:dyDescent="0.3">
      <c r="A90" s="5" t="s">
        <v>21</v>
      </c>
      <c r="B90" s="10" t="e">
        <f>B89/B88</f>
        <v>#DIV/0!</v>
      </c>
      <c r="C90" s="10">
        <f>C89/C88</f>
        <v>6.666666666666667</v>
      </c>
      <c r="D90" s="10">
        <f>D89/D88</f>
        <v>4</v>
      </c>
      <c r="E90" s="10">
        <f>E89/E88</f>
        <v>4</v>
      </c>
    </row>
    <row r="91" spans="1:9" ht="15.75" thickBot="1" x14ac:dyDescent="0.3">
      <c r="A91" s="5" t="s">
        <v>22</v>
      </c>
      <c r="B91" s="151" t="s">
        <v>23</v>
      </c>
      <c r="C91" s="11" t="e">
        <f t="shared" ref="C91:E93" si="2">C88/B88-1</f>
        <v>#DIV/0!</v>
      </c>
      <c r="D91" s="11">
        <f t="shared" si="2"/>
        <v>0.66666666666666674</v>
      </c>
      <c r="E91" s="11">
        <f t="shared" si="2"/>
        <v>0</v>
      </c>
      <c r="F91" s="12"/>
      <c r="G91" s="12"/>
      <c r="H91" s="12"/>
      <c r="I91" s="12"/>
    </row>
    <row r="92" spans="1:9" ht="15.75" thickBot="1" x14ac:dyDescent="0.3">
      <c r="A92" s="5" t="s">
        <v>24</v>
      </c>
      <c r="B92" s="151" t="s">
        <v>23</v>
      </c>
      <c r="C92" s="11" t="e">
        <f t="shared" si="2"/>
        <v>#DIV/0!</v>
      </c>
      <c r="D92" s="11">
        <f t="shared" si="2"/>
        <v>0</v>
      </c>
      <c r="E92" s="11">
        <f t="shared" si="2"/>
        <v>0</v>
      </c>
    </row>
    <row r="93" spans="1:9" ht="15.75" thickBot="1" x14ac:dyDescent="0.3">
      <c r="A93" s="5" t="s">
        <v>25</v>
      </c>
      <c r="B93" s="151" t="s">
        <v>23</v>
      </c>
      <c r="C93" s="11" t="e">
        <f t="shared" si="2"/>
        <v>#DIV/0!</v>
      </c>
      <c r="D93" s="11">
        <f t="shared" si="2"/>
        <v>-0.4</v>
      </c>
      <c r="E93" s="11">
        <f t="shared" si="2"/>
        <v>0</v>
      </c>
    </row>
    <row r="94" spans="1:9" ht="15.75" thickBot="1" x14ac:dyDescent="0.3">
      <c r="A94" s="1252" t="s">
        <v>633</v>
      </c>
      <c r="B94" s="1253"/>
      <c r="C94" s="1253"/>
      <c r="D94" s="1253"/>
      <c r="E94" s="1300"/>
    </row>
    <row r="95" spans="1:9" ht="12.75" customHeight="1" x14ac:dyDescent="0.25">
      <c r="A95" s="1250"/>
      <c r="B95" s="8">
        <v>2018</v>
      </c>
      <c r="C95" s="8">
        <v>2019</v>
      </c>
      <c r="D95" s="8">
        <v>2020</v>
      </c>
      <c r="E95" s="8">
        <v>2021</v>
      </c>
    </row>
    <row r="96" spans="1:9" ht="9" customHeight="1" thickBot="1" x14ac:dyDescent="0.3">
      <c r="A96" s="1251"/>
      <c r="B96" s="9" t="s">
        <v>10</v>
      </c>
      <c r="C96" s="9" t="s">
        <v>11</v>
      </c>
      <c r="D96" s="9" t="s">
        <v>11</v>
      </c>
      <c r="E96" s="9" t="s">
        <v>11</v>
      </c>
    </row>
    <row r="97" spans="1:5" ht="15.75" thickBot="1" x14ac:dyDescent="0.3">
      <c r="A97" s="13" t="s">
        <v>58</v>
      </c>
      <c r="B97" s="14">
        <v>0</v>
      </c>
      <c r="C97" s="14">
        <v>0</v>
      </c>
      <c r="D97" s="14">
        <v>0</v>
      </c>
      <c r="E97" s="14">
        <v>0</v>
      </c>
    </row>
    <row r="98" spans="1:5" ht="15.75" thickBot="1" x14ac:dyDescent="0.3">
      <c r="A98" s="13" t="s">
        <v>59</v>
      </c>
      <c r="B98" s="15">
        <v>0</v>
      </c>
      <c r="C98" s="10">
        <v>100</v>
      </c>
      <c r="D98" s="10">
        <v>100</v>
      </c>
      <c r="E98" s="10">
        <v>100</v>
      </c>
    </row>
    <row r="99" spans="1:5" ht="15.75" thickBot="1" x14ac:dyDescent="0.3">
      <c r="A99" s="16" t="s">
        <v>40</v>
      </c>
      <c r="B99" s="15">
        <f>B98+B97</f>
        <v>0</v>
      </c>
      <c r="C99" s="15">
        <f>C98+C97</f>
        <v>100</v>
      </c>
      <c r="D99" s="15">
        <f>D98+D97</f>
        <v>100</v>
      </c>
      <c r="E99" s="15">
        <f>E98+E97</f>
        <v>100</v>
      </c>
    </row>
    <row r="100" spans="1:5" x14ac:dyDescent="0.25">
      <c r="A100" s="1254" t="s">
        <v>60</v>
      </c>
      <c r="B100" s="1322"/>
      <c r="C100" s="1289"/>
      <c r="D100" s="1289"/>
      <c r="E100" s="1290"/>
    </row>
    <row r="101" spans="1:5" x14ac:dyDescent="0.25">
      <c r="A101" s="1255"/>
      <c r="B101" s="1291"/>
      <c r="C101" s="1292"/>
      <c r="D101" s="1292"/>
      <c r="E101" s="1293"/>
    </row>
    <row r="102" spans="1:5" ht="15.75" thickBot="1" x14ac:dyDescent="0.3">
      <c r="A102" s="1256"/>
      <c r="B102" s="1294"/>
      <c r="C102" s="1295"/>
      <c r="D102" s="1295"/>
      <c r="E102" s="1296"/>
    </row>
    <row r="103" spans="1:5" ht="15.75" thickBot="1" x14ac:dyDescent="0.3">
      <c r="A103" s="208"/>
      <c r="B103" s="207"/>
      <c r="C103" s="206"/>
      <c r="D103" s="206"/>
      <c r="E103" s="205"/>
    </row>
    <row r="104" spans="1:5" ht="15.75" thickBot="1" x14ac:dyDescent="0.3">
      <c r="A104" s="20" t="s">
        <v>486</v>
      </c>
      <c r="B104" s="1241" t="s">
        <v>487</v>
      </c>
      <c r="C104" s="1242"/>
      <c r="D104" s="1242"/>
      <c r="E104" s="1318"/>
    </row>
    <row r="105" spans="1:5" ht="30" customHeight="1" thickBot="1" x14ac:dyDescent="0.3">
      <c r="A105" s="7" t="s">
        <v>42</v>
      </c>
      <c r="B105" s="1330" t="s">
        <v>481</v>
      </c>
      <c r="C105" s="1331"/>
      <c r="D105" s="1331"/>
      <c r="E105" s="1332"/>
    </row>
    <row r="106" spans="1:5" ht="69.75" customHeight="1" thickBot="1" x14ac:dyDescent="0.3">
      <c r="A106" s="5" t="s">
        <v>17</v>
      </c>
      <c r="B106" s="1333" t="s">
        <v>482</v>
      </c>
      <c r="C106" s="1334"/>
      <c r="D106" s="1334"/>
      <c r="E106" s="1335"/>
    </row>
    <row r="107" spans="1:5" ht="23.25" customHeight="1" thickBot="1" x14ac:dyDescent="0.3">
      <c r="A107" s="5" t="s">
        <v>18</v>
      </c>
      <c r="B107" s="1333" t="s">
        <v>483</v>
      </c>
      <c r="C107" s="1334"/>
      <c r="D107" s="1334"/>
      <c r="E107" s="1335"/>
    </row>
    <row r="108" spans="1:5" ht="12.75" customHeight="1" x14ac:dyDescent="0.25">
      <c r="A108" s="1250"/>
      <c r="B108" s="8">
        <v>2018</v>
      </c>
      <c r="C108" s="8">
        <v>2019</v>
      </c>
      <c r="D108" s="8">
        <v>2020</v>
      </c>
      <c r="E108" s="8">
        <v>2021</v>
      </c>
    </row>
    <row r="109" spans="1:5" ht="9" customHeight="1" thickBot="1" x14ac:dyDescent="0.3">
      <c r="A109" s="1251"/>
      <c r="B109" s="9" t="s">
        <v>10</v>
      </c>
      <c r="C109" s="9" t="s">
        <v>11</v>
      </c>
      <c r="D109" s="9" t="s">
        <v>11</v>
      </c>
      <c r="E109" s="9" t="s">
        <v>11</v>
      </c>
    </row>
    <row r="110" spans="1:5" ht="15.75" thickBot="1" x14ac:dyDescent="0.3">
      <c r="A110" s="5" t="s">
        <v>19</v>
      </c>
      <c r="B110" s="10"/>
      <c r="C110" s="10">
        <v>0</v>
      </c>
      <c r="D110" s="10">
        <v>15</v>
      </c>
      <c r="E110" s="10">
        <v>15</v>
      </c>
    </row>
    <row r="111" spans="1:5" ht="15.75" thickBot="1" x14ac:dyDescent="0.3">
      <c r="A111" s="5" t="s">
        <v>20</v>
      </c>
      <c r="B111" s="10"/>
      <c r="C111" s="10">
        <v>0</v>
      </c>
      <c r="D111" s="10">
        <v>100</v>
      </c>
      <c r="E111" s="10">
        <v>100</v>
      </c>
    </row>
    <row r="112" spans="1:5" ht="15.75" thickBot="1" x14ac:dyDescent="0.3">
      <c r="A112" s="5" t="s">
        <v>21</v>
      </c>
      <c r="B112" s="10" t="e">
        <f>B111/B110</f>
        <v>#DIV/0!</v>
      </c>
      <c r="C112" s="10" t="e">
        <f>C111/C110</f>
        <v>#DIV/0!</v>
      </c>
      <c r="D112" s="10">
        <f>D111/D110</f>
        <v>6.666666666666667</v>
      </c>
      <c r="E112" s="10">
        <f>E111/E110</f>
        <v>6.666666666666667</v>
      </c>
    </row>
    <row r="113" spans="1:9" ht="15.75" thickBot="1" x14ac:dyDescent="0.3">
      <c r="A113" s="5" t="s">
        <v>22</v>
      </c>
      <c r="B113" s="151" t="s">
        <v>23</v>
      </c>
      <c r="C113" s="11" t="e">
        <f t="shared" ref="C113:E115" si="3">C110/B110-1</f>
        <v>#DIV/0!</v>
      </c>
      <c r="D113" s="11" t="e">
        <f t="shared" si="3"/>
        <v>#DIV/0!</v>
      </c>
      <c r="E113" s="11">
        <f t="shared" si="3"/>
        <v>0</v>
      </c>
      <c r="F113" s="12"/>
      <c r="G113" s="12"/>
      <c r="H113" s="12"/>
      <c r="I113" s="12"/>
    </row>
    <row r="114" spans="1:9" ht="15.75" thickBot="1" x14ac:dyDescent="0.3">
      <c r="A114" s="5" t="s">
        <v>24</v>
      </c>
      <c r="B114" s="151" t="s">
        <v>23</v>
      </c>
      <c r="C114" s="11" t="e">
        <f t="shared" si="3"/>
        <v>#DIV/0!</v>
      </c>
      <c r="D114" s="11" t="e">
        <f t="shared" si="3"/>
        <v>#DIV/0!</v>
      </c>
      <c r="E114" s="11">
        <f t="shared" si="3"/>
        <v>0</v>
      </c>
    </row>
    <row r="115" spans="1:9" ht="15.75" thickBot="1" x14ac:dyDescent="0.3">
      <c r="A115" s="5" t="s">
        <v>25</v>
      </c>
      <c r="B115" s="151" t="s">
        <v>23</v>
      </c>
      <c r="C115" s="11" t="e">
        <f t="shared" si="3"/>
        <v>#DIV/0!</v>
      </c>
      <c r="D115" s="11" t="e">
        <f t="shared" si="3"/>
        <v>#DIV/0!</v>
      </c>
      <c r="E115" s="11">
        <f t="shared" si="3"/>
        <v>0</v>
      </c>
    </row>
    <row r="116" spans="1:9" ht="15.75" thickBot="1" x14ac:dyDescent="0.3">
      <c r="A116" s="1252" t="s">
        <v>884</v>
      </c>
      <c r="B116" s="1253"/>
      <c r="C116" s="1253"/>
      <c r="D116" s="1253"/>
      <c r="E116" s="1300"/>
    </row>
    <row r="117" spans="1:9" ht="12.75" customHeight="1" x14ac:dyDescent="0.25">
      <c r="A117" s="1250"/>
      <c r="B117" s="8">
        <v>2018</v>
      </c>
      <c r="C117" s="8">
        <v>2019</v>
      </c>
      <c r="D117" s="8">
        <v>2020</v>
      </c>
      <c r="E117" s="8">
        <v>2021</v>
      </c>
    </row>
    <row r="118" spans="1:9" ht="9" customHeight="1" thickBot="1" x14ac:dyDescent="0.3">
      <c r="A118" s="1251"/>
      <c r="B118" s="9" t="s">
        <v>10</v>
      </c>
      <c r="C118" s="9" t="s">
        <v>11</v>
      </c>
      <c r="D118" s="9" t="s">
        <v>11</v>
      </c>
      <c r="E118" s="9" t="s">
        <v>11</v>
      </c>
    </row>
    <row r="119" spans="1:9" ht="15.75" thickBot="1" x14ac:dyDescent="0.3">
      <c r="A119" s="13" t="s">
        <v>58</v>
      </c>
      <c r="B119" s="14">
        <v>0</v>
      </c>
      <c r="C119" s="14">
        <v>0</v>
      </c>
      <c r="D119" s="14">
        <v>0</v>
      </c>
      <c r="E119" s="14">
        <v>0</v>
      </c>
    </row>
    <row r="120" spans="1:9" ht="15.75" thickBot="1" x14ac:dyDescent="0.3">
      <c r="A120" s="13" t="s">
        <v>59</v>
      </c>
      <c r="B120" s="15">
        <v>0</v>
      </c>
      <c r="C120" s="10">
        <v>0</v>
      </c>
      <c r="D120" s="10">
        <v>100</v>
      </c>
      <c r="E120" s="10">
        <v>100</v>
      </c>
    </row>
    <row r="121" spans="1:9" ht="15.75" thickBot="1" x14ac:dyDescent="0.3">
      <c r="A121" s="16" t="s">
        <v>43</v>
      </c>
      <c r="B121" s="15">
        <f>B120+B119</f>
        <v>0</v>
      </c>
      <c r="C121" s="15">
        <f>C120+C119</f>
        <v>0</v>
      </c>
      <c r="D121" s="15">
        <f>D120+D119</f>
        <v>100</v>
      </c>
      <c r="E121" s="15">
        <f>E120+E119</f>
        <v>100</v>
      </c>
    </row>
    <row r="122" spans="1:9" ht="15.75" thickBot="1" x14ac:dyDescent="0.3">
      <c r="A122" s="204"/>
      <c r="B122" s="203"/>
      <c r="C122" s="203"/>
      <c r="D122" s="203"/>
      <c r="E122" s="202"/>
    </row>
    <row r="123" spans="1:9" ht="24.75" customHeight="1" thickBot="1" x14ac:dyDescent="0.3">
      <c r="A123" s="21" t="s">
        <v>67</v>
      </c>
      <c r="B123" s="1351" t="s">
        <v>488</v>
      </c>
      <c r="C123" s="1352"/>
      <c r="D123" s="1352"/>
      <c r="E123" s="1353"/>
    </row>
    <row r="124" spans="1:9" ht="15.75" customHeight="1" thickBot="1" x14ac:dyDescent="0.3">
      <c r="A124" s="1245" t="s">
        <v>68</v>
      </c>
      <c r="B124" s="1246"/>
      <c r="C124" s="1246"/>
      <c r="D124" s="1246"/>
      <c r="E124" s="1298"/>
    </row>
    <row r="125" spans="1:9" ht="23.25" thickBot="1" x14ac:dyDescent="0.3">
      <c r="A125" s="150" t="s">
        <v>489</v>
      </c>
      <c r="B125" s="4"/>
      <c r="C125" s="4"/>
      <c r="D125" s="4"/>
      <c r="E125" s="4"/>
    </row>
    <row r="126" spans="1:9" ht="15.75" customHeight="1" thickBot="1" x14ac:dyDescent="0.3">
      <c r="A126" s="5" t="s">
        <v>490</v>
      </c>
      <c r="B126" s="4"/>
      <c r="C126" s="4"/>
      <c r="D126" s="4"/>
      <c r="E126" s="4"/>
    </row>
    <row r="127" spans="1:9" ht="23.25" customHeight="1" thickBot="1" x14ac:dyDescent="0.3">
      <c r="A127" s="5" t="s">
        <v>491</v>
      </c>
      <c r="B127" s="4"/>
      <c r="C127" s="4"/>
      <c r="D127" s="4"/>
      <c r="E127" s="4"/>
    </row>
    <row r="128" spans="1:9" ht="23.25" customHeight="1" thickBot="1" x14ac:dyDescent="0.3">
      <c r="A128" s="1278" t="s">
        <v>69</v>
      </c>
      <c r="B128" s="1279"/>
      <c r="C128" s="1279"/>
      <c r="D128" s="1279"/>
      <c r="E128" s="1355"/>
    </row>
    <row r="129" spans="1:5" ht="23.25" customHeight="1" thickBot="1" x14ac:dyDescent="0.3">
      <c r="A129" s="1280" t="s">
        <v>70</v>
      </c>
      <c r="B129" s="1281"/>
      <c r="C129" s="1281"/>
      <c r="D129" s="1281"/>
      <c r="E129" s="1354"/>
    </row>
    <row r="130" spans="1:5" ht="12.75" customHeight="1" x14ac:dyDescent="0.25">
      <c r="A130" s="1250"/>
      <c r="B130" s="8">
        <v>2018</v>
      </c>
      <c r="C130" s="8">
        <v>2019</v>
      </c>
      <c r="D130" s="8">
        <v>2020</v>
      </c>
      <c r="E130" s="8">
        <v>2021</v>
      </c>
    </row>
    <row r="131" spans="1:5" ht="9" customHeight="1" thickBot="1" x14ac:dyDescent="0.3">
      <c r="A131" s="1251"/>
      <c r="B131" s="9" t="s">
        <v>10</v>
      </c>
      <c r="C131" s="9" t="s">
        <v>11</v>
      </c>
      <c r="D131" s="9" t="s">
        <v>11</v>
      </c>
      <c r="E131" s="9" t="s">
        <v>11</v>
      </c>
    </row>
    <row r="132" spans="1:5" ht="37.5" customHeight="1" thickBot="1" x14ac:dyDescent="0.3">
      <c r="A132" s="7" t="s">
        <v>16</v>
      </c>
      <c r="B132" s="1243" t="s">
        <v>492</v>
      </c>
      <c r="C132" s="1244"/>
      <c r="D132" s="1244"/>
      <c r="E132" s="1315"/>
    </row>
    <row r="133" spans="1:5" ht="40.5" customHeight="1" thickBot="1" x14ac:dyDescent="0.3">
      <c r="A133" s="5" t="s">
        <v>17</v>
      </c>
      <c r="B133" s="1333" t="s">
        <v>493</v>
      </c>
      <c r="C133" s="1334"/>
      <c r="D133" s="1334"/>
      <c r="E133" s="1335"/>
    </row>
    <row r="134" spans="1:5" ht="15.75" customHeight="1" thickBot="1" x14ac:dyDescent="0.3">
      <c r="A134" s="5" t="s">
        <v>18</v>
      </c>
      <c r="B134" s="1248" t="s">
        <v>494</v>
      </c>
      <c r="C134" s="1249"/>
      <c r="D134" s="1249"/>
      <c r="E134" s="1316"/>
    </row>
    <row r="135" spans="1:5" ht="12.75" customHeight="1" x14ac:dyDescent="0.25">
      <c r="A135" s="1250"/>
      <c r="B135" s="8">
        <v>2018</v>
      </c>
      <c r="C135" s="8">
        <v>2019</v>
      </c>
      <c r="D135" s="8">
        <v>2020</v>
      </c>
      <c r="E135" s="8">
        <v>2021</v>
      </c>
    </row>
    <row r="136" spans="1:5" ht="9" customHeight="1" thickBot="1" x14ac:dyDescent="0.3">
      <c r="A136" s="1251"/>
      <c r="B136" s="9" t="s">
        <v>10</v>
      </c>
      <c r="C136" s="9" t="s">
        <v>11</v>
      </c>
      <c r="D136" s="9" t="s">
        <v>11</v>
      </c>
      <c r="E136" s="9" t="s">
        <v>11</v>
      </c>
    </row>
    <row r="137" spans="1:5" ht="15.75" customHeight="1" thickBot="1" x14ac:dyDescent="0.3">
      <c r="A137" s="5" t="s">
        <v>19</v>
      </c>
      <c r="B137" s="10">
        <v>10</v>
      </c>
      <c r="C137" s="60">
        <v>10</v>
      </c>
      <c r="D137" s="60">
        <v>10</v>
      </c>
      <c r="E137" s="60">
        <v>10</v>
      </c>
    </row>
    <row r="138" spans="1:5" ht="15.75" thickBot="1" x14ac:dyDescent="0.3">
      <c r="A138" s="5" t="s">
        <v>20</v>
      </c>
      <c r="B138" s="10">
        <v>12000</v>
      </c>
      <c r="C138" s="10">
        <v>11300</v>
      </c>
      <c r="D138" s="10">
        <v>11300</v>
      </c>
      <c r="E138" s="10">
        <v>11300</v>
      </c>
    </row>
    <row r="139" spans="1:5" ht="15.75" thickBot="1" x14ac:dyDescent="0.3">
      <c r="A139" s="5" t="s">
        <v>21</v>
      </c>
      <c r="B139" s="10">
        <f>B138/B137</f>
        <v>1200</v>
      </c>
      <c r="C139" s="10">
        <f>C138/C137</f>
        <v>1130</v>
      </c>
      <c r="D139" s="10">
        <f>D138/D137</f>
        <v>1130</v>
      </c>
      <c r="E139" s="10">
        <f>E138/E137</f>
        <v>1130</v>
      </c>
    </row>
    <row r="140" spans="1:5" ht="15.75" thickBot="1" x14ac:dyDescent="0.3">
      <c r="A140" s="5" t="s">
        <v>22</v>
      </c>
      <c r="B140" s="151"/>
      <c r="C140" s="11">
        <f t="shared" ref="C140:E142" si="4">C137/B137-1</f>
        <v>0</v>
      </c>
      <c r="D140" s="11">
        <f t="shared" si="4"/>
        <v>0</v>
      </c>
      <c r="E140" s="11">
        <f t="shared" si="4"/>
        <v>0</v>
      </c>
    </row>
    <row r="141" spans="1:5" ht="15.75" thickBot="1" x14ac:dyDescent="0.3">
      <c r="A141" s="5" t="s">
        <v>24</v>
      </c>
      <c r="B141" s="151"/>
      <c r="C141" s="11">
        <f t="shared" si="4"/>
        <v>-5.8333333333333348E-2</v>
      </c>
      <c r="D141" s="11">
        <f t="shared" si="4"/>
        <v>0</v>
      </c>
      <c r="E141" s="11">
        <f t="shared" si="4"/>
        <v>0</v>
      </c>
    </row>
    <row r="142" spans="1:5" ht="15.75" thickBot="1" x14ac:dyDescent="0.3">
      <c r="A142" s="5" t="s">
        <v>25</v>
      </c>
      <c r="B142" s="151"/>
      <c r="C142" s="11">
        <f t="shared" si="4"/>
        <v>-5.8333333333333348E-2</v>
      </c>
      <c r="D142" s="11">
        <f t="shared" si="4"/>
        <v>0</v>
      </c>
      <c r="E142" s="11">
        <f t="shared" si="4"/>
        <v>0</v>
      </c>
    </row>
    <row r="143" spans="1:5" ht="12.75" customHeight="1" x14ac:dyDescent="0.25">
      <c r="A143" s="1250"/>
      <c r="B143" s="8">
        <v>2018</v>
      </c>
      <c r="C143" s="8">
        <v>2019</v>
      </c>
      <c r="D143" s="8">
        <v>2020</v>
      </c>
      <c r="E143" s="8">
        <v>2021</v>
      </c>
    </row>
    <row r="144" spans="1:5" ht="9" customHeight="1" thickBot="1" x14ac:dyDescent="0.3">
      <c r="A144" s="1251"/>
      <c r="B144" s="9" t="s">
        <v>10</v>
      </c>
      <c r="C144" s="9" t="s">
        <v>11</v>
      </c>
      <c r="D144" s="9" t="s">
        <v>11</v>
      </c>
      <c r="E144" s="9" t="s">
        <v>11</v>
      </c>
    </row>
    <row r="145" spans="1:5" ht="15.75" thickBot="1" x14ac:dyDescent="0.3">
      <c r="A145" s="1252" t="s">
        <v>636</v>
      </c>
      <c r="B145" s="1253"/>
      <c r="C145" s="1253"/>
      <c r="D145" s="1253"/>
      <c r="E145" s="1300"/>
    </row>
    <row r="146" spans="1:5" ht="12.75" customHeight="1" x14ac:dyDescent="0.25">
      <c r="A146" s="1250"/>
      <c r="B146" s="8">
        <v>2018</v>
      </c>
      <c r="C146" s="8">
        <v>2019</v>
      </c>
      <c r="D146" s="8">
        <v>2020</v>
      </c>
      <c r="E146" s="8">
        <v>2021</v>
      </c>
    </row>
    <row r="147" spans="1:5" ht="9" customHeight="1" thickBot="1" x14ac:dyDescent="0.3">
      <c r="A147" s="1251"/>
      <c r="B147" s="9" t="s">
        <v>10</v>
      </c>
      <c r="C147" s="9" t="s">
        <v>11</v>
      </c>
      <c r="D147" s="9" t="s">
        <v>11</v>
      </c>
      <c r="E147" s="9" t="s">
        <v>11</v>
      </c>
    </row>
    <row r="148" spans="1:5" ht="15.75" thickBot="1" x14ac:dyDescent="0.3">
      <c r="A148" s="13" t="s">
        <v>26</v>
      </c>
      <c r="B148" s="14">
        <v>3000</v>
      </c>
      <c r="C148" s="14">
        <v>3200</v>
      </c>
      <c r="D148" s="14">
        <v>3200</v>
      </c>
      <c r="E148" s="14">
        <v>3200</v>
      </c>
    </row>
    <row r="149" spans="1:5" ht="24.75" thickBot="1" x14ac:dyDescent="0.3">
      <c r="A149" s="13" t="s">
        <v>28</v>
      </c>
      <c r="B149" s="14">
        <v>500</v>
      </c>
      <c r="C149" s="14">
        <v>400</v>
      </c>
      <c r="D149" s="14">
        <v>400</v>
      </c>
      <c r="E149" s="14">
        <v>400</v>
      </c>
    </row>
    <row r="150" spans="1:5" ht="15.75" thickBot="1" x14ac:dyDescent="0.3">
      <c r="A150" s="13" t="s">
        <v>30</v>
      </c>
      <c r="B150" s="15">
        <v>4500</v>
      </c>
      <c r="C150" s="15">
        <v>3200</v>
      </c>
      <c r="D150" s="15">
        <v>3200</v>
      </c>
      <c r="E150" s="15">
        <v>3200</v>
      </c>
    </row>
    <row r="151" spans="1:5" ht="15.75" thickBot="1" x14ac:dyDescent="0.3">
      <c r="A151" s="13" t="s">
        <v>32</v>
      </c>
      <c r="B151" s="15">
        <v>0</v>
      </c>
      <c r="C151" s="15">
        <v>0</v>
      </c>
      <c r="D151" s="15">
        <v>0</v>
      </c>
      <c r="E151" s="15">
        <v>0</v>
      </c>
    </row>
    <row r="152" spans="1:5" ht="15.75" thickBot="1" x14ac:dyDescent="0.3">
      <c r="A152" s="13" t="s">
        <v>34</v>
      </c>
      <c r="B152" s="15">
        <v>0</v>
      </c>
      <c r="C152" s="15">
        <v>0</v>
      </c>
      <c r="D152" s="15">
        <v>0</v>
      </c>
      <c r="E152" s="15">
        <v>0</v>
      </c>
    </row>
    <row r="153" spans="1:5" ht="15.75" thickBot="1" x14ac:dyDescent="0.3">
      <c r="A153" s="13" t="s">
        <v>36</v>
      </c>
      <c r="B153" s="15">
        <v>400</v>
      </c>
      <c r="C153" s="15">
        <v>400</v>
      </c>
      <c r="D153" s="15">
        <v>400</v>
      </c>
      <c r="E153" s="15">
        <v>400</v>
      </c>
    </row>
    <row r="154" spans="1:5" ht="24.75" thickBot="1" x14ac:dyDescent="0.3">
      <c r="A154" s="13" t="s">
        <v>38</v>
      </c>
      <c r="B154" s="15">
        <v>3600</v>
      </c>
      <c r="C154" s="15">
        <v>4100</v>
      </c>
      <c r="D154" s="15">
        <v>4100</v>
      </c>
      <c r="E154" s="15">
        <v>4100</v>
      </c>
    </row>
    <row r="155" spans="1:5" ht="24.75" thickBot="1" x14ac:dyDescent="0.3">
      <c r="A155" s="137" t="s">
        <v>71</v>
      </c>
      <c r="B155" s="138">
        <f>B154+B153+B152+B151+B150+B149+B148</f>
        <v>12000</v>
      </c>
      <c r="C155" s="138">
        <f>C154+C153+C152+C151+C150+C149+C148</f>
        <v>11300</v>
      </c>
      <c r="D155" s="138">
        <f>D154+D153+D152+D151+D150+D149+D148</f>
        <v>11300</v>
      </c>
      <c r="E155" s="138">
        <f>E154+E153+E152+E151+E150+E149+E148</f>
        <v>11300</v>
      </c>
    </row>
    <row r="156" spans="1:5" ht="15.75" thickBot="1" x14ac:dyDescent="0.3">
      <c r="A156" s="17" t="s">
        <v>41</v>
      </c>
      <c r="B156" s="18">
        <f>IF(B155-B138=0,0,"Error")</f>
        <v>0</v>
      </c>
      <c r="C156" s="18">
        <f>IF(C155-C138=0,0,"Error")</f>
        <v>0</v>
      </c>
      <c r="D156" s="18">
        <f>IF(D155-D138=0,0,"Error")</f>
        <v>0</v>
      </c>
      <c r="E156" s="18">
        <f>IF(E155-E138=0,0,"Error")</f>
        <v>0</v>
      </c>
    </row>
    <row r="157" spans="1:5" ht="15.75" thickBot="1" x14ac:dyDescent="0.3">
      <c r="A157" s="210"/>
      <c r="B157" s="209"/>
      <c r="C157" s="209"/>
      <c r="D157" s="209"/>
      <c r="E157" s="209"/>
    </row>
    <row r="158" spans="1:5" ht="15.75" thickBot="1" x14ac:dyDescent="0.3">
      <c r="A158" s="1275" t="s">
        <v>63</v>
      </c>
      <c r="B158" s="1276"/>
      <c r="C158" s="1276"/>
      <c r="D158" s="1276"/>
      <c r="E158" s="1317"/>
    </row>
    <row r="159" spans="1:5" ht="15.75" thickBot="1" x14ac:dyDescent="0.3">
      <c r="A159" s="1275" t="s">
        <v>56</v>
      </c>
      <c r="B159" s="1276"/>
      <c r="C159" s="1276"/>
      <c r="D159" s="1276"/>
      <c r="E159" s="1317"/>
    </row>
    <row r="160" spans="1:5" ht="15.75" thickBot="1" x14ac:dyDescent="0.3">
      <c r="A160" s="20" t="s">
        <v>495</v>
      </c>
      <c r="B160" s="1241" t="s">
        <v>496</v>
      </c>
      <c r="C160" s="1242"/>
      <c r="D160" s="1242"/>
      <c r="E160" s="1318"/>
    </row>
    <row r="161" spans="1:9" ht="15.75" thickBot="1" x14ac:dyDescent="0.3">
      <c r="A161" s="7" t="s">
        <v>16</v>
      </c>
      <c r="B161" s="1243" t="s">
        <v>492</v>
      </c>
      <c r="C161" s="1244"/>
      <c r="D161" s="1244"/>
      <c r="E161" s="1315"/>
    </row>
    <row r="162" spans="1:9" ht="43.5" customHeight="1" thickBot="1" x14ac:dyDescent="0.3">
      <c r="A162" s="5" t="s">
        <v>17</v>
      </c>
      <c r="B162" s="1333" t="s">
        <v>493</v>
      </c>
      <c r="C162" s="1334"/>
      <c r="D162" s="1334"/>
      <c r="E162" s="1335"/>
    </row>
    <row r="163" spans="1:9" ht="15.75" thickBot="1" x14ac:dyDescent="0.3">
      <c r="A163" s="5" t="s">
        <v>18</v>
      </c>
      <c r="B163" s="1248" t="s">
        <v>494</v>
      </c>
      <c r="C163" s="1249"/>
      <c r="D163" s="1249"/>
      <c r="E163" s="1316"/>
    </row>
    <row r="164" spans="1:9" ht="12.75" customHeight="1" x14ac:dyDescent="0.25">
      <c r="A164" s="1250"/>
      <c r="B164" s="8">
        <v>2018</v>
      </c>
      <c r="C164" s="8">
        <v>2019</v>
      </c>
      <c r="D164" s="8">
        <v>2020</v>
      </c>
      <c r="E164" s="8">
        <v>2021</v>
      </c>
    </row>
    <row r="165" spans="1:9" ht="9" customHeight="1" thickBot="1" x14ac:dyDescent="0.3">
      <c r="A165" s="1251"/>
      <c r="B165" s="9" t="s">
        <v>10</v>
      </c>
      <c r="C165" s="9" t="s">
        <v>11</v>
      </c>
      <c r="D165" s="9" t="s">
        <v>11</v>
      </c>
      <c r="E165" s="9" t="s">
        <v>11</v>
      </c>
    </row>
    <row r="166" spans="1:9" ht="15.75" thickBot="1" x14ac:dyDescent="0.3">
      <c r="A166" s="5" t="s">
        <v>19</v>
      </c>
      <c r="B166" s="10">
        <v>0</v>
      </c>
      <c r="C166" s="60">
        <v>10</v>
      </c>
      <c r="D166" s="60">
        <v>10</v>
      </c>
      <c r="E166" s="60">
        <v>10</v>
      </c>
    </row>
    <row r="167" spans="1:9" ht="15.75" thickBot="1" x14ac:dyDescent="0.3">
      <c r="A167" s="5" t="s">
        <v>20</v>
      </c>
      <c r="B167" s="10">
        <v>0</v>
      </c>
      <c r="C167" s="10">
        <v>100</v>
      </c>
      <c r="D167" s="10">
        <v>200</v>
      </c>
      <c r="E167" s="10">
        <v>200</v>
      </c>
    </row>
    <row r="168" spans="1:9" ht="15.75" thickBot="1" x14ac:dyDescent="0.3">
      <c r="A168" s="5" t="s">
        <v>21</v>
      </c>
      <c r="B168" s="10" t="e">
        <f>B167/B166</f>
        <v>#DIV/0!</v>
      </c>
      <c r="C168" s="10">
        <f>C167/C166</f>
        <v>10</v>
      </c>
      <c r="D168" s="10">
        <f>D167/D166</f>
        <v>20</v>
      </c>
      <c r="E168" s="10">
        <f>E167/E166</f>
        <v>20</v>
      </c>
    </row>
    <row r="169" spans="1:9" ht="15.75" thickBot="1" x14ac:dyDescent="0.3">
      <c r="A169" s="5" t="s">
        <v>22</v>
      </c>
      <c r="B169" s="151" t="s">
        <v>23</v>
      </c>
      <c r="C169" s="11" t="e">
        <f t="shared" ref="C169:E171" si="5">C166/B166-1</f>
        <v>#DIV/0!</v>
      </c>
      <c r="D169" s="11">
        <f t="shared" si="5"/>
        <v>0</v>
      </c>
      <c r="E169" s="11">
        <f t="shared" si="5"/>
        <v>0</v>
      </c>
      <c r="F169" s="12"/>
      <c r="G169" s="12"/>
      <c r="H169" s="12"/>
      <c r="I169" s="12"/>
    </row>
    <row r="170" spans="1:9" ht="15.75" thickBot="1" x14ac:dyDescent="0.3">
      <c r="A170" s="5" t="s">
        <v>24</v>
      </c>
      <c r="B170" s="151" t="s">
        <v>23</v>
      </c>
      <c r="C170" s="11" t="e">
        <f t="shared" si="5"/>
        <v>#DIV/0!</v>
      </c>
      <c r="D170" s="11">
        <f t="shared" si="5"/>
        <v>1</v>
      </c>
      <c r="E170" s="11">
        <f t="shared" si="5"/>
        <v>0</v>
      </c>
    </row>
    <row r="171" spans="1:9" ht="15.75" thickBot="1" x14ac:dyDescent="0.3">
      <c r="A171" s="5" t="s">
        <v>25</v>
      </c>
      <c r="B171" s="151" t="s">
        <v>23</v>
      </c>
      <c r="C171" s="11" t="e">
        <f t="shared" si="5"/>
        <v>#DIV/0!</v>
      </c>
      <c r="D171" s="11">
        <f t="shared" si="5"/>
        <v>1</v>
      </c>
      <c r="E171" s="11">
        <f t="shared" si="5"/>
        <v>0</v>
      </c>
    </row>
    <row r="172" spans="1:9" ht="15.75" thickBot="1" x14ac:dyDescent="0.3">
      <c r="A172" s="1252" t="s">
        <v>633</v>
      </c>
      <c r="B172" s="1253"/>
      <c r="C172" s="1253"/>
      <c r="D172" s="1253"/>
      <c r="E172" s="1300"/>
    </row>
    <row r="173" spans="1:9" ht="12.75" customHeight="1" x14ac:dyDescent="0.25">
      <c r="A173" s="1250"/>
      <c r="B173" s="8">
        <v>2018</v>
      </c>
      <c r="C173" s="8">
        <v>2019</v>
      </c>
      <c r="D173" s="8">
        <v>2020</v>
      </c>
      <c r="E173" s="8">
        <v>2021</v>
      </c>
    </row>
    <row r="174" spans="1:9" ht="9" customHeight="1" thickBot="1" x14ac:dyDescent="0.3">
      <c r="A174" s="1251"/>
      <c r="B174" s="9" t="s">
        <v>10</v>
      </c>
      <c r="C174" s="9" t="s">
        <v>11</v>
      </c>
      <c r="D174" s="9" t="s">
        <v>11</v>
      </c>
      <c r="E174" s="9" t="s">
        <v>11</v>
      </c>
    </row>
    <row r="175" spans="1:9" ht="15.75" thickBot="1" x14ac:dyDescent="0.3">
      <c r="A175" s="13" t="s">
        <v>58</v>
      </c>
      <c r="B175" s="14">
        <v>0</v>
      </c>
      <c r="C175" s="14">
        <v>0</v>
      </c>
      <c r="D175" s="14">
        <v>0</v>
      </c>
      <c r="E175" s="14">
        <v>0</v>
      </c>
    </row>
    <row r="176" spans="1:9" ht="15.75" thickBot="1" x14ac:dyDescent="0.3">
      <c r="A176" s="13" t="s">
        <v>59</v>
      </c>
      <c r="B176" s="15">
        <v>0</v>
      </c>
      <c r="C176" s="14">
        <v>100</v>
      </c>
      <c r="D176" s="10">
        <v>200</v>
      </c>
      <c r="E176" s="10">
        <v>200</v>
      </c>
    </row>
    <row r="177" spans="1:8" ht="15.75" thickBot="1" x14ac:dyDescent="0.3">
      <c r="A177" s="16" t="s">
        <v>40</v>
      </c>
      <c r="B177" s="15">
        <f>B176+B175</f>
        <v>0</v>
      </c>
      <c r="C177" s="15">
        <f>C176+C175</f>
        <v>100</v>
      </c>
      <c r="D177" s="15">
        <f>D176+D175</f>
        <v>200</v>
      </c>
      <c r="E177" s="15">
        <f>E176+E175</f>
        <v>200</v>
      </c>
    </row>
    <row r="178" spans="1:8" ht="15.75" thickBot="1" x14ac:dyDescent="0.3">
      <c r="A178" s="204"/>
      <c r="B178" s="218"/>
      <c r="C178" s="218"/>
      <c r="D178" s="218"/>
      <c r="E178" s="217"/>
    </row>
    <row r="179" spans="1:8" ht="15.75" thickBot="1" x14ac:dyDescent="0.3">
      <c r="A179" s="6" t="s">
        <v>75</v>
      </c>
      <c r="B179" s="1351" t="s">
        <v>497</v>
      </c>
      <c r="C179" s="1352"/>
      <c r="D179" s="1352"/>
      <c r="E179" s="1353"/>
    </row>
    <row r="180" spans="1:8" ht="23.25" customHeight="1" thickBot="1" x14ac:dyDescent="0.3">
      <c r="A180" s="1245" t="s">
        <v>367</v>
      </c>
      <c r="B180" s="1246"/>
      <c r="C180" s="1246"/>
      <c r="D180" s="1246"/>
      <c r="E180" s="1298"/>
      <c r="F180" s="35"/>
      <c r="H180" s="35"/>
    </row>
    <row r="181" spans="1:8" ht="79.5" thickBot="1" x14ac:dyDescent="0.3">
      <c r="A181" s="150" t="s">
        <v>498</v>
      </c>
      <c r="B181" s="4"/>
      <c r="C181" s="4"/>
      <c r="D181" s="4"/>
      <c r="E181" s="4"/>
    </row>
    <row r="182" spans="1:8" ht="23.25" thickBot="1" x14ac:dyDescent="0.3">
      <c r="A182" s="5" t="s">
        <v>499</v>
      </c>
      <c r="B182" s="4"/>
      <c r="C182" s="4"/>
      <c r="D182" s="4"/>
      <c r="E182" s="4"/>
    </row>
    <row r="183" spans="1:8" ht="57" thickBot="1" x14ac:dyDescent="0.3">
      <c r="A183" s="5" t="s">
        <v>500</v>
      </c>
      <c r="B183" s="4"/>
      <c r="C183" s="4"/>
      <c r="D183" s="4"/>
      <c r="E183" s="4"/>
    </row>
    <row r="184" spans="1:8" ht="15.75" thickBot="1" x14ac:dyDescent="0.3">
      <c r="A184" s="1273" t="s">
        <v>14</v>
      </c>
      <c r="B184" s="1274"/>
      <c r="C184" s="1274"/>
      <c r="D184" s="1274"/>
      <c r="E184" s="1299"/>
    </row>
    <row r="185" spans="1:8" ht="15.75" thickBot="1" x14ac:dyDescent="0.3">
      <c r="A185" s="1275" t="s">
        <v>104</v>
      </c>
      <c r="B185" s="1276"/>
      <c r="C185" s="1276"/>
      <c r="D185" s="1276"/>
      <c r="E185" s="1317"/>
    </row>
    <row r="186" spans="1:8" ht="28.5" customHeight="1" thickBot="1" x14ac:dyDescent="0.3">
      <c r="A186" s="7" t="s">
        <v>105</v>
      </c>
      <c r="B186" s="1330" t="s">
        <v>501</v>
      </c>
      <c r="C186" s="1331"/>
      <c r="D186" s="1331"/>
      <c r="E186" s="1332"/>
    </row>
    <row r="187" spans="1:8" ht="51" customHeight="1" thickBot="1" x14ac:dyDescent="0.3">
      <c r="A187" s="5" t="s">
        <v>17</v>
      </c>
      <c r="B187" s="1333" t="s">
        <v>502</v>
      </c>
      <c r="C187" s="1334"/>
      <c r="D187" s="1334"/>
      <c r="E187" s="1335"/>
    </row>
    <row r="188" spans="1:8" ht="15.75" thickBot="1" x14ac:dyDescent="0.3">
      <c r="A188" s="5" t="s">
        <v>18</v>
      </c>
      <c r="B188" s="1248" t="s">
        <v>503</v>
      </c>
      <c r="C188" s="1249"/>
      <c r="D188" s="1249"/>
      <c r="E188" s="1316"/>
    </row>
    <row r="189" spans="1:8" ht="12.75" customHeight="1" x14ac:dyDescent="0.25">
      <c r="A189" s="1250"/>
      <c r="B189" s="8">
        <v>2018</v>
      </c>
      <c r="C189" s="8">
        <v>2019</v>
      </c>
      <c r="D189" s="8">
        <v>2020</v>
      </c>
      <c r="E189" s="8">
        <v>2021</v>
      </c>
    </row>
    <row r="190" spans="1:8" ht="9" customHeight="1" thickBot="1" x14ac:dyDescent="0.3">
      <c r="A190" s="1251"/>
      <c r="B190" s="9" t="s">
        <v>10</v>
      </c>
      <c r="C190" s="9" t="s">
        <v>11</v>
      </c>
      <c r="D190" s="9" t="s">
        <v>11</v>
      </c>
      <c r="E190" s="9" t="s">
        <v>11</v>
      </c>
    </row>
    <row r="191" spans="1:8" ht="15.75" thickBot="1" x14ac:dyDescent="0.3">
      <c r="A191" s="5" t="s">
        <v>19</v>
      </c>
      <c r="B191" s="10">
        <v>20</v>
      </c>
      <c r="C191" s="60">
        <v>20</v>
      </c>
      <c r="D191" s="60">
        <v>20</v>
      </c>
      <c r="E191" s="60">
        <v>20</v>
      </c>
    </row>
    <row r="192" spans="1:8" ht="15.75" thickBot="1" x14ac:dyDescent="0.3">
      <c r="A192" s="5" t="s">
        <v>20</v>
      </c>
      <c r="B192" s="10">
        <v>7200</v>
      </c>
      <c r="C192" s="10">
        <v>6300</v>
      </c>
      <c r="D192" s="10">
        <v>6300</v>
      </c>
      <c r="E192" s="10">
        <v>6300</v>
      </c>
    </row>
    <row r="193" spans="1:9" ht="15.75" thickBot="1" x14ac:dyDescent="0.3">
      <c r="A193" s="5" t="s">
        <v>21</v>
      </c>
      <c r="B193" s="10">
        <f>B192/B191</f>
        <v>360</v>
      </c>
      <c r="C193" s="10">
        <f>C192/C191</f>
        <v>315</v>
      </c>
      <c r="D193" s="10">
        <f>D192/D191</f>
        <v>315</v>
      </c>
      <c r="E193" s="10">
        <f>E192/E191</f>
        <v>315</v>
      </c>
    </row>
    <row r="194" spans="1:9" ht="15.75" thickBot="1" x14ac:dyDescent="0.3">
      <c r="A194" s="5" t="s">
        <v>22</v>
      </c>
      <c r="B194" s="151" t="s">
        <v>23</v>
      </c>
      <c r="C194" s="11">
        <f t="shared" ref="C194:E196" si="6">C191/B191-1</f>
        <v>0</v>
      </c>
      <c r="D194" s="11">
        <f t="shared" si="6"/>
        <v>0</v>
      </c>
      <c r="E194" s="11">
        <f t="shared" si="6"/>
        <v>0</v>
      </c>
      <c r="F194" s="12"/>
      <c r="G194" s="12"/>
      <c r="H194" s="12"/>
      <c r="I194" s="12"/>
    </row>
    <row r="195" spans="1:9" ht="15.75" thickBot="1" x14ac:dyDescent="0.3">
      <c r="A195" s="5" t="s">
        <v>24</v>
      </c>
      <c r="B195" s="151" t="s">
        <v>23</v>
      </c>
      <c r="C195" s="11">
        <f t="shared" si="6"/>
        <v>-0.125</v>
      </c>
      <c r="D195" s="11">
        <f t="shared" si="6"/>
        <v>0</v>
      </c>
      <c r="E195" s="11">
        <f t="shared" si="6"/>
        <v>0</v>
      </c>
    </row>
    <row r="196" spans="1:9" ht="15.75" thickBot="1" x14ac:dyDescent="0.3">
      <c r="A196" s="5" t="s">
        <v>25</v>
      </c>
      <c r="B196" s="151" t="s">
        <v>23</v>
      </c>
      <c r="C196" s="11">
        <f t="shared" si="6"/>
        <v>-0.125</v>
      </c>
      <c r="D196" s="11">
        <f t="shared" si="6"/>
        <v>0</v>
      </c>
      <c r="E196" s="11">
        <f t="shared" si="6"/>
        <v>0</v>
      </c>
    </row>
    <row r="197" spans="1:9" ht="15.75" thickBot="1" x14ac:dyDescent="0.3">
      <c r="A197" s="1252" t="s">
        <v>633</v>
      </c>
      <c r="B197" s="1253"/>
      <c r="C197" s="1253"/>
      <c r="D197" s="1253"/>
      <c r="E197" s="1300"/>
    </row>
    <row r="198" spans="1:9" ht="12.75" customHeight="1" x14ac:dyDescent="0.25">
      <c r="A198" s="1250"/>
      <c r="B198" s="8">
        <v>2018</v>
      </c>
      <c r="C198" s="8">
        <v>2019</v>
      </c>
      <c r="D198" s="8">
        <v>2020</v>
      </c>
      <c r="E198" s="8">
        <v>2021</v>
      </c>
    </row>
    <row r="199" spans="1:9" ht="9" customHeight="1" thickBot="1" x14ac:dyDescent="0.3">
      <c r="A199" s="1251"/>
      <c r="B199" s="9" t="s">
        <v>10</v>
      </c>
      <c r="C199" s="9" t="s">
        <v>11</v>
      </c>
      <c r="D199" s="9" t="s">
        <v>11</v>
      </c>
      <c r="E199" s="9" t="s">
        <v>11</v>
      </c>
    </row>
    <row r="200" spans="1:9" ht="15.75" thickBot="1" x14ac:dyDescent="0.3">
      <c r="A200" s="13" t="s">
        <v>26</v>
      </c>
      <c r="B200" s="14">
        <v>1000</v>
      </c>
      <c r="C200" s="14">
        <v>1000</v>
      </c>
      <c r="D200" s="14">
        <v>1000</v>
      </c>
      <c r="E200" s="14">
        <v>1000</v>
      </c>
    </row>
    <row r="201" spans="1:9" ht="24.75" thickBot="1" x14ac:dyDescent="0.3">
      <c r="A201" s="13" t="s">
        <v>28</v>
      </c>
      <c r="B201" s="14">
        <v>500</v>
      </c>
      <c r="C201" s="14">
        <v>300</v>
      </c>
      <c r="D201" s="14">
        <v>300</v>
      </c>
      <c r="E201" s="14">
        <v>300</v>
      </c>
    </row>
    <row r="202" spans="1:9" ht="15.75" thickBot="1" x14ac:dyDescent="0.3">
      <c r="A202" s="13" t="s">
        <v>30</v>
      </c>
      <c r="B202" s="15">
        <v>2800</v>
      </c>
      <c r="C202" s="15">
        <v>2600</v>
      </c>
      <c r="D202" s="15">
        <v>2600</v>
      </c>
      <c r="E202" s="15">
        <v>2600</v>
      </c>
    </row>
    <row r="203" spans="1:9" ht="15.75" thickBot="1" x14ac:dyDescent="0.3">
      <c r="A203" s="13" t="s">
        <v>32</v>
      </c>
      <c r="B203" s="15">
        <v>0</v>
      </c>
      <c r="C203" s="15">
        <v>0</v>
      </c>
      <c r="D203" s="15">
        <v>0</v>
      </c>
      <c r="E203" s="15">
        <v>0</v>
      </c>
    </row>
    <row r="204" spans="1:9" ht="15.75" thickBot="1" x14ac:dyDescent="0.3">
      <c r="A204" s="13" t="s">
        <v>34</v>
      </c>
      <c r="B204" s="15">
        <v>300</v>
      </c>
      <c r="C204" s="15">
        <v>300</v>
      </c>
      <c r="D204" s="15">
        <v>300</v>
      </c>
      <c r="E204" s="15">
        <v>300</v>
      </c>
    </row>
    <row r="205" spans="1:9" ht="15.75" thickBot="1" x14ac:dyDescent="0.3">
      <c r="A205" s="13" t="s">
        <v>36</v>
      </c>
      <c r="B205" s="15">
        <v>0</v>
      </c>
      <c r="C205" s="15">
        <v>0</v>
      </c>
      <c r="D205" s="15">
        <v>0</v>
      </c>
      <c r="E205" s="15">
        <v>0</v>
      </c>
    </row>
    <row r="206" spans="1:9" ht="24.75" thickBot="1" x14ac:dyDescent="0.3">
      <c r="A206" s="13" t="s">
        <v>38</v>
      </c>
      <c r="B206" s="15">
        <v>2600</v>
      </c>
      <c r="C206" s="15">
        <v>2100</v>
      </c>
      <c r="D206" s="15">
        <v>2100</v>
      </c>
      <c r="E206" s="15">
        <v>2100</v>
      </c>
    </row>
    <row r="207" spans="1:9" ht="15.75" thickBot="1" x14ac:dyDescent="0.3">
      <c r="A207" s="16" t="s">
        <v>40</v>
      </c>
      <c r="B207" s="15">
        <f>B206+B205+B204+B203+B202+B201+B200</f>
        <v>7200</v>
      </c>
      <c r="C207" s="15">
        <f>C206+C205+C204+C203+C202+C201+C200</f>
        <v>6300</v>
      </c>
      <c r="D207" s="15">
        <f>D206+D205+D204+D203+D202+D201+D200</f>
        <v>6300</v>
      </c>
      <c r="E207" s="15">
        <f>E206+E205+E204+E203+E202+E201+E200</f>
        <v>6300</v>
      </c>
    </row>
    <row r="208" spans="1:9" ht="15.75" thickBot="1" x14ac:dyDescent="0.3">
      <c r="A208" s="17" t="s">
        <v>41</v>
      </c>
      <c r="B208" s="18">
        <f>IF(B207-B192=0,0,"Error")</f>
        <v>0</v>
      </c>
      <c r="C208" s="18">
        <f>IF(C207-C192=0,0,"Error")</f>
        <v>0</v>
      </c>
      <c r="D208" s="18">
        <f>IF(D207-D192=0,0,"Error")</f>
        <v>0</v>
      </c>
      <c r="E208" s="18">
        <f>IF(E207-E192=0,0,"Error")</f>
        <v>0</v>
      </c>
    </row>
    <row r="209" spans="1:5" ht="15.75" thickBot="1" x14ac:dyDescent="0.3">
      <c r="A209" s="216"/>
      <c r="B209" s="215"/>
      <c r="C209" s="215"/>
      <c r="D209" s="215"/>
      <c r="E209" s="214"/>
    </row>
    <row r="210" spans="1:5" ht="23.25" customHeight="1" thickBot="1" x14ac:dyDescent="0.3">
      <c r="A210" s="213" t="s">
        <v>42</v>
      </c>
      <c r="B210" s="1243" t="s">
        <v>504</v>
      </c>
      <c r="C210" s="1244"/>
      <c r="D210" s="1244"/>
      <c r="E210" s="1315"/>
    </row>
    <row r="211" spans="1:5" ht="15.75" customHeight="1" thickBot="1" x14ac:dyDescent="0.3">
      <c r="A211" s="5" t="s">
        <v>17</v>
      </c>
      <c r="B211" s="1245" t="s">
        <v>505</v>
      </c>
      <c r="C211" s="1246"/>
      <c r="D211" s="1246"/>
      <c r="E211" s="1298"/>
    </row>
    <row r="212" spans="1:5" ht="15.75" customHeight="1" thickBot="1" x14ac:dyDescent="0.3">
      <c r="A212" s="5" t="s">
        <v>18</v>
      </c>
      <c r="B212" s="1248" t="s">
        <v>506</v>
      </c>
      <c r="C212" s="1249"/>
      <c r="D212" s="1249"/>
      <c r="E212" s="1316"/>
    </row>
    <row r="213" spans="1:5" x14ac:dyDescent="0.25">
      <c r="A213" s="1250"/>
      <c r="B213" s="8">
        <v>2018</v>
      </c>
      <c r="C213" s="8">
        <v>2019</v>
      </c>
      <c r="D213" s="8">
        <v>2020</v>
      </c>
      <c r="E213" s="8">
        <v>2021</v>
      </c>
    </row>
    <row r="214" spans="1:5" ht="12.75" customHeight="1" thickBot="1" x14ac:dyDescent="0.3">
      <c r="A214" s="1251"/>
      <c r="B214" s="9" t="s">
        <v>10</v>
      </c>
      <c r="C214" s="9" t="s">
        <v>11</v>
      </c>
      <c r="D214" s="9" t="s">
        <v>11</v>
      </c>
      <c r="E214" s="9" t="s">
        <v>11</v>
      </c>
    </row>
    <row r="215" spans="1:5" ht="15.75" thickBot="1" x14ac:dyDescent="0.3">
      <c r="A215" s="5" t="s">
        <v>19</v>
      </c>
      <c r="B215" s="10">
        <v>15</v>
      </c>
      <c r="C215" s="10">
        <v>15</v>
      </c>
      <c r="D215" s="10">
        <v>15</v>
      </c>
      <c r="E215" s="10">
        <v>15</v>
      </c>
    </row>
    <row r="216" spans="1:5" ht="15.75" thickBot="1" x14ac:dyDescent="0.3">
      <c r="A216" s="5" t="s">
        <v>20</v>
      </c>
      <c r="B216" s="10">
        <v>6500</v>
      </c>
      <c r="C216" s="10">
        <v>6250</v>
      </c>
      <c r="D216" s="10">
        <v>6250</v>
      </c>
      <c r="E216" s="10">
        <v>6250</v>
      </c>
    </row>
    <row r="217" spans="1:5" ht="15.75" thickBot="1" x14ac:dyDescent="0.3">
      <c r="A217" s="5" t="s">
        <v>21</v>
      </c>
      <c r="B217" s="10">
        <f>B216/B213</f>
        <v>3.2210109018830524</v>
      </c>
      <c r="C217" s="10">
        <f>C216/C213</f>
        <v>3.0955918771669144</v>
      </c>
      <c r="D217" s="10">
        <f>D216/D213</f>
        <v>3.0940594059405941</v>
      </c>
      <c r="E217" s="10">
        <f>E216/E213</f>
        <v>3.0925284512617517</v>
      </c>
    </row>
    <row r="218" spans="1:5" ht="15.75" thickBot="1" x14ac:dyDescent="0.3">
      <c r="A218" s="5" t="s">
        <v>22</v>
      </c>
      <c r="B218" s="151"/>
      <c r="C218" s="11">
        <f>C213/B213-1</f>
        <v>4.9554013875119374E-4</v>
      </c>
      <c r="D218" s="11">
        <f>D213/C213-1</f>
        <v>4.9529470034670453E-4</v>
      </c>
      <c r="E218" s="11">
        <f>E213/D213-1</f>
        <v>4.9504950495049549E-4</v>
      </c>
    </row>
    <row r="219" spans="1:5" ht="15.75" thickBot="1" x14ac:dyDescent="0.3">
      <c r="A219" s="5" t="s">
        <v>24</v>
      </c>
      <c r="B219" s="151"/>
      <c r="C219" s="11">
        <f t="shared" ref="C219:E220" si="7">C216/B216-1</f>
        <v>-3.8461538461538436E-2</v>
      </c>
      <c r="D219" s="11">
        <f t="shared" si="7"/>
        <v>0</v>
      </c>
      <c r="E219" s="11">
        <f t="shared" si="7"/>
        <v>0</v>
      </c>
    </row>
    <row r="220" spans="1:5" ht="15.75" thickBot="1" x14ac:dyDescent="0.3">
      <c r="A220" s="5" t="s">
        <v>25</v>
      </c>
      <c r="B220" s="151"/>
      <c r="C220" s="11">
        <f t="shared" si="7"/>
        <v>-3.893778336571796E-2</v>
      </c>
      <c r="D220" s="11">
        <f t="shared" si="7"/>
        <v>-4.9504950495049549E-4</v>
      </c>
      <c r="E220" s="11">
        <f t="shared" si="7"/>
        <v>-4.9480455220185515E-4</v>
      </c>
    </row>
    <row r="221" spans="1:5" ht="24.75" customHeight="1" thickBot="1" x14ac:dyDescent="0.3">
      <c r="A221" s="1252" t="s">
        <v>634</v>
      </c>
      <c r="B221" s="1253"/>
      <c r="C221" s="1253"/>
      <c r="D221" s="1253"/>
      <c r="E221" s="1300"/>
    </row>
    <row r="222" spans="1:5" ht="12.75" customHeight="1" x14ac:dyDescent="0.25">
      <c r="A222" s="1250"/>
      <c r="B222" s="8">
        <v>2018</v>
      </c>
      <c r="C222" s="8">
        <v>2019</v>
      </c>
      <c r="D222" s="8">
        <v>2020</v>
      </c>
      <c r="E222" s="8">
        <v>2021</v>
      </c>
    </row>
    <row r="223" spans="1:5" ht="9" customHeight="1" thickBot="1" x14ac:dyDescent="0.3">
      <c r="A223" s="1251"/>
      <c r="B223" s="9" t="s">
        <v>10</v>
      </c>
      <c r="C223" s="9" t="s">
        <v>11</v>
      </c>
      <c r="D223" s="9" t="s">
        <v>11</v>
      </c>
      <c r="E223" s="9" t="s">
        <v>11</v>
      </c>
    </row>
    <row r="224" spans="1:5" ht="24.75" customHeight="1" thickBot="1" x14ac:dyDescent="0.3">
      <c r="A224" s="13" t="s">
        <v>26</v>
      </c>
      <c r="B224" s="14">
        <v>1000</v>
      </c>
      <c r="C224" s="14">
        <v>1100</v>
      </c>
      <c r="D224" s="14">
        <v>1100</v>
      </c>
      <c r="E224" s="14">
        <v>1100</v>
      </c>
    </row>
    <row r="225" spans="1:5" ht="24.75" customHeight="1" thickBot="1" x14ac:dyDescent="0.3">
      <c r="A225" s="13" t="s">
        <v>28</v>
      </c>
      <c r="B225" s="14">
        <v>500</v>
      </c>
      <c r="C225" s="14">
        <v>300</v>
      </c>
      <c r="D225" s="14">
        <v>300</v>
      </c>
      <c r="E225" s="14">
        <v>300</v>
      </c>
    </row>
    <row r="226" spans="1:5" ht="24.75" customHeight="1" thickBot="1" x14ac:dyDescent="0.3">
      <c r="A226" s="13" t="s">
        <v>30</v>
      </c>
      <c r="B226" s="15">
        <v>2400</v>
      </c>
      <c r="C226" s="15">
        <v>2750</v>
      </c>
      <c r="D226" s="15">
        <v>2750</v>
      </c>
      <c r="E226" s="15">
        <v>2750</v>
      </c>
    </row>
    <row r="227" spans="1:5" ht="15.75" thickBot="1" x14ac:dyDescent="0.3">
      <c r="A227" s="13" t="s">
        <v>32</v>
      </c>
      <c r="B227" s="15">
        <v>0</v>
      </c>
      <c r="C227" s="15">
        <v>0</v>
      </c>
      <c r="D227" s="15">
        <v>0</v>
      </c>
      <c r="E227" s="15">
        <v>0</v>
      </c>
    </row>
    <row r="228" spans="1:5" ht="15.75" thickBot="1" x14ac:dyDescent="0.3">
      <c r="A228" s="13" t="s">
        <v>34</v>
      </c>
      <c r="B228" s="15">
        <v>0</v>
      </c>
      <c r="C228" s="15">
        <v>0</v>
      </c>
      <c r="D228" s="15">
        <v>0</v>
      </c>
      <c r="E228" s="15">
        <v>0</v>
      </c>
    </row>
    <row r="229" spans="1:5" ht="15.75" thickBot="1" x14ac:dyDescent="0.3">
      <c r="A229" s="13" t="s">
        <v>36</v>
      </c>
      <c r="B229" s="15">
        <v>0</v>
      </c>
      <c r="C229" s="15">
        <v>0</v>
      </c>
      <c r="D229" s="15">
        <v>0</v>
      </c>
      <c r="E229" s="15">
        <v>0</v>
      </c>
    </row>
    <row r="230" spans="1:5" ht="24.75" thickBot="1" x14ac:dyDescent="0.3">
      <c r="A230" s="13" t="s">
        <v>38</v>
      </c>
      <c r="B230" s="15">
        <v>2600</v>
      </c>
      <c r="C230" s="15">
        <v>2100</v>
      </c>
      <c r="D230" s="15">
        <v>2100</v>
      </c>
      <c r="E230" s="15">
        <v>2100</v>
      </c>
    </row>
    <row r="231" spans="1:5" ht="15.75" thickBot="1" x14ac:dyDescent="0.3">
      <c r="A231" s="135" t="s">
        <v>74</v>
      </c>
      <c r="B231" s="15">
        <f>B230+B229+B228+B227+B226+B225+B224</f>
        <v>6500</v>
      </c>
      <c r="C231" s="15">
        <f>C230+C229+C228+C227+C226+C225+C224</f>
        <v>6250</v>
      </c>
      <c r="D231" s="15">
        <f>D230+D229+D228+D227+D226+D225+D224</f>
        <v>6250</v>
      </c>
      <c r="E231" s="15">
        <f>E230+E229+E228+E227+E226+E225+E224</f>
        <v>6250</v>
      </c>
    </row>
    <row r="232" spans="1:5" ht="17.25" customHeight="1" thickBot="1" x14ac:dyDescent="0.3">
      <c r="A232" s="17" t="s">
        <v>41</v>
      </c>
      <c r="B232" s="18">
        <f>IF(B231-B216=0,0,"Error")</f>
        <v>0</v>
      </c>
      <c r="C232" s="18">
        <f>IF(C231-C216=0,0,"Error")</f>
        <v>0</v>
      </c>
      <c r="D232" s="18">
        <f>IF(D231-D216=0,0,"Error")</f>
        <v>0</v>
      </c>
      <c r="E232" s="18">
        <f>IF(E231-E216=0,0,"Error")</f>
        <v>0</v>
      </c>
    </row>
    <row r="233" spans="1:5" ht="17.25" customHeight="1" thickBot="1" x14ac:dyDescent="0.3">
      <c r="A233" s="212"/>
      <c r="B233" s="211"/>
      <c r="C233" s="211"/>
      <c r="D233" s="211"/>
      <c r="E233" s="209"/>
    </row>
    <row r="234" spans="1:5" ht="15.75" thickBot="1" x14ac:dyDescent="0.3">
      <c r="A234" s="1275" t="s">
        <v>63</v>
      </c>
      <c r="B234" s="1276"/>
      <c r="C234" s="1276"/>
      <c r="D234" s="1276"/>
      <c r="E234" s="1317"/>
    </row>
    <row r="235" spans="1:5" ht="15.75" thickBot="1" x14ac:dyDescent="0.3">
      <c r="A235" s="1275" t="s">
        <v>56</v>
      </c>
      <c r="B235" s="1276"/>
      <c r="C235" s="1276"/>
      <c r="D235" s="1276"/>
      <c r="E235" s="1317"/>
    </row>
    <row r="236" spans="1:5" ht="15.75" thickBot="1" x14ac:dyDescent="0.3">
      <c r="A236" s="20" t="s">
        <v>486</v>
      </c>
      <c r="B236" s="1241" t="s">
        <v>487</v>
      </c>
      <c r="C236" s="1242"/>
      <c r="D236" s="1242"/>
      <c r="E236" s="1318"/>
    </row>
    <row r="237" spans="1:5" ht="32.25" customHeight="1" thickBot="1" x14ac:dyDescent="0.3">
      <c r="A237" s="7" t="s">
        <v>16</v>
      </c>
      <c r="B237" s="1330" t="s">
        <v>501</v>
      </c>
      <c r="C237" s="1331"/>
      <c r="D237" s="1331"/>
      <c r="E237" s="1332"/>
    </row>
    <row r="238" spans="1:5" ht="42.75" customHeight="1" thickBot="1" x14ac:dyDescent="0.3">
      <c r="A238" s="5" t="s">
        <v>17</v>
      </c>
      <c r="B238" s="1333" t="s">
        <v>502</v>
      </c>
      <c r="C238" s="1334"/>
      <c r="D238" s="1334"/>
      <c r="E238" s="1335"/>
    </row>
    <row r="239" spans="1:5" ht="15.75" customHeight="1" thickBot="1" x14ac:dyDescent="0.3">
      <c r="A239" s="5" t="s">
        <v>18</v>
      </c>
      <c r="B239" s="1248" t="s">
        <v>503</v>
      </c>
      <c r="C239" s="1249"/>
      <c r="D239" s="1249"/>
      <c r="E239" s="1316"/>
    </row>
    <row r="240" spans="1:5" ht="12.75" customHeight="1" x14ac:dyDescent="0.25">
      <c r="A240" s="1250"/>
      <c r="B240" s="8">
        <v>2018</v>
      </c>
      <c r="C240" s="8">
        <v>2019</v>
      </c>
      <c r="D240" s="8">
        <v>2020</v>
      </c>
      <c r="E240" s="8">
        <v>2021</v>
      </c>
    </row>
    <row r="241" spans="1:9" ht="9" customHeight="1" thickBot="1" x14ac:dyDescent="0.3">
      <c r="A241" s="1251"/>
      <c r="B241" s="9" t="s">
        <v>10</v>
      </c>
      <c r="C241" s="9" t="s">
        <v>11</v>
      </c>
      <c r="D241" s="9" t="s">
        <v>11</v>
      </c>
      <c r="E241" s="9" t="s">
        <v>11</v>
      </c>
    </row>
    <row r="242" spans="1:9" ht="15.75" thickBot="1" x14ac:dyDescent="0.3">
      <c r="A242" s="5" t="s">
        <v>19</v>
      </c>
      <c r="B242" s="10">
        <v>0</v>
      </c>
      <c r="C242" s="60">
        <v>10</v>
      </c>
      <c r="D242" s="60">
        <v>20</v>
      </c>
      <c r="E242" s="60">
        <v>20</v>
      </c>
    </row>
    <row r="243" spans="1:9" ht="15.75" thickBot="1" x14ac:dyDescent="0.3">
      <c r="A243" s="5" t="s">
        <v>20</v>
      </c>
      <c r="B243" s="10">
        <v>0</v>
      </c>
      <c r="C243" s="10">
        <v>100</v>
      </c>
      <c r="D243" s="10">
        <v>100</v>
      </c>
      <c r="E243" s="10">
        <v>100</v>
      </c>
    </row>
    <row r="244" spans="1:9" ht="15.75" thickBot="1" x14ac:dyDescent="0.3">
      <c r="A244" s="5" t="s">
        <v>21</v>
      </c>
      <c r="B244" s="10" t="e">
        <f>B243/B242</f>
        <v>#DIV/0!</v>
      </c>
      <c r="C244" s="10">
        <f>C243/C242</f>
        <v>10</v>
      </c>
      <c r="D244" s="10">
        <f>D243/D242</f>
        <v>5</v>
      </c>
      <c r="E244" s="10">
        <f>E243/E242</f>
        <v>5</v>
      </c>
    </row>
    <row r="245" spans="1:9" ht="15.75" thickBot="1" x14ac:dyDescent="0.3">
      <c r="A245" s="5" t="s">
        <v>22</v>
      </c>
      <c r="B245" s="151" t="s">
        <v>23</v>
      </c>
      <c r="C245" s="11" t="e">
        <f t="shared" ref="C245:E247" si="8">C242/B242-1</f>
        <v>#DIV/0!</v>
      </c>
      <c r="D245" s="11">
        <f t="shared" si="8"/>
        <v>1</v>
      </c>
      <c r="E245" s="11">
        <f t="shared" si="8"/>
        <v>0</v>
      </c>
      <c r="F245" s="12"/>
      <c r="G245" s="12"/>
      <c r="H245" s="12"/>
      <c r="I245" s="12"/>
    </row>
    <row r="246" spans="1:9" ht="15.75" thickBot="1" x14ac:dyDescent="0.3">
      <c r="A246" s="5" t="s">
        <v>24</v>
      </c>
      <c r="B246" s="151" t="s">
        <v>23</v>
      </c>
      <c r="C246" s="11" t="e">
        <f t="shared" si="8"/>
        <v>#DIV/0!</v>
      </c>
      <c r="D246" s="11">
        <f t="shared" si="8"/>
        <v>0</v>
      </c>
      <c r="E246" s="11">
        <f t="shared" si="8"/>
        <v>0</v>
      </c>
    </row>
    <row r="247" spans="1:9" ht="15.75" thickBot="1" x14ac:dyDescent="0.3">
      <c r="A247" s="5" t="s">
        <v>25</v>
      </c>
      <c r="B247" s="151" t="s">
        <v>23</v>
      </c>
      <c r="C247" s="11" t="e">
        <f t="shared" si="8"/>
        <v>#DIV/0!</v>
      </c>
      <c r="D247" s="11">
        <f t="shared" si="8"/>
        <v>-0.5</v>
      </c>
      <c r="E247" s="11">
        <f t="shared" si="8"/>
        <v>0</v>
      </c>
    </row>
    <row r="248" spans="1:9" ht="15.75" thickBot="1" x14ac:dyDescent="0.3">
      <c r="A248" s="1252" t="s">
        <v>633</v>
      </c>
      <c r="B248" s="1253"/>
      <c r="C248" s="1253"/>
      <c r="D248" s="1253"/>
      <c r="E248" s="1300"/>
    </row>
    <row r="249" spans="1:9" ht="12.75" customHeight="1" x14ac:dyDescent="0.25">
      <c r="A249" s="1250"/>
      <c r="B249" s="8">
        <v>2018</v>
      </c>
      <c r="C249" s="8">
        <v>2019</v>
      </c>
      <c r="D249" s="8">
        <v>2020</v>
      </c>
      <c r="E249" s="8">
        <v>2021</v>
      </c>
    </row>
    <row r="250" spans="1:9" ht="9" customHeight="1" thickBot="1" x14ac:dyDescent="0.3">
      <c r="A250" s="1251"/>
      <c r="B250" s="9" t="s">
        <v>10</v>
      </c>
      <c r="C250" s="9" t="s">
        <v>11</v>
      </c>
      <c r="D250" s="9" t="s">
        <v>11</v>
      </c>
      <c r="E250" s="9" t="s">
        <v>11</v>
      </c>
    </row>
    <row r="251" spans="1:9" ht="15.75" thickBot="1" x14ac:dyDescent="0.3">
      <c r="A251" s="13" t="s">
        <v>58</v>
      </c>
      <c r="B251" s="15">
        <v>0</v>
      </c>
      <c r="C251" s="15">
        <v>0</v>
      </c>
      <c r="D251" s="15">
        <v>0</v>
      </c>
      <c r="E251" s="15">
        <v>0</v>
      </c>
    </row>
    <row r="252" spans="1:9" ht="15.75" thickBot="1" x14ac:dyDescent="0.3">
      <c r="A252" s="13" t="s">
        <v>59</v>
      </c>
      <c r="B252" s="15">
        <v>0</v>
      </c>
      <c r="C252" s="14">
        <v>100</v>
      </c>
      <c r="D252" s="14">
        <v>100</v>
      </c>
      <c r="E252" s="14">
        <v>100</v>
      </c>
    </row>
    <row r="253" spans="1:9" ht="15.75" thickBot="1" x14ac:dyDescent="0.3">
      <c r="A253" s="16" t="s">
        <v>40</v>
      </c>
      <c r="B253" s="15">
        <f>B252+B251</f>
        <v>0</v>
      </c>
      <c r="C253" s="15">
        <f>C252+C251</f>
        <v>100</v>
      </c>
      <c r="D253" s="15">
        <f>D252+D251</f>
        <v>100</v>
      </c>
      <c r="E253" s="15">
        <f>E252+E251</f>
        <v>100</v>
      </c>
    </row>
    <row r="254" spans="1:9" x14ac:dyDescent="0.25">
      <c r="A254" s="1254" t="s">
        <v>60</v>
      </c>
      <c r="B254" s="1322"/>
      <c r="C254" s="1289"/>
      <c r="D254" s="1289"/>
      <c r="E254" s="1290"/>
    </row>
    <row r="255" spans="1:9" x14ac:dyDescent="0.25">
      <c r="A255" s="1255"/>
      <c r="B255" s="1291"/>
      <c r="C255" s="1292"/>
      <c r="D255" s="1292"/>
      <c r="E255" s="1293"/>
    </row>
    <row r="256" spans="1:9" ht="15.75" thickBot="1" x14ac:dyDescent="0.3">
      <c r="A256" s="1256"/>
      <c r="B256" s="1294"/>
      <c r="C256" s="1295"/>
      <c r="D256" s="1295"/>
      <c r="E256" s="1296"/>
    </row>
    <row r="257" spans="1:9" ht="15.75" thickBot="1" x14ac:dyDescent="0.3">
      <c r="A257" s="208"/>
      <c r="B257" s="207"/>
      <c r="C257" s="206"/>
      <c r="D257" s="206"/>
      <c r="E257" s="205"/>
    </row>
    <row r="258" spans="1:9" ht="15.75" thickBot="1" x14ac:dyDescent="0.3">
      <c r="A258" s="20" t="s">
        <v>484</v>
      </c>
      <c r="B258" s="1241" t="s">
        <v>485</v>
      </c>
      <c r="C258" s="1242"/>
      <c r="D258" s="1242"/>
      <c r="E258" s="1318"/>
    </row>
    <row r="259" spans="1:9" ht="15.75" customHeight="1" thickBot="1" x14ac:dyDescent="0.3">
      <c r="A259" s="7" t="s">
        <v>42</v>
      </c>
      <c r="B259" s="1243" t="s">
        <v>504</v>
      </c>
      <c r="C259" s="1244"/>
      <c r="D259" s="1244"/>
      <c r="E259" s="1315"/>
    </row>
    <row r="260" spans="1:9" ht="43.5" customHeight="1" thickBot="1" x14ac:dyDescent="0.3">
      <c r="A260" s="5" t="s">
        <v>17</v>
      </c>
      <c r="B260" s="1245" t="s">
        <v>505</v>
      </c>
      <c r="C260" s="1246"/>
      <c r="D260" s="1246"/>
      <c r="E260" s="1298"/>
    </row>
    <row r="261" spans="1:9" ht="15.75" customHeight="1" thickBot="1" x14ac:dyDescent="0.3">
      <c r="A261" s="5" t="s">
        <v>18</v>
      </c>
      <c r="B261" s="1248" t="s">
        <v>506</v>
      </c>
      <c r="C261" s="1249"/>
      <c r="D261" s="1249"/>
      <c r="E261" s="1316"/>
    </row>
    <row r="262" spans="1:9" ht="12.75" customHeight="1" x14ac:dyDescent="0.25">
      <c r="A262" s="1250"/>
      <c r="B262" s="8">
        <v>2018</v>
      </c>
      <c r="C262" s="8">
        <v>2019</v>
      </c>
      <c r="D262" s="8">
        <v>2020</v>
      </c>
      <c r="E262" s="8">
        <v>2021</v>
      </c>
    </row>
    <row r="263" spans="1:9" ht="9" customHeight="1" thickBot="1" x14ac:dyDescent="0.3">
      <c r="A263" s="1251"/>
      <c r="B263" s="9" t="s">
        <v>10</v>
      </c>
      <c r="C263" s="9" t="s">
        <v>11</v>
      </c>
      <c r="D263" s="9" t="s">
        <v>11</v>
      </c>
      <c r="E263" s="9" t="s">
        <v>11</v>
      </c>
    </row>
    <row r="264" spans="1:9" ht="15.75" thickBot="1" x14ac:dyDescent="0.3">
      <c r="A264" s="5" t="s">
        <v>19</v>
      </c>
      <c r="B264" s="10"/>
      <c r="C264" s="10">
        <v>15</v>
      </c>
      <c r="D264" s="10">
        <v>15</v>
      </c>
      <c r="E264" s="10">
        <v>15</v>
      </c>
    </row>
    <row r="265" spans="1:9" ht="15.75" thickBot="1" x14ac:dyDescent="0.3">
      <c r="A265" s="5" t="s">
        <v>20</v>
      </c>
      <c r="B265" s="10"/>
      <c r="C265" s="10">
        <v>100</v>
      </c>
      <c r="D265" s="10">
        <v>300</v>
      </c>
      <c r="E265" s="10">
        <v>300</v>
      </c>
    </row>
    <row r="266" spans="1:9" ht="15.75" thickBot="1" x14ac:dyDescent="0.3">
      <c r="A266" s="5" t="s">
        <v>21</v>
      </c>
      <c r="B266" s="10" t="e">
        <f>B265/B264</f>
        <v>#DIV/0!</v>
      </c>
      <c r="C266" s="10">
        <f>C265/C264</f>
        <v>6.666666666666667</v>
      </c>
      <c r="D266" s="10">
        <f>D265/D264</f>
        <v>20</v>
      </c>
      <c r="E266" s="10">
        <f>E265/E264</f>
        <v>20</v>
      </c>
    </row>
    <row r="267" spans="1:9" ht="15.75" thickBot="1" x14ac:dyDescent="0.3">
      <c r="A267" s="5" t="s">
        <v>22</v>
      </c>
      <c r="B267" s="151" t="s">
        <v>23</v>
      </c>
      <c r="C267" s="11" t="e">
        <f t="shared" ref="C267:E269" si="9">C264/B264-1</f>
        <v>#DIV/0!</v>
      </c>
      <c r="D267" s="11">
        <f t="shared" si="9"/>
        <v>0</v>
      </c>
      <c r="E267" s="11">
        <f t="shared" si="9"/>
        <v>0</v>
      </c>
      <c r="F267" s="12"/>
      <c r="G267" s="12"/>
      <c r="H267" s="12"/>
      <c r="I267" s="12"/>
    </row>
    <row r="268" spans="1:9" ht="15.75" thickBot="1" x14ac:dyDescent="0.3">
      <c r="A268" s="5" t="s">
        <v>24</v>
      </c>
      <c r="B268" s="151" t="s">
        <v>23</v>
      </c>
      <c r="C268" s="11" t="e">
        <f t="shared" si="9"/>
        <v>#DIV/0!</v>
      </c>
      <c r="D268" s="11">
        <f t="shared" si="9"/>
        <v>2</v>
      </c>
      <c r="E268" s="11">
        <f t="shared" si="9"/>
        <v>0</v>
      </c>
    </row>
    <row r="269" spans="1:9" ht="15.75" thickBot="1" x14ac:dyDescent="0.3">
      <c r="A269" s="5" t="s">
        <v>25</v>
      </c>
      <c r="B269" s="151" t="s">
        <v>23</v>
      </c>
      <c r="C269" s="11" t="e">
        <f t="shared" si="9"/>
        <v>#DIV/0!</v>
      </c>
      <c r="D269" s="11">
        <f t="shared" si="9"/>
        <v>2</v>
      </c>
      <c r="E269" s="11">
        <f t="shared" si="9"/>
        <v>0</v>
      </c>
    </row>
    <row r="270" spans="1:9" ht="15.75" thickBot="1" x14ac:dyDescent="0.3">
      <c r="A270" s="1252" t="s">
        <v>884</v>
      </c>
      <c r="B270" s="1253"/>
      <c r="C270" s="1253"/>
      <c r="D270" s="1253"/>
      <c r="E270" s="1300"/>
    </row>
    <row r="271" spans="1:9" ht="12.75" customHeight="1" x14ac:dyDescent="0.25">
      <c r="A271" s="1250"/>
      <c r="B271" s="8">
        <v>2018</v>
      </c>
      <c r="C271" s="8">
        <v>2019</v>
      </c>
      <c r="D271" s="8">
        <v>2020</v>
      </c>
      <c r="E271" s="8">
        <v>2021</v>
      </c>
    </row>
    <row r="272" spans="1:9" ht="9" customHeight="1" thickBot="1" x14ac:dyDescent="0.3">
      <c r="A272" s="1251"/>
      <c r="B272" s="9" t="s">
        <v>10</v>
      </c>
      <c r="C272" s="9" t="s">
        <v>11</v>
      </c>
      <c r="D272" s="9" t="s">
        <v>11</v>
      </c>
      <c r="E272" s="9" t="s">
        <v>11</v>
      </c>
    </row>
    <row r="273" spans="1:5" ht="15.75" thickBot="1" x14ac:dyDescent="0.3">
      <c r="A273" s="13" t="s">
        <v>58</v>
      </c>
      <c r="B273" s="15">
        <v>0</v>
      </c>
      <c r="C273" s="15">
        <v>0</v>
      </c>
      <c r="D273" s="15">
        <v>0</v>
      </c>
      <c r="E273" s="15">
        <v>0</v>
      </c>
    </row>
    <row r="274" spans="1:5" ht="15.75" thickBot="1" x14ac:dyDescent="0.3">
      <c r="A274" s="13" t="s">
        <v>59</v>
      </c>
      <c r="B274" s="10">
        <v>0</v>
      </c>
      <c r="C274" s="10">
        <v>100</v>
      </c>
      <c r="D274" s="10">
        <v>300</v>
      </c>
      <c r="E274" s="10">
        <v>300</v>
      </c>
    </row>
    <row r="275" spans="1:5" ht="15.75" thickBot="1" x14ac:dyDescent="0.3">
      <c r="A275" s="16" t="s">
        <v>43</v>
      </c>
      <c r="B275" s="15">
        <f>B274+B273</f>
        <v>0</v>
      </c>
      <c r="C275" s="15">
        <f>C274+C273</f>
        <v>100</v>
      </c>
      <c r="D275" s="15">
        <f>D274+D273</f>
        <v>300</v>
      </c>
      <c r="E275" s="15">
        <f>E274+E273</f>
        <v>300</v>
      </c>
    </row>
    <row r="276" spans="1:5" ht="15.75" thickBot="1" x14ac:dyDescent="0.3">
      <c r="A276" s="204"/>
      <c r="B276" s="203"/>
      <c r="C276" s="203"/>
      <c r="D276" s="203"/>
      <c r="E276" s="202"/>
    </row>
    <row r="277" spans="1:5" ht="15.75" customHeight="1" thickBot="1" x14ac:dyDescent="0.3">
      <c r="A277" s="21" t="s">
        <v>78</v>
      </c>
      <c r="B277" s="1351" t="s">
        <v>507</v>
      </c>
      <c r="C277" s="1352"/>
      <c r="D277" s="1352"/>
      <c r="E277" s="1353"/>
    </row>
    <row r="278" spans="1:5" ht="15.75" customHeight="1" thickBot="1" x14ac:dyDescent="0.3">
      <c r="A278" s="1245" t="s">
        <v>158</v>
      </c>
      <c r="B278" s="1246"/>
      <c r="C278" s="1246"/>
      <c r="D278" s="1246"/>
      <c r="E278" s="1298"/>
    </row>
    <row r="279" spans="1:5" ht="68.25" thickBot="1" x14ac:dyDescent="0.3">
      <c r="A279" s="150" t="s">
        <v>508</v>
      </c>
      <c r="B279" s="4"/>
      <c r="C279" s="4"/>
      <c r="D279" s="4"/>
      <c r="E279" s="4"/>
    </row>
    <row r="280" spans="1:5" ht="15.75" customHeight="1" thickBot="1" x14ac:dyDescent="0.3">
      <c r="A280" s="5" t="s">
        <v>509</v>
      </c>
      <c r="B280" s="4"/>
      <c r="C280" s="4"/>
      <c r="D280" s="4"/>
      <c r="E280" s="4"/>
    </row>
    <row r="281" spans="1:5" ht="23.25" customHeight="1" thickBot="1" x14ac:dyDescent="0.3">
      <c r="A281" s="5" t="s">
        <v>510</v>
      </c>
      <c r="B281" s="4"/>
      <c r="C281" s="4"/>
      <c r="D281" s="4"/>
      <c r="E281" s="4"/>
    </row>
    <row r="282" spans="1:5" ht="23.25" customHeight="1" thickBot="1" x14ac:dyDescent="0.3">
      <c r="A282" s="1278" t="s">
        <v>205</v>
      </c>
      <c r="B282" s="1279"/>
      <c r="C282" s="1279"/>
      <c r="D282" s="1279"/>
      <c r="E282" s="1355"/>
    </row>
    <row r="283" spans="1:5" ht="23.25" customHeight="1" thickBot="1" x14ac:dyDescent="0.3">
      <c r="A283" s="1280" t="s">
        <v>70</v>
      </c>
      <c r="B283" s="1281"/>
      <c r="C283" s="1281"/>
      <c r="D283" s="1281"/>
      <c r="E283" s="1354"/>
    </row>
    <row r="284" spans="1:5" ht="12.75" customHeight="1" x14ac:dyDescent="0.25">
      <c r="A284" s="1250"/>
      <c r="B284" s="8">
        <v>2018</v>
      </c>
      <c r="C284" s="8">
        <v>2019</v>
      </c>
      <c r="D284" s="8">
        <v>2020</v>
      </c>
      <c r="E284" s="8">
        <v>2021</v>
      </c>
    </row>
    <row r="285" spans="1:5" ht="9" customHeight="1" thickBot="1" x14ac:dyDescent="0.3">
      <c r="A285" s="1251"/>
      <c r="B285" s="9" t="s">
        <v>10</v>
      </c>
      <c r="C285" s="9" t="s">
        <v>11</v>
      </c>
      <c r="D285" s="9" t="s">
        <v>11</v>
      </c>
      <c r="E285" s="9" t="s">
        <v>11</v>
      </c>
    </row>
    <row r="286" spans="1:5" ht="26.25" customHeight="1" thickBot="1" x14ac:dyDescent="0.3">
      <c r="A286" s="7" t="s">
        <v>16</v>
      </c>
      <c r="B286" s="1243" t="s">
        <v>511</v>
      </c>
      <c r="C286" s="1244"/>
      <c r="D286" s="1244"/>
      <c r="E286" s="1315"/>
    </row>
    <row r="287" spans="1:5" ht="72.75" customHeight="1" thickBot="1" x14ac:dyDescent="0.3">
      <c r="A287" s="5" t="s">
        <v>17</v>
      </c>
      <c r="B287" s="1333" t="s">
        <v>512</v>
      </c>
      <c r="C287" s="1334"/>
      <c r="D287" s="1334"/>
      <c r="E287" s="1335"/>
    </row>
    <row r="288" spans="1:5" ht="15.75" customHeight="1" thickBot="1" x14ac:dyDescent="0.3">
      <c r="A288" s="5" t="s">
        <v>18</v>
      </c>
      <c r="B288" s="1248" t="s">
        <v>513</v>
      </c>
      <c r="C288" s="1249"/>
      <c r="D288" s="1249"/>
      <c r="E288" s="1316"/>
    </row>
    <row r="289" spans="1:5" ht="12.75" customHeight="1" x14ac:dyDescent="0.25">
      <c r="A289" s="1250"/>
      <c r="B289" s="8">
        <v>2018</v>
      </c>
      <c r="C289" s="8">
        <v>2019</v>
      </c>
      <c r="D289" s="8">
        <v>2020</v>
      </c>
      <c r="E289" s="8">
        <v>2021</v>
      </c>
    </row>
    <row r="290" spans="1:5" ht="9" customHeight="1" thickBot="1" x14ac:dyDescent="0.3">
      <c r="A290" s="1251"/>
      <c r="B290" s="9" t="s">
        <v>10</v>
      </c>
      <c r="C290" s="9" t="s">
        <v>11</v>
      </c>
      <c r="D290" s="9" t="s">
        <v>11</v>
      </c>
      <c r="E290" s="9" t="s">
        <v>11</v>
      </c>
    </row>
    <row r="291" spans="1:5" ht="15.75" customHeight="1" thickBot="1" x14ac:dyDescent="0.3">
      <c r="A291" s="5" t="s">
        <v>19</v>
      </c>
      <c r="B291" s="10">
        <v>28</v>
      </c>
      <c r="C291" s="60">
        <v>30</v>
      </c>
      <c r="D291" s="60">
        <v>30</v>
      </c>
      <c r="E291" s="60">
        <v>30</v>
      </c>
    </row>
    <row r="292" spans="1:5" ht="15.75" thickBot="1" x14ac:dyDescent="0.3">
      <c r="A292" s="5" t="s">
        <v>20</v>
      </c>
      <c r="B292" s="10">
        <v>16050</v>
      </c>
      <c r="C292" s="10">
        <v>19250</v>
      </c>
      <c r="D292" s="10">
        <v>19250</v>
      </c>
      <c r="E292" s="10">
        <v>19250</v>
      </c>
    </row>
    <row r="293" spans="1:5" ht="15.75" thickBot="1" x14ac:dyDescent="0.3">
      <c r="A293" s="5" t="s">
        <v>21</v>
      </c>
      <c r="B293" s="10">
        <f>B292/B291</f>
        <v>573.21428571428567</v>
      </c>
      <c r="C293" s="10">
        <f>C292/C291</f>
        <v>641.66666666666663</v>
      </c>
      <c r="D293" s="10">
        <f>D292/D291</f>
        <v>641.66666666666663</v>
      </c>
      <c r="E293" s="10">
        <f>E292/E291</f>
        <v>641.66666666666663</v>
      </c>
    </row>
    <row r="294" spans="1:5" ht="15.75" thickBot="1" x14ac:dyDescent="0.3">
      <c r="A294" s="5" t="s">
        <v>22</v>
      </c>
      <c r="B294" s="151"/>
      <c r="C294" s="11">
        <f t="shared" ref="C294:E296" si="10">C291/B291-1</f>
        <v>7.1428571428571397E-2</v>
      </c>
      <c r="D294" s="11">
        <f t="shared" si="10"/>
        <v>0</v>
      </c>
      <c r="E294" s="11">
        <f t="shared" si="10"/>
        <v>0</v>
      </c>
    </row>
    <row r="295" spans="1:5" ht="15.75" thickBot="1" x14ac:dyDescent="0.3">
      <c r="A295" s="5" t="s">
        <v>24</v>
      </c>
      <c r="B295" s="151"/>
      <c r="C295" s="11">
        <f t="shared" si="10"/>
        <v>0.19937694704049846</v>
      </c>
      <c r="D295" s="11">
        <f t="shared" si="10"/>
        <v>0</v>
      </c>
      <c r="E295" s="11">
        <f t="shared" si="10"/>
        <v>0</v>
      </c>
    </row>
    <row r="296" spans="1:5" ht="15.75" thickBot="1" x14ac:dyDescent="0.3">
      <c r="A296" s="5" t="s">
        <v>25</v>
      </c>
      <c r="B296" s="151"/>
      <c r="C296" s="11">
        <f t="shared" si="10"/>
        <v>0.11941848390446519</v>
      </c>
      <c r="D296" s="11">
        <f t="shared" si="10"/>
        <v>0</v>
      </c>
      <c r="E296" s="11">
        <f t="shared" si="10"/>
        <v>0</v>
      </c>
    </row>
    <row r="297" spans="1:5" ht="12.75" customHeight="1" x14ac:dyDescent="0.25">
      <c r="A297" s="1250"/>
      <c r="B297" s="8">
        <v>2018</v>
      </c>
      <c r="C297" s="8">
        <v>2019</v>
      </c>
      <c r="D297" s="8">
        <v>2020</v>
      </c>
      <c r="E297" s="8">
        <v>2021</v>
      </c>
    </row>
    <row r="298" spans="1:5" ht="9" customHeight="1" thickBot="1" x14ac:dyDescent="0.3">
      <c r="A298" s="1251"/>
      <c r="B298" s="9" t="s">
        <v>10</v>
      </c>
      <c r="C298" s="9" t="s">
        <v>11</v>
      </c>
      <c r="D298" s="9" t="s">
        <v>11</v>
      </c>
      <c r="E298" s="9" t="s">
        <v>11</v>
      </c>
    </row>
    <row r="299" spans="1:5" ht="15.75" thickBot="1" x14ac:dyDescent="0.3">
      <c r="A299" s="1252" t="s">
        <v>636</v>
      </c>
      <c r="B299" s="1253"/>
      <c r="C299" s="1253"/>
      <c r="D299" s="1253"/>
      <c r="E299" s="1300"/>
    </row>
    <row r="300" spans="1:5" ht="12.75" customHeight="1" x14ac:dyDescent="0.25">
      <c r="A300" s="1250"/>
      <c r="B300" s="8">
        <v>2018</v>
      </c>
      <c r="C300" s="8">
        <v>2019</v>
      </c>
      <c r="D300" s="8">
        <v>2020</v>
      </c>
      <c r="E300" s="8">
        <v>2021</v>
      </c>
    </row>
    <row r="301" spans="1:5" ht="15.75" thickBot="1" x14ac:dyDescent="0.3">
      <c r="A301" s="1251"/>
      <c r="B301" s="9" t="s">
        <v>10</v>
      </c>
      <c r="C301" s="9" t="s">
        <v>11</v>
      </c>
      <c r="D301" s="9" t="s">
        <v>11</v>
      </c>
      <c r="E301" s="9" t="s">
        <v>11</v>
      </c>
    </row>
    <row r="302" spans="1:5" ht="15.75" thickBot="1" x14ac:dyDescent="0.3">
      <c r="A302" s="13" t="s">
        <v>26</v>
      </c>
      <c r="B302" s="14">
        <v>3500</v>
      </c>
      <c r="C302" s="14">
        <v>3200</v>
      </c>
      <c r="D302" s="14">
        <v>3200</v>
      </c>
      <c r="E302" s="14">
        <v>3200</v>
      </c>
    </row>
    <row r="303" spans="1:5" ht="24.75" thickBot="1" x14ac:dyDescent="0.3">
      <c r="A303" s="13" t="s">
        <v>28</v>
      </c>
      <c r="B303" s="14">
        <v>800</v>
      </c>
      <c r="C303" s="14">
        <v>750</v>
      </c>
      <c r="D303" s="14">
        <v>750</v>
      </c>
      <c r="E303" s="14">
        <v>750</v>
      </c>
    </row>
    <row r="304" spans="1:5" ht="15.75" thickBot="1" x14ac:dyDescent="0.3">
      <c r="A304" s="13" t="s">
        <v>30</v>
      </c>
      <c r="B304" s="15">
        <v>9150</v>
      </c>
      <c r="C304" s="15">
        <v>9800</v>
      </c>
      <c r="D304" s="15">
        <v>9800</v>
      </c>
      <c r="E304" s="15">
        <v>9800</v>
      </c>
    </row>
    <row r="305" spans="1:5" ht="15.75" thickBot="1" x14ac:dyDescent="0.3">
      <c r="A305" s="13" t="s">
        <v>32</v>
      </c>
      <c r="B305" s="15">
        <v>0</v>
      </c>
      <c r="C305" s="15">
        <v>0</v>
      </c>
      <c r="D305" s="15">
        <v>0</v>
      </c>
      <c r="E305" s="15">
        <v>0</v>
      </c>
    </row>
    <row r="306" spans="1:5" ht="15.75" thickBot="1" x14ac:dyDescent="0.3">
      <c r="A306" s="13" t="s">
        <v>34</v>
      </c>
      <c r="B306" s="15">
        <v>0</v>
      </c>
      <c r="C306" s="15">
        <v>0</v>
      </c>
      <c r="D306" s="15">
        <v>0</v>
      </c>
      <c r="E306" s="15">
        <v>0</v>
      </c>
    </row>
    <row r="307" spans="1:5" ht="15.75" thickBot="1" x14ac:dyDescent="0.3">
      <c r="A307" s="13" t="s">
        <v>36</v>
      </c>
      <c r="B307" s="15">
        <v>0</v>
      </c>
      <c r="C307" s="15">
        <v>0</v>
      </c>
      <c r="D307" s="15">
        <v>0</v>
      </c>
      <c r="E307" s="15">
        <v>0</v>
      </c>
    </row>
    <row r="308" spans="1:5" ht="24.75" thickBot="1" x14ac:dyDescent="0.3">
      <c r="A308" s="13" t="s">
        <v>38</v>
      </c>
      <c r="B308" s="15">
        <v>2600</v>
      </c>
      <c r="C308" s="15">
        <v>5500</v>
      </c>
      <c r="D308" s="15">
        <v>5500</v>
      </c>
      <c r="E308" s="15">
        <v>5500</v>
      </c>
    </row>
    <row r="309" spans="1:5" ht="24.75" thickBot="1" x14ac:dyDescent="0.3">
      <c r="A309" s="137" t="s">
        <v>71</v>
      </c>
      <c r="B309" s="138">
        <f>B308+B307+B306+B305+B304+B303+B302</f>
        <v>16050</v>
      </c>
      <c r="C309" s="138">
        <f>C308+C307+C306+C305+C304+C303+C302</f>
        <v>19250</v>
      </c>
      <c r="D309" s="138">
        <f>D308+D307+D306+D305+D304+D303+D302</f>
        <v>19250</v>
      </c>
      <c r="E309" s="138">
        <f>E308+E307+E306+E305+E304+E303+E302</f>
        <v>19250</v>
      </c>
    </row>
    <row r="310" spans="1:5" ht="15.75" thickBot="1" x14ac:dyDescent="0.3">
      <c r="A310" s="17" t="s">
        <v>41</v>
      </c>
      <c r="B310" s="18">
        <f>IF(B309-B292=0,0,"Error")</f>
        <v>0</v>
      </c>
      <c r="C310" s="18">
        <f>IF(C309-C292=0,0,"Error")</f>
        <v>0</v>
      </c>
      <c r="D310" s="18">
        <f>IF(D309-D292=0,0,"Error")</f>
        <v>0</v>
      </c>
      <c r="E310" s="18">
        <f>IF(E309-E292=0,0,"Error")</f>
        <v>0</v>
      </c>
    </row>
    <row r="311" spans="1:5" ht="15.75" thickBot="1" x14ac:dyDescent="0.3">
      <c r="A311" s="210"/>
      <c r="B311" s="209"/>
      <c r="C311" s="209"/>
      <c r="D311" s="209"/>
      <c r="E311" s="209"/>
    </row>
    <row r="312" spans="1:5" ht="15.75" thickBot="1" x14ac:dyDescent="0.3">
      <c r="A312" s="1275" t="s">
        <v>63</v>
      </c>
      <c r="B312" s="1276"/>
      <c r="C312" s="1276"/>
      <c r="D312" s="1276"/>
      <c r="E312" s="1317"/>
    </row>
    <row r="313" spans="1:5" ht="15.75" thickBot="1" x14ac:dyDescent="0.3">
      <c r="A313" s="1275" t="s">
        <v>56</v>
      </c>
      <c r="B313" s="1276"/>
      <c r="C313" s="1276"/>
      <c r="D313" s="1276"/>
      <c r="E313" s="1317"/>
    </row>
    <row r="314" spans="1:5" ht="15.75" thickBot="1" x14ac:dyDescent="0.3">
      <c r="A314" s="20" t="s">
        <v>495</v>
      </c>
      <c r="B314" s="1241" t="s">
        <v>496</v>
      </c>
      <c r="C314" s="1242"/>
      <c r="D314" s="1242"/>
      <c r="E314" s="1318"/>
    </row>
    <row r="315" spans="1:5" ht="15.75" thickBot="1" x14ac:dyDescent="0.3">
      <c r="A315" s="7" t="s">
        <v>16</v>
      </c>
      <c r="B315" s="1243" t="s">
        <v>511</v>
      </c>
      <c r="C315" s="1244"/>
      <c r="D315" s="1244"/>
      <c r="E315" s="1315"/>
    </row>
    <row r="316" spans="1:5" ht="76.5" customHeight="1" thickBot="1" x14ac:dyDescent="0.3">
      <c r="A316" s="5" t="s">
        <v>17</v>
      </c>
      <c r="B316" s="1333" t="s">
        <v>512</v>
      </c>
      <c r="C316" s="1334"/>
      <c r="D316" s="1334"/>
      <c r="E316" s="1335"/>
    </row>
    <row r="317" spans="1:5" ht="15.75" thickBot="1" x14ac:dyDescent="0.3">
      <c r="A317" s="5" t="s">
        <v>18</v>
      </c>
      <c r="B317" s="1248" t="s">
        <v>513</v>
      </c>
      <c r="C317" s="1249"/>
      <c r="D317" s="1249"/>
      <c r="E317" s="1316"/>
    </row>
    <row r="318" spans="1:5" ht="12.75" customHeight="1" x14ac:dyDescent="0.25">
      <c r="A318" s="1250"/>
      <c r="B318" s="8">
        <v>2018</v>
      </c>
      <c r="C318" s="8">
        <v>2019</v>
      </c>
      <c r="D318" s="8">
        <v>2020</v>
      </c>
      <c r="E318" s="8">
        <v>2021</v>
      </c>
    </row>
    <row r="319" spans="1:5" ht="9" customHeight="1" thickBot="1" x14ac:dyDescent="0.3">
      <c r="A319" s="1251"/>
      <c r="B319" s="9" t="s">
        <v>10</v>
      </c>
      <c r="C319" s="9" t="s">
        <v>11</v>
      </c>
      <c r="D319" s="9" t="s">
        <v>11</v>
      </c>
      <c r="E319" s="9" t="s">
        <v>11</v>
      </c>
    </row>
    <row r="320" spans="1:5" ht="15.75" thickBot="1" x14ac:dyDescent="0.3">
      <c r="A320" s="5" t="s">
        <v>19</v>
      </c>
      <c r="B320" s="10"/>
      <c r="C320" s="60">
        <v>15</v>
      </c>
      <c r="D320" s="60">
        <v>30</v>
      </c>
      <c r="E320" s="60">
        <v>30</v>
      </c>
    </row>
    <row r="321" spans="1:9" ht="15.75" thickBot="1" x14ac:dyDescent="0.3">
      <c r="A321" s="5" t="s">
        <v>20</v>
      </c>
      <c r="B321" s="10"/>
      <c r="C321" s="10">
        <v>100</v>
      </c>
      <c r="D321" s="10">
        <v>100</v>
      </c>
      <c r="E321" s="10">
        <v>100</v>
      </c>
    </row>
    <row r="322" spans="1:9" ht="15.75" thickBot="1" x14ac:dyDescent="0.3">
      <c r="A322" s="5" t="s">
        <v>21</v>
      </c>
      <c r="B322" s="10" t="e">
        <f>B321/B320</f>
        <v>#DIV/0!</v>
      </c>
      <c r="C322" s="10">
        <f>C321/C320</f>
        <v>6.666666666666667</v>
      </c>
      <c r="D322" s="10">
        <f>D321/D320</f>
        <v>3.3333333333333335</v>
      </c>
      <c r="E322" s="10">
        <f>E321/E320</f>
        <v>3.3333333333333335</v>
      </c>
    </row>
    <row r="323" spans="1:9" ht="15.75" thickBot="1" x14ac:dyDescent="0.3">
      <c r="A323" s="5" t="s">
        <v>22</v>
      </c>
      <c r="B323" s="151" t="s">
        <v>23</v>
      </c>
      <c r="C323" s="11" t="e">
        <f t="shared" ref="C323:E325" si="11">C320/B320-1</f>
        <v>#DIV/0!</v>
      </c>
      <c r="D323" s="11">
        <f t="shared" si="11"/>
        <v>1</v>
      </c>
      <c r="E323" s="11">
        <f t="shared" si="11"/>
        <v>0</v>
      </c>
      <c r="F323" s="12"/>
      <c r="G323" s="12"/>
      <c r="H323" s="12"/>
      <c r="I323" s="12"/>
    </row>
    <row r="324" spans="1:9" ht="15.75" thickBot="1" x14ac:dyDescent="0.3">
      <c r="A324" s="5" t="s">
        <v>24</v>
      </c>
      <c r="B324" s="151" t="s">
        <v>23</v>
      </c>
      <c r="C324" s="11" t="e">
        <f t="shared" si="11"/>
        <v>#DIV/0!</v>
      </c>
      <c r="D324" s="11">
        <f t="shared" si="11"/>
        <v>0</v>
      </c>
      <c r="E324" s="11">
        <f t="shared" si="11"/>
        <v>0</v>
      </c>
    </row>
    <row r="325" spans="1:9" ht="15.75" thickBot="1" x14ac:dyDescent="0.3">
      <c r="A325" s="5" t="s">
        <v>25</v>
      </c>
      <c r="B325" s="151" t="s">
        <v>23</v>
      </c>
      <c r="C325" s="11" t="e">
        <f t="shared" si="11"/>
        <v>#DIV/0!</v>
      </c>
      <c r="D325" s="11">
        <f t="shared" si="11"/>
        <v>-0.5</v>
      </c>
      <c r="E325" s="11">
        <f t="shared" si="11"/>
        <v>0</v>
      </c>
    </row>
    <row r="326" spans="1:9" ht="15.75" thickBot="1" x14ac:dyDescent="0.3">
      <c r="A326" s="1252" t="s">
        <v>633</v>
      </c>
      <c r="B326" s="1253"/>
      <c r="C326" s="1253"/>
      <c r="D326" s="1253"/>
      <c r="E326" s="1300"/>
    </row>
    <row r="327" spans="1:9" ht="12.75" customHeight="1" x14ac:dyDescent="0.25">
      <c r="A327" s="1250"/>
      <c r="B327" s="8">
        <v>2018</v>
      </c>
      <c r="C327" s="8">
        <v>2019</v>
      </c>
      <c r="D327" s="8">
        <v>2020</v>
      </c>
      <c r="E327" s="8">
        <v>2021</v>
      </c>
    </row>
    <row r="328" spans="1:9" ht="15.75" thickBot="1" x14ac:dyDescent="0.3">
      <c r="A328" s="1251"/>
      <c r="B328" s="9" t="s">
        <v>10</v>
      </c>
      <c r="C328" s="9" t="s">
        <v>11</v>
      </c>
      <c r="D328" s="9" t="s">
        <v>11</v>
      </c>
      <c r="E328" s="9" t="s">
        <v>11</v>
      </c>
    </row>
    <row r="329" spans="1:9" ht="15.75" thickBot="1" x14ac:dyDescent="0.3">
      <c r="A329" s="13" t="s">
        <v>58</v>
      </c>
      <c r="B329" s="15">
        <v>0</v>
      </c>
      <c r="C329" s="15">
        <v>0</v>
      </c>
      <c r="D329" s="15">
        <v>0</v>
      </c>
      <c r="E329" s="15">
        <v>0</v>
      </c>
    </row>
    <row r="330" spans="1:9" ht="15.75" thickBot="1" x14ac:dyDescent="0.3">
      <c r="A330" s="13" t="s">
        <v>59</v>
      </c>
      <c r="B330" s="15">
        <v>0</v>
      </c>
      <c r="C330" s="14">
        <v>100</v>
      </c>
      <c r="D330" s="10">
        <v>100</v>
      </c>
      <c r="E330" s="10">
        <v>100</v>
      </c>
    </row>
    <row r="331" spans="1:9" ht="15.75" thickBot="1" x14ac:dyDescent="0.3">
      <c r="A331" s="16" t="s">
        <v>40</v>
      </c>
      <c r="B331" s="15">
        <f>B330+B329</f>
        <v>0</v>
      </c>
      <c r="C331" s="15">
        <f>C330+C329</f>
        <v>100</v>
      </c>
      <c r="D331" s="15">
        <f>D330+D329</f>
        <v>100</v>
      </c>
      <c r="E331" s="15">
        <f>E330+E329</f>
        <v>100</v>
      </c>
    </row>
    <row r="332" spans="1:9" ht="15.75" thickBot="1" x14ac:dyDescent="0.3">
      <c r="A332" s="204"/>
      <c r="B332" s="218"/>
      <c r="C332" s="218"/>
      <c r="D332" s="218"/>
      <c r="E332" s="217"/>
    </row>
    <row r="333" spans="1:9" ht="24.75" customHeight="1" thickBot="1" x14ac:dyDescent="0.3">
      <c r="A333" s="6" t="s">
        <v>80</v>
      </c>
      <c r="B333" s="1351" t="s">
        <v>514</v>
      </c>
      <c r="C333" s="1352"/>
      <c r="D333" s="1352"/>
      <c r="E333" s="1353"/>
    </row>
    <row r="334" spans="1:9" ht="23.25" customHeight="1" thickBot="1" x14ac:dyDescent="0.3">
      <c r="A334" s="1245" t="s">
        <v>367</v>
      </c>
      <c r="B334" s="1246"/>
      <c r="C334" s="1246"/>
      <c r="D334" s="1246"/>
      <c r="E334" s="1298"/>
      <c r="F334" s="35"/>
      <c r="H334" s="35"/>
    </row>
    <row r="335" spans="1:9" ht="45.75" thickBot="1" x14ac:dyDescent="0.3">
      <c r="A335" s="150" t="s">
        <v>515</v>
      </c>
      <c r="B335" s="4"/>
      <c r="C335" s="4"/>
      <c r="D335" s="4"/>
      <c r="E335" s="4"/>
    </row>
    <row r="336" spans="1:9" ht="34.5" thickBot="1" x14ac:dyDescent="0.3">
      <c r="A336" s="5" t="s">
        <v>516</v>
      </c>
      <c r="B336" s="4"/>
      <c r="C336" s="4"/>
      <c r="D336" s="4"/>
      <c r="E336" s="4"/>
    </row>
    <row r="337" spans="1:9" ht="57" thickBot="1" x14ac:dyDescent="0.3">
      <c r="A337" s="5" t="s">
        <v>517</v>
      </c>
      <c r="B337" s="4"/>
      <c r="C337" s="4"/>
      <c r="D337" s="4"/>
      <c r="E337" s="4"/>
    </row>
    <row r="338" spans="1:9" ht="15.75" thickBot="1" x14ac:dyDescent="0.3">
      <c r="A338" s="1273" t="s">
        <v>14</v>
      </c>
      <c r="B338" s="1274"/>
      <c r="C338" s="1274"/>
      <c r="D338" s="1274"/>
      <c r="E338" s="1299"/>
    </row>
    <row r="339" spans="1:9" ht="15.75" thickBot="1" x14ac:dyDescent="0.3">
      <c r="A339" s="1275" t="s">
        <v>104</v>
      </c>
      <c r="B339" s="1276"/>
      <c r="C339" s="1276"/>
      <c r="D339" s="1276"/>
      <c r="E339" s="1317"/>
    </row>
    <row r="340" spans="1:9" ht="15.75" customHeight="1" thickBot="1" x14ac:dyDescent="0.3">
      <c r="A340" s="7" t="s">
        <v>105</v>
      </c>
      <c r="B340" s="1243" t="s">
        <v>518</v>
      </c>
      <c r="C340" s="1244"/>
      <c r="D340" s="1244"/>
      <c r="E340" s="1315"/>
    </row>
    <row r="341" spans="1:9" ht="46.5" customHeight="1" thickBot="1" x14ac:dyDescent="0.3">
      <c r="A341" s="5" t="s">
        <v>17</v>
      </c>
      <c r="B341" s="1333" t="s">
        <v>519</v>
      </c>
      <c r="C341" s="1334"/>
      <c r="D341" s="1334"/>
      <c r="E341" s="1335"/>
    </row>
    <row r="342" spans="1:9" ht="27" customHeight="1" thickBot="1" x14ac:dyDescent="0.3">
      <c r="A342" s="5" t="s">
        <v>18</v>
      </c>
      <c r="B342" s="1248" t="s">
        <v>520</v>
      </c>
      <c r="C342" s="1249"/>
      <c r="D342" s="1249"/>
      <c r="E342" s="1316"/>
    </row>
    <row r="343" spans="1:9" ht="12.75" customHeight="1" x14ac:dyDescent="0.25">
      <c r="A343" s="1250"/>
      <c r="B343" s="8">
        <v>2018</v>
      </c>
      <c r="C343" s="8">
        <v>2019</v>
      </c>
      <c r="D343" s="8">
        <v>2020</v>
      </c>
      <c r="E343" s="8">
        <v>2021</v>
      </c>
    </row>
    <row r="344" spans="1:9" ht="15.75" thickBot="1" x14ac:dyDescent="0.3">
      <c r="A344" s="1251"/>
      <c r="B344" s="9" t="s">
        <v>10</v>
      </c>
      <c r="C344" s="9" t="s">
        <v>11</v>
      </c>
      <c r="D344" s="9" t="s">
        <v>11</v>
      </c>
      <c r="E344" s="9" t="s">
        <v>11</v>
      </c>
    </row>
    <row r="345" spans="1:9" ht="15.75" thickBot="1" x14ac:dyDescent="0.3">
      <c r="A345" s="5" t="s">
        <v>19</v>
      </c>
      <c r="B345" s="10">
        <v>25</v>
      </c>
      <c r="C345" s="10">
        <v>25</v>
      </c>
      <c r="D345" s="10">
        <v>25</v>
      </c>
      <c r="E345" s="10">
        <v>25</v>
      </c>
    </row>
    <row r="346" spans="1:9" ht="15.75" thickBot="1" x14ac:dyDescent="0.3">
      <c r="A346" s="5" t="s">
        <v>20</v>
      </c>
      <c r="B346" s="10">
        <v>11800</v>
      </c>
      <c r="C346" s="10">
        <v>10950</v>
      </c>
      <c r="D346" s="10">
        <v>10950</v>
      </c>
      <c r="E346" s="10">
        <v>10950</v>
      </c>
    </row>
    <row r="347" spans="1:9" ht="15.75" thickBot="1" x14ac:dyDescent="0.3">
      <c r="A347" s="5" t="s">
        <v>21</v>
      </c>
      <c r="B347" s="10">
        <f>B346/B345</f>
        <v>472</v>
      </c>
      <c r="C347" s="10">
        <f>C346/C345</f>
        <v>438</v>
      </c>
      <c r="D347" s="10">
        <f>D346/D345</f>
        <v>438</v>
      </c>
      <c r="E347" s="10">
        <f>E346/E345</f>
        <v>438</v>
      </c>
    </row>
    <row r="348" spans="1:9" ht="15.75" thickBot="1" x14ac:dyDescent="0.3">
      <c r="A348" s="5" t="s">
        <v>22</v>
      </c>
      <c r="B348" s="151" t="s">
        <v>23</v>
      </c>
      <c r="C348" s="11">
        <f t="shared" ref="C348:E350" si="12">C345/B345-1</f>
        <v>0</v>
      </c>
      <c r="D348" s="11">
        <f t="shared" si="12"/>
        <v>0</v>
      </c>
      <c r="E348" s="11">
        <f t="shared" si="12"/>
        <v>0</v>
      </c>
      <c r="F348" s="12"/>
      <c r="G348" s="12"/>
      <c r="H348" s="12"/>
      <c r="I348" s="12"/>
    </row>
    <row r="349" spans="1:9" ht="15.75" thickBot="1" x14ac:dyDescent="0.3">
      <c r="A349" s="5" t="s">
        <v>24</v>
      </c>
      <c r="B349" s="151" t="s">
        <v>23</v>
      </c>
      <c r="C349" s="11">
        <f t="shared" si="12"/>
        <v>-7.2033898305084776E-2</v>
      </c>
      <c r="D349" s="11">
        <f t="shared" si="12"/>
        <v>0</v>
      </c>
      <c r="E349" s="11">
        <f t="shared" si="12"/>
        <v>0</v>
      </c>
    </row>
    <row r="350" spans="1:9" ht="15.75" thickBot="1" x14ac:dyDescent="0.3">
      <c r="A350" s="5" t="s">
        <v>25</v>
      </c>
      <c r="B350" s="151" t="s">
        <v>23</v>
      </c>
      <c r="C350" s="11">
        <f t="shared" si="12"/>
        <v>-7.2033898305084776E-2</v>
      </c>
      <c r="D350" s="11">
        <f t="shared" si="12"/>
        <v>0</v>
      </c>
      <c r="E350" s="11">
        <f t="shared" si="12"/>
        <v>0</v>
      </c>
    </row>
    <row r="351" spans="1:9" ht="15.75" thickBot="1" x14ac:dyDescent="0.3">
      <c r="A351" s="1252" t="s">
        <v>633</v>
      </c>
      <c r="B351" s="1253"/>
      <c r="C351" s="1253"/>
      <c r="D351" s="1253"/>
      <c r="E351" s="1300"/>
    </row>
    <row r="352" spans="1:9" ht="12.75" customHeight="1" x14ac:dyDescent="0.25">
      <c r="A352" s="1250"/>
      <c r="B352" s="8">
        <v>2018</v>
      </c>
      <c r="C352" s="8">
        <v>2019</v>
      </c>
      <c r="D352" s="8">
        <v>2020</v>
      </c>
      <c r="E352" s="8">
        <v>2021</v>
      </c>
    </row>
    <row r="353" spans="1:5" ht="15.75" thickBot="1" x14ac:dyDescent="0.3">
      <c r="A353" s="1251"/>
      <c r="B353" s="9" t="s">
        <v>10</v>
      </c>
      <c r="C353" s="9" t="s">
        <v>11</v>
      </c>
      <c r="D353" s="9" t="s">
        <v>11</v>
      </c>
      <c r="E353" s="9" t="s">
        <v>11</v>
      </c>
    </row>
    <row r="354" spans="1:5" ht="15.75" thickBot="1" x14ac:dyDescent="0.3">
      <c r="A354" s="13" t="s">
        <v>26</v>
      </c>
      <c r="B354" s="14">
        <v>3000</v>
      </c>
      <c r="C354" s="14">
        <v>3000</v>
      </c>
      <c r="D354" s="14">
        <v>3000</v>
      </c>
      <c r="E354" s="14">
        <v>3000</v>
      </c>
    </row>
    <row r="355" spans="1:5" ht="24.75" thickBot="1" x14ac:dyDescent="0.3">
      <c r="A355" s="13" t="s">
        <v>28</v>
      </c>
      <c r="B355" s="14">
        <v>800</v>
      </c>
      <c r="C355" s="14">
        <v>800</v>
      </c>
      <c r="D355" s="14">
        <v>800</v>
      </c>
      <c r="E355" s="14">
        <v>800</v>
      </c>
    </row>
    <row r="356" spans="1:5" ht="15.75" thickBot="1" x14ac:dyDescent="0.3">
      <c r="A356" s="13" t="s">
        <v>30</v>
      </c>
      <c r="B356" s="15">
        <v>4400</v>
      </c>
      <c r="C356" s="15">
        <v>4050</v>
      </c>
      <c r="D356" s="15">
        <v>4050</v>
      </c>
      <c r="E356" s="15">
        <v>4050</v>
      </c>
    </row>
    <row r="357" spans="1:5" ht="15.75" thickBot="1" x14ac:dyDescent="0.3">
      <c r="A357" s="13" t="s">
        <v>32</v>
      </c>
      <c r="B357" s="15">
        <v>0</v>
      </c>
      <c r="C357" s="15">
        <v>0</v>
      </c>
      <c r="D357" s="15">
        <v>0</v>
      </c>
      <c r="E357" s="15">
        <v>0</v>
      </c>
    </row>
    <row r="358" spans="1:5" ht="15.75" thickBot="1" x14ac:dyDescent="0.3">
      <c r="A358" s="13" t="s">
        <v>34</v>
      </c>
      <c r="B358" s="15">
        <v>0</v>
      </c>
      <c r="C358" s="15">
        <v>0</v>
      </c>
      <c r="D358" s="15">
        <v>0</v>
      </c>
      <c r="E358" s="15">
        <v>0</v>
      </c>
    </row>
    <row r="359" spans="1:5" ht="15.75" thickBot="1" x14ac:dyDescent="0.3">
      <c r="A359" s="13" t="s">
        <v>36</v>
      </c>
      <c r="B359" s="15">
        <v>0</v>
      </c>
      <c r="C359" s="15">
        <v>0</v>
      </c>
      <c r="D359" s="15">
        <v>0</v>
      </c>
      <c r="E359" s="15">
        <v>0</v>
      </c>
    </row>
    <row r="360" spans="1:5" ht="24.75" thickBot="1" x14ac:dyDescent="0.3">
      <c r="A360" s="13" t="s">
        <v>38</v>
      </c>
      <c r="B360" s="15">
        <v>3600</v>
      </c>
      <c r="C360" s="15">
        <v>3100</v>
      </c>
      <c r="D360" s="15">
        <v>3100</v>
      </c>
      <c r="E360" s="15">
        <v>3100</v>
      </c>
    </row>
    <row r="361" spans="1:5" ht="15.75" thickBot="1" x14ac:dyDescent="0.3">
      <c r="A361" s="16" t="s">
        <v>40</v>
      </c>
      <c r="B361" s="138">
        <f>B360+B359+B358+B357+B356+B355+B354</f>
        <v>11800</v>
      </c>
      <c r="C361" s="138">
        <f>C360+C359+C358+C357+C356+C355+C354</f>
        <v>10950</v>
      </c>
      <c r="D361" s="138">
        <f>D360+D359+D358+D357+D356+D355+D354</f>
        <v>10950</v>
      </c>
      <c r="E361" s="138">
        <f>E360+E359+E358+E357+E356+E355+E354</f>
        <v>10950</v>
      </c>
    </row>
    <row r="362" spans="1:5" ht="15.75" thickBot="1" x14ac:dyDescent="0.3">
      <c r="A362" s="17" t="s">
        <v>41</v>
      </c>
      <c r="B362" s="18">
        <f>IF(B361-B346=0,0,"Error")</f>
        <v>0</v>
      </c>
      <c r="C362" s="18">
        <f>IF(C361-C346=0,0,"Error")</f>
        <v>0</v>
      </c>
      <c r="D362" s="18">
        <f>IF(D361-D346=0,0,"Error")</f>
        <v>0</v>
      </c>
      <c r="E362" s="18">
        <f>IF(E361-E346=0,0,"Error")</f>
        <v>0</v>
      </c>
    </row>
    <row r="363" spans="1:5" ht="15.75" thickBot="1" x14ac:dyDescent="0.3">
      <c r="A363" s="216"/>
      <c r="B363" s="215"/>
      <c r="C363" s="215"/>
      <c r="D363" s="215"/>
      <c r="E363" s="214"/>
    </row>
    <row r="364" spans="1:5" ht="23.25" customHeight="1" thickBot="1" x14ac:dyDescent="0.3">
      <c r="A364" s="213" t="s">
        <v>42</v>
      </c>
      <c r="B364" s="1243" t="s">
        <v>521</v>
      </c>
      <c r="C364" s="1244"/>
      <c r="D364" s="1244"/>
      <c r="E364" s="1315"/>
    </row>
    <row r="365" spans="1:5" ht="15.75" customHeight="1" thickBot="1" x14ac:dyDescent="0.3">
      <c r="A365" s="5" t="s">
        <v>17</v>
      </c>
      <c r="B365" s="1245" t="s">
        <v>522</v>
      </c>
      <c r="C365" s="1246"/>
      <c r="D365" s="1246"/>
      <c r="E365" s="1298"/>
    </row>
    <row r="366" spans="1:5" ht="15.75" customHeight="1" thickBot="1" x14ac:dyDescent="0.3">
      <c r="A366" s="5" t="s">
        <v>18</v>
      </c>
      <c r="B366" s="1248" t="s">
        <v>523</v>
      </c>
      <c r="C366" s="1249"/>
      <c r="D366" s="1249"/>
      <c r="E366" s="1316"/>
    </row>
    <row r="367" spans="1:5" x14ac:dyDescent="0.25">
      <c r="A367" s="1250"/>
      <c r="B367" s="8">
        <v>2018</v>
      </c>
      <c r="C367" s="8">
        <v>2019</v>
      </c>
      <c r="D367" s="8">
        <v>2020</v>
      </c>
      <c r="E367" s="8">
        <v>2021</v>
      </c>
    </row>
    <row r="368" spans="1:5" ht="12.75" customHeight="1" thickBot="1" x14ac:dyDescent="0.3">
      <c r="A368" s="1251"/>
      <c r="B368" s="9" t="s">
        <v>10</v>
      </c>
      <c r="C368" s="9" t="s">
        <v>11</v>
      </c>
      <c r="D368" s="9" t="s">
        <v>11</v>
      </c>
      <c r="E368" s="9" t="s">
        <v>11</v>
      </c>
    </row>
    <row r="369" spans="1:5" ht="15.75" thickBot="1" x14ac:dyDescent="0.3">
      <c r="A369" s="5" t="s">
        <v>19</v>
      </c>
      <c r="B369" s="10">
        <v>4</v>
      </c>
      <c r="C369" s="10">
        <v>4</v>
      </c>
      <c r="D369" s="10">
        <v>4</v>
      </c>
      <c r="E369" s="10">
        <v>4</v>
      </c>
    </row>
    <row r="370" spans="1:5" ht="15.75" thickBot="1" x14ac:dyDescent="0.3">
      <c r="A370" s="5" t="s">
        <v>20</v>
      </c>
      <c r="B370" s="10">
        <v>7900</v>
      </c>
      <c r="C370" s="10">
        <v>7550</v>
      </c>
      <c r="D370" s="10">
        <v>7550</v>
      </c>
      <c r="E370" s="10">
        <v>7550</v>
      </c>
    </row>
    <row r="371" spans="1:5" ht="15.75" thickBot="1" x14ac:dyDescent="0.3">
      <c r="A371" s="5" t="s">
        <v>21</v>
      </c>
      <c r="B371" s="10">
        <f>B370/B367</f>
        <v>3.9147670961347871</v>
      </c>
      <c r="C371" s="10">
        <f>C370/C367</f>
        <v>3.7394749876176325</v>
      </c>
      <c r="D371" s="10">
        <f>D370/D367</f>
        <v>3.7376237623762378</v>
      </c>
      <c r="E371" s="10">
        <f>E370/E367</f>
        <v>3.7357743691241958</v>
      </c>
    </row>
    <row r="372" spans="1:5" ht="15.75" thickBot="1" x14ac:dyDescent="0.3">
      <c r="A372" s="5" t="s">
        <v>22</v>
      </c>
      <c r="B372" s="151"/>
      <c r="C372" s="11">
        <f>C367/B367-1</f>
        <v>4.9554013875119374E-4</v>
      </c>
      <c r="D372" s="11">
        <f>D367/C367-1</f>
        <v>4.9529470034670453E-4</v>
      </c>
      <c r="E372" s="11">
        <f>E367/D367-1</f>
        <v>4.9504950495049549E-4</v>
      </c>
    </row>
    <row r="373" spans="1:5" ht="15.75" thickBot="1" x14ac:dyDescent="0.3">
      <c r="A373" s="5" t="s">
        <v>24</v>
      </c>
      <c r="B373" s="151"/>
      <c r="C373" s="11">
        <f t="shared" ref="C373:E374" si="13">C370/B370-1</f>
        <v>-4.4303797468354444E-2</v>
      </c>
      <c r="D373" s="11">
        <f t="shared" si="13"/>
        <v>0</v>
      </c>
      <c r="E373" s="11">
        <f t="shared" si="13"/>
        <v>0</v>
      </c>
    </row>
    <row r="374" spans="1:5" ht="15.75" thickBot="1" x14ac:dyDescent="0.3">
      <c r="A374" s="5" t="s">
        <v>25</v>
      </c>
      <c r="B374" s="151"/>
      <c r="C374" s="11">
        <f t="shared" si="13"/>
        <v>-4.4777148732609851E-2</v>
      </c>
      <c r="D374" s="11">
        <f t="shared" si="13"/>
        <v>-4.9504950495049549E-4</v>
      </c>
      <c r="E374" s="11">
        <f t="shared" si="13"/>
        <v>-4.9480455220196617E-4</v>
      </c>
    </row>
    <row r="375" spans="1:5" ht="24.75" customHeight="1" thickBot="1" x14ac:dyDescent="0.3">
      <c r="A375" s="1252" t="s">
        <v>634</v>
      </c>
      <c r="B375" s="1253"/>
      <c r="C375" s="1253"/>
      <c r="D375" s="1253"/>
      <c r="E375" s="1300"/>
    </row>
    <row r="376" spans="1:5" ht="12.75" customHeight="1" x14ac:dyDescent="0.25">
      <c r="A376" s="1250"/>
      <c r="B376" s="8">
        <v>2018</v>
      </c>
      <c r="C376" s="8">
        <v>2019</v>
      </c>
      <c r="D376" s="8">
        <v>2020</v>
      </c>
      <c r="E376" s="8">
        <v>2021</v>
      </c>
    </row>
    <row r="377" spans="1:5" ht="15.75" thickBot="1" x14ac:dyDescent="0.3">
      <c r="A377" s="1251"/>
      <c r="B377" s="9" t="s">
        <v>10</v>
      </c>
      <c r="C377" s="9" t="s">
        <v>11</v>
      </c>
      <c r="D377" s="9" t="s">
        <v>11</v>
      </c>
      <c r="E377" s="9" t="s">
        <v>11</v>
      </c>
    </row>
    <row r="378" spans="1:5" ht="24.75" customHeight="1" thickBot="1" x14ac:dyDescent="0.3">
      <c r="A378" s="13" t="s">
        <v>26</v>
      </c>
      <c r="B378" s="14">
        <v>2500</v>
      </c>
      <c r="C378" s="14">
        <v>2600</v>
      </c>
      <c r="D378" s="14">
        <v>2600</v>
      </c>
      <c r="E378" s="14">
        <v>2600</v>
      </c>
    </row>
    <row r="379" spans="1:5" ht="24.75" customHeight="1" thickBot="1" x14ac:dyDescent="0.3">
      <c r="A379" s="13" t="s">
        <v>28</v>
      </c>
      <c r="B379" s="14">
        <v>400</v>
      </c>
      <c r="C379" s="14">
        <v>350</v>
      </c>
      <c r="D379" s="14">
        <v>350</v>
      </c>
      <c r="E379" s="14">
        <v>350</v>
      </c>
    </row>
    <row r="380" spans="1:5" ht="24.75" customHeight="1" thickBot="1" x14ac:dyDescent="0.3">
      <c r="A380" s="13" t="s">
        <v>30</v>
      </c>
      <c r="B380" s="15">
        <v>3350</v>
      </c>
      <c r="C380" s="15">
        <v>2300</v>
      </c>
      <c r="D380" s="15">
        <v>2300</v>
      </c>
      <c r="E380" s="15">
        <v>2300</v>
      </c>
    </row>
    <row r="381" spans="1:5" ht="15.75" thickBot="1" x14ac:dyDescent="0.3">
      <c r="A381" s="13" t="s">
        <v>32</v>
      </c>
      <c r="B381" s="15">
        <v>0</v>
      </c>
      <c r="C381" s="15">
        <v>0</v>
      </c>
      <c r="D381" s="15">
        <v>0</v>
      </c>
      <c r="E381" s="15">
        <v>0</v>
      </c>
    </row>
    <row r="382" spans="1:5" ht="15.75" thickBot="1" x14ac:dyDescent="0.3">
      <c r="A382" s="13" t="s">
        <v>34</v>
      </c>
      <c r="B382" s="15">
        <v>300</v>
      </c>
      <c r="C382" s="15">
        <v>300</v>
      </c>
      <c r="D382" s="15">
        <v>300</v>
      </c>
      <c r="E382" s="15">
        <v>300</v>
      </c>
    </row>
    <row r="383" spans="1:5" ht="15.75" thickBot="1" x14ac:dyDescent="0.3">
      <c r="A383" s="13" t="s">
        <v>36</v>
      </c>
      <c r="B383" s="15">
        <v>0</v>
      </c>
      <c r="C383" s="15">
        <v>0</v>
      </c>
      <c r="D383" s="15">
        <v>0</v>
      </c>
      <c r="E383" s="15">
        <v>0</v>
      </c>
    </row>
    <row r="384" spans="1:5" ht="24.75" thickBot="1" x14ac:dyDescent="0.3">
      <c r="A384" s="13" t="s">
        <v>38</v>
      </c>
      <c r="B384" s="15">
        <v>1350</v>
      </c>
      <c r="C384" s="15">
        <v>2000</v>
      </c>
      <c r="D384" s="15">
        <v>2000</v>
      </c>
      <c r="E384" s="15">
        <v>2000</v>
      </c>
    </row>
    <row r="385" spans="1:9" ht="15.75" thickBot="1" x14ac:dyDescent="0.3">
      <c r="A385" s="135" t="s">
        <v>43</v>
      </c>
      <c r="B385" s="138">
        <f>B384+B383+B382+B381+B380+B379+B378</f>
        <v>7900</v>
      </c>
      <c r="C385" s="138">
        <f>C384+C383+C382+C381+C380+C379+C378</f>
        <v>7550</v>
      </c>
      <c r="D385" s="138">
        <f>D384+D383+D382+D381+D380+D379+D378</f>
        <v>7550</v>
      </c>
      <c r="E385" s="138">
        <f>E384+E383+E382+E381+E380+E379+E378</f>
        <v>7550</v>
      </c>
    </row>
    <row r="386" spans="1:9" ht="17.25" customHeight="1" thickBot="1" x14ac:dyDescent="0.3">
      <c r="A386" s="17" t="s">
        <v>41</v>
      </c>
      <c r="B386" s="18">
        <f>IF(B385-B370=0,0,"Error")</f>
        <v>0</v>
      </c>
      <c r="C386" s="18">
        <f>IF(C385-C370=0,0,"Error")</f>
        <v>0</v>
      </c>
      <c r="D386" s="18">
        <f>IF(D385-D370=0,0,"Error")</f>
        <v>0</v>
      </c>
      <c r="E386" s="18">
        <f>IF(E385-E370=0,0,"Error")</f>
        <v>0</v>
      </c>
    </row>
    <row r="387" spans="1:9" ht="17.25" customHeight="1" thickBot="1" x14ac:dyDescent="0.3">
      <c r="A387" s="212"/>
      <c r="B387" s="211"/>
      <c r="C387" s="211"/>
      <c r="D387" s="211"/>
      <c r="E387" s="209"/>
    </row>
    <row r="388" spans="1:9" ht="15.75" thickBot="1" x14ac:dyDescent="0.3">
      <c r="A388" s="1275" t="s">
        <v>63</v>
      </c>
      <c r="B388" s="1276"/>
      <c r="C388" s="1276"/>
      <c r="D388" s="1276"/>
      <c r="E388" s="1317"/>
    </row>
    <row r="389" spans="1:9" ht="15.75" thickBot="1" x14ac:dyDescent="0.3">
      <c r="A389" s="1275" t="s">
        <v>56</v>
      </c>
      <c r="B389" s="1276"/>
      <c r="C389" s="1276"/>
      <c r="D389" s="1276"/>
      <c r="E389" s="1317"/>
    </row>
    <row r="390" spans="1:9" ht="15.75" thickBot="1" x14ac:dyDescent="0.3">
      <c r="A390" s="20" t="s">
        <v>486</v>
      </c>
      <c r="B390" s="1241" t="s">
        <v>487</v>
      </c>
      <c r="C390" s="1242"/>
      <c r="D390" s="1242"/>
      <c r="E390" s="1318"/>
    </row>
    <row r="391" spans="1:9" ht="15.75" customHeight="1" thickBot="1" x14ac:dyDescent="0.3">
      <c r="A391" s="7" t="s">
        <v>16</v>
      </c>
      <c r="B391" s="1243" t="s">
        <v>518</v>
      </c>
      <c r="C391" s="1244"/>
      <c r="D391" s="1244"/>
      <c r="E391" s="1315"/>
    </row>
    <row r="392" spans="1:9" ht="53.25" customHeight="1" thickBot="1" x14ac:dyDescent="0.3">
      <c r="A392" s="5" t="s">
        <v>17</v>
      </c>
      <c r="B392" s="1333" t="s">
        <v>519</v>
      </c>
      <c r="C392" s="1334"/>
      <c r="D392" s="1334"/>
      <c r="E392" s="1335"/>
    </row>
    <row r="393" spans="1:9" ht="15.75" customHeight="1" thickBot="1" x14ac:dyDescent="0.3">
      <c r="A393" s="5" t="s">
        <v>18</v>
      </c>
      <c r="B393" s="1248" t="s">
        <v>520</v>
      </c>
      <c r="C393" s="1249"/>
      <c r="D393" s="1249"/>
      <c r="E393" s="1316"/>
    </row>
    <row r="394" spans="1:9" ht="12.75" customHeight="1" x14ac:dyDescent="0.25">
      <c r="A394" s="1250"/>
      <c r="B394" s="8">
        <v>2018</v>
      </c>
      <c r="C394" s="8">
        <v>2019</v>
      </c>
      <c r="D394" s="8">
        <v>2020</v>
      </c>
      <c r="E394" s="8">
        <v>2021</v>
      </c>
    </row>
    <row r="395" spans="1:9" ht="15.75" thickBot="1" x14ac:dyDescent="0.3">
      <c r="A395" s="1251"/>
      <c r="B395" s="9" t="s">
        <v>10</v>
      </c>
      <c r="C395" s="9" t="s">
        <v>11</v>
      </c>
      <c r="D395" s="9" t="s">
        <v>11</v>
      </c>
      <c r="E395" s="9" t="s">
        <v>11</v>
      </c>
    </row>
    <row r="396" spans="1:9" ht="15.75" thickBot="1" x14ac:dyDescent="0.3">
      <c r="A396" s="5" t="s">
        <v>19</v>
      </c>
      <c r="B396" s="10"/>
      <c r="C396" s="10">
        <v>25</v>
      </c>
      <c r="D396" s="10">
        <v>25</v>
      </c>
      <c r="E396" s="10">
        <v>25</v>
      </c>
    </row>
    <row r="397" spans="1:9" ht="15.75" thickBot="1" x14ac:dyDescent="0.3">
      <c r="A397" s="5" t="s">
        <v>20</v>
      </c>
      <c r="B397" s="10"/>
      <c r="C397" s="10">
        <v>100</v>
      </c>
      <c r="D397" s="10">
        <v>100</v>
      </c>
      <c r="E397" s="10">
        <v>100</v>
      </c>
    </row>
    <row r="398" spans="1:9" ht="15.75" thickBot="1" x14ac:dyDescent="0.3">
      <c r="A398" s="5" t="s">
        <v>21</v>
      </c>
      <c r="B398" s="10" t="e">
        <f>B397/B396</f>
        <v>#DIV/0!</v>
      </c>
      <c r="C398" s="10">
        <f>C397/C396</f>
        <v>4</v>
      </c>
      <c r="D398" s="10">
        <f>D397/D396</f>
        <v>4</v>
      </c>
      <c r="E398" s="10">
        <f>E397/E396</f>
        <v>4</v>
      </c>
    </row>
    <row r="399" spans="1:9" ht="15.75" thickBot="1" x14ac:dyDescent="0.3">
      <c r="A399" s="5" t="s">
        <v>22</v>
      </c>
      <c r="B399" s="151" t="s">
        <v>23</v>
      </c>
      <c r="C399" s="11" t="e">
        <f t="shared" ref="C399:E401" si="14">C396/B396-1</f>
        <v>#DIV/0!</v>
      </c>
      <c r="D399" s="11">
        <f t="shared" si="14"/>
        <v>0</v>
      </c>
      <c r="E399" s="11">
        <f t="shared" si="14"/>
        <v>0</v>
      </c>
      <c r="F399" s="12"/>
      <c r="G399" s="12"/>
      <c r="H399" s="12"/>
      <c r="I399" s="12"/>
    </row>
    <row r="400" spans="1:9" ht="15.75" thickBot="1" x14ac:dyDescent="0.3">
      <c r="A400" s="5" t="s">
        <v>24</v>
      </c>
      <c r="B400" s="151" t="s">
        <v>23</v>
      </c>
      <c r="C400" s="11" t="e">
        <f t="shared" si="14"/>
        <v>#DIV/0!</v>
      </c>
      <c r="D400" s="11">
        <f t="shared" si="14"/>
        <v>0</v>
      </c>
      <c r="E400" s="11">
        <f t="shared" si="14"/>
        <v>0</v>
      </c>
    </row>
    <row r="401" spans="1:5" ht="15.75" thickBot="1" x14ac:dyDescent="0.3">
      <c r="A401" s="5" t="s">
        <v>25</v>
      </c>
      <c r="B401" s="151" t="s">
        <v>23</v>
      </c>
      <c r="C401" s="11" t="e">
        <f t="shared" si="14"/>
        <v>#DIV/0!</v>
      </c>
      <c r="D401" s="11">
        <f t="shared" si="14"/>
        <v>0</v>
      </c>
      <c r="E401" s="11">
        <f t="shared" si="14"/>
        <v>0</v>
      </c>
    </row>
    <row r="402" spans="1:5" ht="15.75" thickBot="1" x14ac:dyDescent="0.3">
      <c r="A402" s="1252" t="s">
        <v>633</v>
      </c>
      <c r="B402" s="1253"/>
      <c r="C402" s="1253"/>
      <c r="D402" s="1253"/>
      <c r="E402" s="1300"/>
    </row>
    <row r="403" spans="1:5" ht="12.75" customHeight="1" x14ac:dyDescent="0.25">
      <c r="A403" s="1250"/>
      <c r="B403" s="8">
        <v>2018</v>
      </c>
      <c r="C403" s="8">
        <v>2019</v>
      </c>
      <c r="D403" s="8">
        <v>2020</v>
      </c>
      <c r="E403" s="8">
        <v>2021</v>
      </c>
    </row>
    <row r="404" spans="1:5" ht="15.75" thickBot="1" x14ac:dyDescent="0.3">
      <c r="A404" s="1251"/>
      <c r="B404" s="9" t="s">
        <v>10</v>
      </c>
      <c r="C404" s="9" t="s">
        <v>11</v>
      </c>
      <c r="D404" s="9" t="s">
        <v>11</v>
      </c>
      <c r="E404" s="9" t="s">
        <v>11</v>
      </c>
    </row>
    <row r="405" spans="1:5" ht="15.75" thickBot="1" x14ac:dyDescent="0.3">
      <c r="A405" s="13" t="s">
        <v>58</v>
      </c>
      <c r="B405" s="14">
        <v>0</v>
      </c>
      <c r="C405" s="14">
        <v>0</v>
      </c>
      <c r="D405" s="14">
        <v>0</v>
      </c>
      <c r="E405" s="14">
        <v>0</v>
      </c>
    </row>
    <row r="406" spans="1:5" ht="15.75" thickBot="1" x14ac:dyDescent="0.3">
      <c r="A406" s="13" t="s">
        <v>59</v>
      </c>
      <c r="B406" s="15">
        <v>0</v>
      </c>
      <c r="C406" s="10">
        <v>100</v>
      </c>
      <c r="D406" s="10">
        <v>100</v>
      </c>
      <c r="E406" s="10">
        <v>100</v>
      </c>
    </row>
    <row r="407" spans="1:5" ht="15.75" thickBot="1" x14ac:dyDescent="0.3">
      <c r="A407" s="16" t="s">
        <v>40</v>
      </c>
      <c r="B407" s="15">
        <f>B406+B405</f>
        <v>0</v>
      </c>
      <c r="C407" s="15">
        <f>C406+C405</f>
        <v>100</v>
      </c>
      <c r="D407" s="15">
        <f>D406+D405</f>
        <v>100</v>
      </c>
      <c r="E407" s="15">
        <f>E406+E405</f>
        <v>100</v>
      </c>
    </row>
    <row r="408" spans="1:5" x14ac:dyDescent="0.25">
      <c r="A408" s="1254" t="s">
        <v>60</v>
      </c>
      <c r="B408" s="1322"/>
      <c r="C408" s="1289"/>
      <c r="D408" s="1289"/>
      <c r="E408" s="1290"/>
    </row>
    <row r="409" spans="1:5" x14ac:dyDescent="0.25">
      <c r="A409" s="1255"/>
      <c r="B409" s="1291"/>
      <c r="C409" s="1292"/>
      <c r="D409" s="1292"/>
      <c r="E409" s="1293"/>
    </row>
    <row r="410" spans="1:5" ht="15.75" thickBot="1" x14ac:dyDescent="0.3">
      <c r="A410" s="1256"/>
      <c r="B410" s="1294"/>
      <c r="C410" s="1295"/>
      <c r="D410" s="1295"/>
      <c r="E410" s="1296"/>
    </row>
    <row r="411" spans="1:5" ht="15.75" thickBot="1" x14ac:dyDescent="0.3">
      <c r="A411" s="16"/>
      <c r="B411" s="15"/>
      <c r="C411" s="15"/>
      <c r="D411" s="15"/>
      <c r="E411" s="15"/>
    </row>
    <row r="412" spans="1:5" ht="15.75" thickBot="1" x14ac:dyDescent="0.3">
      <c r="A412" s="204"/>
      <c r="B412" s="203"/>
      <c r="C412" s="203"/>
      <c r="D412" s="203"/>
      <c r="E412" s="202"/>
    </row>
    <row r="413" spans="1:5" ht="15.75" customHeight="1" thickBot="1" x14ac:dyDescent="0.3">
      <c r="A413" s="21" t="s">
        <v>524</v>
      </c>
      <c r="B413" s="1351" t="s">
        <v>525</v>
      </c>
      <c r="C413" s="1352"/>
      <c r="D413" s="1352"/>
      <c r="E413" s="1353"/>
    </row>
    <row r="414" spans="1:5" ht="15.75" customHeight="1" thickBot="1" x14ac:dyDescent="0.3">
      <c r="A414" s="1245" t="s">
        <v>158</v>
      </c>
      <c r="B414" s="1246"/>
      <c r="C414" s="1246"/>
      <c r="D414" s="1246"/>
      <c r="E414" s="1298"/>
    </row>
    <row r="415" spans="1:5" ht="98.25" customHeight="1" thickBot="1" x14ac:dyDescent="0.3">
      <c r="A415" s="150" t="s">
        <v>526</v>
      </c>
      <c r="B415" s="4"/>
      <c r="C415" s="4"/>
      <c r="D415" s="4"/>
      <c r="E415" s="4"/>
    </row>
    <row r="416" spans="1:5" ht="15.75" customHeight="1" thickBot="1" x14ac:dyDescent="0.3">
      <c r="A416" s="5" t="s">
        <v>527</v>
      </c>
      <c r="B416" s="4"/>
      <c r="C416" s="4"/>
      <c r="D416" s="4"/>
      <c r="E416" s="4"/>
    </row>
    <row r="417" spans="1:5" ht="23.25" customHeight="1" thickBot="1" x14ac:dyDescent="0.3">
      <c r="A417" s="5" t="s">
        <v>528</v>
      </c>
      <c r="B417" s="4"/>
      <c r="C417" s="4"/>
      <c r="D417" s="4"/>
      <c r="E417" s="4"/>
    </row>
    <row r="418" spans="1:5" ht="23.25" customHeight="1" thickBot="1" x14ac:dyDescent="0.3">
      <c r="A418" s="1278" t="s">
        <v>205</v>
      </c>
      <c r="B418" s="1279"/>
      <c r="C418" s="1279"/>
      <c r="D418" s="1279"/>
      <c r="E418" s="1355"/>
    </row>
    <row r="419" spans="1:5" ht="23.25" customHeight="1" thickBot="1" x14ac:dyDescent="0.3">
      <c r="A419" s="1280" t="s">
        <v>70</v>
      </c>
      <c r="B419" s="1281"/>
      <c r="C419" s="1281"/>
      <c r="D419" s="1281"/>
      <c r="E419" s="1354"/>
    </row>
    <row r="420" spans="1:5" ht="12.75" customHeight="1" x14ac:dyDescent="0.25">
      <c r="A420" s="1250"/>
      <c r="B420" s="8">
        <v>2018</v>
      </c>
      <c r="C420" s="8">
        <v>2019</v>
      </c>
      <c r="D420" s="8">
        <v>2020</v>
      </c>
      <c r="E420" s="8">
        <v>2021</v>
      </c>
    </row>
    <row r="421" spans="1:5" ht="9" customHeight="1" thickBot="1" x14ac:dyDescent="0.3">
      <c r="A421" s="1251"/>
      <c r="B421" s="9" t="s">
        <v>10</v>
      </c>
      <c r="C421" s="9" t="s">
        <v>11</v>
      </c>
      <c r="D421" s="9" t="s">
        <v>11</v>
      </c>
      <c r="E421" s="9" t="s">
        <v>11</v>
      </c>
    </row>
    <row r="422" spans="1:5" ht="26.25" customHeight="1" thickBot="1" x14ac:dyDescent="0.3">
      <c r="A422" s="7" t="s">
        <v>16</v>
      </c>
      <c r="B422" s="1243" t="s">
        <v>525</v>
      </c>
      <c r="C422" s="1244"/>
      <c r="D422" s="1244"/>
      <c r="E422" s="1315"/>
    </row>
    <row r="423" spans="1:5" ht="15.75" thickBot="1" x14ac:dyDescent="0.3">
      <c r="A423" s="5" t="s">
        <v>17</v>
      </c>
      <c r="B423" s="1333" t="s">
        <v>529</v>
      </c>
      <c r="C423" s="1334"/>
      <c r="D423" s="1334"/>
      <c r="E423" s="1335"/>
    </row>
    <row r="424" spans="1:5" ht="15.75" customHeight="1" thickBot="1" x14ac:dyDescent="0.3">
      <c r="A424" s="5" t="s">
        <v>18</v>
      </c>
      <c r="B424" s="1248" t="s">
        <v>530</v>
      </c>
      <c r="C424" s="1249"/>
      <c r="D424" s="1249"/>
      <c r="E424" s="1316"/>
    </row>
    <row r="425" spans="1:5" ht="12.75" customHeight="1" x14ac:dyDescent="0.25">
      <c r="A425" s="1250"/>
      <c r="B425" s="8">
        <v>2018</v>
      </c>
      <c r="C425" s="8">
        <v>2019</v>
      </c>
      <c r="D425" s="8">
        <v>2020</v>
      </c>
      <c r="E425" s="8">
        <v>2021</v>
      </c>
    </row>
    <row r="426" spans="1:5" ht="15.75" thickBot="1" x14ac:dyDescent="0.3">
      <c r="A426" s="1251"/>
      <c r="B426" s="9" t="s">
        <v>10</v>
      </c>
      <c r="C426" s="9" t="s">
        <v>11</v>
      </c>
      <c r="D426" s="9" t="s">
        <v>11</v>
      </c>
      <c r="E426" s="9" t="s">
        <v>11</v>
      </c>
    </row>
    <row r="427" spans="1:5" ht="15.75" customHeight="1" thickBot="1" x14ac:dyDescent="0.3">
      <c r="A427" s="5" t="s">
        <v>19</v>
      </c>
      <c r="B427" s="10">
        <v>4</v>
      </c>
      <c r="C427" s="60">
        <v>5</v>
      </c>
      <c r="D427" s="60">
        <v>5</v>
      </c>
      <c r="E427" s="60">
        <v>5</v>
      </c>
    </row>
    <row r="428" spans="1:5" ht="15.75" thickBot="1" x14ac:dyDescent="0.3">
      <c r="A428" s="5" t="s">
        <v>20</v>
      </c>
      <c r="B428" s="10">
        <v>23300</v>
      </c>
      <c r="C428" s="10">
        <v>23900</v>
      </c>
      <c r="D428" s="10">
        <v>23900</v>
      </c>
      <c r="E428" s="10">
        <v>23900</v>
      </c>
    </row>
    <row r="429" spans="1:5" ht="15.75" thickBot="1" x14ac:dyDescent="0.3">
      <c r="A429" s="5" t="s">
        <v>21</v>
      </c>
      <c r="B429" s="10">
        <f>B428/B427</f>
        <v>5825</v>
      </c>
      <c r="C429" s="10">
        <f>C428/C427</f>
        <v>4780</v>
      </c>
      <c r="D429" s="10">
        <f>D428/D427</f>
        <v>4780</v>
      </c>
      <c r="E429" s="10">
        <f>E428/E427</f>
        <v>4780</v>
      </c>
    </row>
    <row r="430" spans="1:5" ht="15.75" thickBot="1" x14ac:dyDescent="0.3">
      <c r="A430" s="5" t="s">
        <v>22</v>
      </c>
      <c r="B430" s="151"/>
      <c r="C430" s="11">
        <f t="shared" ref="C430:E432" si="15">C427/B427-1</f>
        <v>0.25</v>
      </c>
      <c r="D430" s="11">
        <f t="shared" si="15"/>
        <v>0</v>
      </c>
      <c r="E430" s="11">
        <f t="shared" si="15"/>
        <v>0</v>
      </c>
    </row>
    <row r="431" spans="1:5" ht="15.75" thickBot="1" x14ac:dyDescent="0.3">
      <c r="A431" s="5" t="s">
        <v>24</v>
      </c>
      <c r="B431" s="151"/>
      <c r="C431" s="11">
        <f t="shared" si="15"/>
        <v>2.5751072961373467E-2</v>
      </c>
      <c r="D431" s="11">
        <f t="shared" si="15"/>
        <v>0</v>
      </c>
      <c r="E431" s="11">
        <f t="shared" si="15"/>
        <v>0</v>
      </c>
    </row>
    <row r="432" spans="1:5" ht="15.75" thickBot="1" x14ac:dyDescent="0.3">
      <c r="A432" s="5" t="s">
        <v>25</v>
      </c>
      <c r="B432" s="151"/>
      <c r="C432" s="11">
        <f t="shared" si="15"/>
        <v>-0.17939914163090132</v>
      </c>
      <c r="D432" s="11">
        <f t="shared" si="15"/>
        <v>0</v>
      </c>
      <c r="E432" s="11">
        <f t="shared" si="15"/>
        <v>0</v>
      </c>
    </row>
    <row r="433" spans="1:5" ht="12.75" customHeight="1" x14ac:dyDescent="0.25">
      <c r="A433" s="1250"/>
      <c r="B433" s="8">
        <v>2018</v>
      </c>
      <c r="C433" s="8">
        <v>2019</v>
      </c>
      <c r="D433" s="8">
        <v>2020</v>
      </c>
      <c r="E433" s="8">
        <v>2021</v>
      </c>
    </row>
    <row r="434" spans="1:5" ht="9" customHeight="1" thickBot="1" x14ac:dyDescent="0.3">
      <c r="A434" s="1251"/>
      <c r="B434" s="9" t="s">
        <v>10</v>
      </c>
      <c r="C434" s="9" t="s">
        <v>11</v>
      </c>
      <c r="D434" s="9" t="s">
        <v>11</v>
      </c>
      <c r="E434" s="9" t="s">
        <v>11</v>
      </c>
    </row>
    <row r="435" spans="1:5" ht="15.75" thickBot="1" x14ac:dyDescent="0.3">
      <c r="A435" s="1252" t="s">
        <v>636</v>
      </c>
      <c r="B435" s="1253"/>
      <c r="C435" s="1253"/>
      <c r="D435" s="1253"/>
      <c r="E435" s="1300"/>
    </row>
    <row r="436" spans="1:5" ht="12.75" customHeight="1" x14ac:dyDescent="0.25">
      <c r="A436" s="1250"/>
      <c r="B436" s="8">
        <v>2018</v>
      </c>
      <c r="C436" s="8">
        <v>2019</v>
      </c>
      <c r="D436" s="8">
        <v>2020</v>
      </c>
      <c r="E436" s="8">
        <v>2021</v>
      </c>
    </row>
    <row r="437" spans="1:5" ht="15.75" thickBot="1" x14ac:dyDescent="0.3">
      <c r="A437" s="1251"/>
      <c r="B437" s="9" t="s">
        <v>10</v>
      </c>
      <c r="C437" s="9" t="s">
        <v>11</v>
      </c>
      <c r="D437" s="9" t="s">
        <v>11</v>
      </c>
      <c r="E437" s="9" t="s">
        <v>11</v>
      </c>
    </row>
    <row r="438" spans="1:5" ht="15.75" thickBot="1" x14ac:dyDescent="0.3">
      <c r="A438" s="13" t="s">
        <v>26</v>
      </c>
      <c r="B438" s="14">
        <v>9000</v>
      </c>
      <c r="C438" s="14">
        <v>9000</v>
      </c>
      <c r="D438" s="14">
        <v>9000</v>
      </c>
      <c r="E438" s="14">
        <v>9000</v>
      </c>
    </row>
    <row r="439" spans="1:5" ht="24.75" thickBot="1" x14ac:dyDescent="0.3">
      <c r="A439" s="13" t="s">
        <v>28</v>
      </c>
      <c r="B439" s="14">
        <v>1000</v>
      </c>
      <c r="C439" s="14">
        <v>300</v>
      </c>
      <c r="D439" s="14">
        <v>300</v>
      </c>
      <c r="E439" s="14">
        <v>300</v>
      </c>
    </row>
    <row r="440" spans="1:5" ht="15.75" thickBot="1" x14ac:dyDescent="0.3">
      <c r="A440" s="13" t="s">
        <v>30</v>
      </c>
      <c r="B440" s="15">
        <v>9250</v>
      </c>
      <c r="C440" s="15">
        <v>9700</v>
      </c>
      <c r="D440" s="15">
        <v>9700</v>
      </c>
      <c r="E440" s="15">
        <v>9700</v>
      </c>
    </row>
    <row r="441" spans="1:5" ht="15.75" thickBot="1" x14ac:dyDescent="0.3">
      <c r="A441" s="13" t="s">
        <v>32</v>
      </c>
      <c r="B441" s="15">
        <v>0</v>
      </c>
      <c r="C441" s="15">
        <v>0</v>
      </c>
      <c r="D441" s="15">
        <v>0</v>
      </c>
      <c r="E441" s="15">
        <v>0</v>
      </c>
    </row>
    <row r="442" spans="1:5" ht="15.75" thickBot="1" x14ac:dyDescent="0.3">
      <c r="A442" s="13" t="s">
        <v>34</v>
      </c>
      <c r="B442" s="15">
        <v>0</v>
      </c>
      <c r="C442" s="15">
        <v>0</v>
      </c>
      <c r="D442" s="15">
        <v>0</v>
      </c>
      <c r="E442" s="15">
        <v>0</v>
      </c>
    </row>
    <row r="443" spans="1:5" ht="15.75" thickBot="1" x14ac:dyDescent="0.3">
      <c r="A443" s="13" t="s">
        <v>36</v>
      </c>
      <c r="B443" s="15">
        <v>0</v>
      </c>
      <c r="C443" s="15">
        <v>0</v>
      </c>
      <c r="D443" s="15">
        <v>0</v>
      </c>
      <c r="E443" s="15">
        <v>0</v>
      </c>
    </row>
    <row r="444" spans="1:5" ht="24.75" thickBot="1" x14ac:dyDescent="0.3">
      <c r="A444" s="13" t="s">
        <v>38</v>
      </c>
      <c r="B444" s="15">
        <v>4050</v>
      </c>
      <c r="C444" s="15">
        <v>4900</v>
      </c>
      <c r="D444" s="15">
        <v>4900</v>
      </c>
      <c r="E444" s="15">
        <v>4900</v>
      </c>
    </row>
    <row r="445" spans="1:5" ht="24.75" thickBot="1" x14ac:dyDescent="0.3">
      <c r="A445" s="137" t="s">
        <v>71</v>
      </c>
      <c r="B445" s="138">
        <f>B444+B443+B442+B441+B440+B439+B438</f>
        <v>23300</v>
      </c>
      <c r="C445" s="138">
        <f>C444+C443+C442+C441+C440+C439+C438</f>
        <v>23900</v>
      </c>
      <c r="D445" s="138">
        <f>D444+D443+D442+D441+D440+D439+D438</f>
        <v>23900</v>
      </c>
      <c r="E445" s="138">
        <f>E444+E443+E442+E441+E440+E439+E438</f>
        <v>23900</v>
      </c>
    </row>
    <row r="446" spans="1:5" ht="15.75" thickBot="1" x14ac:dyDescent="0.3">
      <c r="A446" s="17" t="s">
        <v>41</v>
      </c>
      <c r="B446" s="18">
        <f>IF(B445-B428=0,0,"Error")</f>
        <v>0</v>
      </c>
      <c r="C446" s="18">
        <f>IF(C445-C428=0,0,"Error")</f>
        <v>0</v>
      </c>
      <c r="D446" s="18">
        <f>IF(D445-D428=0,0,"Error")</f>
        <v>0</v>
      </c>
      <c r="E446" s="18">
        <f>IF(E445-E428=0,0,"Error")</f>
        <v>0</v>
      </c>
    </row>
    <row r="447" spans="1:5" ht="15.75" thickBot="1" x14ac:dyDescent="0.3">
      <c r="A447" s="210"/>
      <c r="B447" s="209"/>
      <c r="C447" s="209"/>
      <c r="D447" s="209"/>
      <c r="E447" s="209"/>
    </row>
    <row r="448" spans="1:5" ht="15.75" thickBot="1" x14ac:dyDescent="0.3">
      <c r="A448" s="1275" t="s">
        <v>63</v>
      </c>
      <c r="B448" s="1276"/>
      <c r="C448" s="1276"/>
      <c r="D448" s="1276"/>
      <c r="E448" s="1317"/>
    </row>
    <row r="449" spans="1:9" ht="15.75" thickBot="1" x14ac:dyDescent="0.3">
      <c r="A449" s="1275" t="s">
        <v>56</v>
      </c>
      <c r="B449" s="1276"/>
      <c r="C449" s="1276"/>
      <c r="D449" s="1276"/>
      <c r="E449" s="1317"/>
    </row>
    <row r="450" spans="1:9" ht="15.75" thickBot="1" x14ac:dyDescent="0.3">
      <c r="A450" s="20" t="s">
        <v>531</v>
      </c>
      <c r="B450" s="1241" t="s">
        <v>532</v>
      </c>
      <c r="C450" s="1242"/>
      <c r="D450" s="1242"/>
      <c r="E450" s="1318"/>
    </row>
    <row r="451" spans="1:9" ht="15.75" thickBot="1" x14ac:dyDescent="0.3">
      <c r="A451" s="7" t="s">
        <v>16</v>
      </c>
      <c r="B451" s="1243" t="s">
        <v>525</v>
      </c>
      <c r="C451" s="1244"/>
      <c r="D451" s="1244"/>
      <c r="E451" s="1315"/>
    </row>
    <row r="452" spans="1:9" ht="51.75" customHeight="1" thickBot="1" x14ac:dyDescent="0.3">
      <c r="A452" s="5" t="s">
        <v>17</v>
      </c>
      <c r="B452" s="1333" t="s">
        <v>529</v>
      </c>
      <c r="C452" s="1334"/>
      <c r="D452" s="1334"/>
      <c r="E452" s="1335"/>
    </row>
    <row r="453" spans="1:9" ht="15.75" thickBot="1" x14ac:dyDescent="0.3">
      <c r="A453" s="5" t="s">
        <v>18</v>
      </c>
      <c r="B453" s="1248" t="s">
        <v>955</v>
      </c>
      <c r="C453" s="1249"/>
      <c r="D453" s="1249"/>
      <c r="E453" s="1316"/>
    </row>
    <row r="454" spans="1:9" ht="12.75" customHeight="1" x14ac:dyDescent="0.25">
      <c r="A454" s="1250"/>
      <c r="B454" s="8">
        <v>2018</v>
      </c>
      <c r="C454" s="8">
        <v>2019</v>
      </c>
      <c r="D454" s="8">
        <v>2020</v>
      </c>
      <c r="E454" s="8">
        <v>2021</v>
      </c>
    </row>
    <row r="455" spans="1:9" ht="15.75" thickBot="1" x14ac:dyDescent="0.3">
      <c r="A455" s="1251"/>
      <c r="B455" s="9" t="s">
        <v>10</v>
      </c>
      <c r="C455" s="9" t="s">
        <v>11</v>
      </c>
      <c r="D455" s="9" t="s">
        <v>11</v>
      </c>
      <c r="E455" s="9" t="s">
        <v>11</v>
      </c>
    </row>
    <row r="456" spans="1:9" ht="15.75" thickBot="1" x14ac:dyDescent="0.3">
      <c r="A456" s="5" t="s">
        <v>19</v>
      </c>
      <c r="B456" s="10"/>
      <c r="C456" s="60">
        <v>5</v>
      </c>
      <c r="D456" s="60">
        <v>5</v>
      </c>
      <c r="E456" s="60">
        <v>5</v>
      </c>
    </row>
    <row r="457" spans="1:9" ht="15.75" thickBot="1" x14ac:dyDescent="0.3">
      <c r="A457" s="5" t="s">
        <v>20</v>
      </c>
      <c r="B457" s="10"/>
      <c r="C457" s="10">
        <v>400</v>
      </c>
      <c r="D457" s="10">
        <v>0</v>
      </c>
      <c r="E457" s="10">
        <v>0</v>
      </c>
    </row>
    <row r="458" spans="1:9" ht="15.75" thickBot="1" x14ac:dyDescent="0.3">
      <c r="A458" s="5" t="s">
        <v>21</v>
      </c>
      <c r="B458" s="10" t="e">
        <f>B457/B456</f>
        <v>#DIV/0!</v>
      </c>
      <c r="C458" s="10">
        <f>C457/C456</f>
        <v>80</v>
      </c>
      <c r="D458" s="10">
        <f>D457/D456</f>
        <v>0</v>
      </c>
      <c r="E458" s="10">
        <f>E457/E456</f>
        <v>0</v>
      </c>
    </row>
    <row r="459" spans="1:9" ht="15.75" thickBot="1" x14ac:dyDescent="0.3">
      <c r="A459" s="5" t="s">
        <v>22</v>
      </c>
      <c r="B459" s="151" t="s">
        <v>23</v>
      </c>
      <c r="C459" s="11" t="e">
        <f t="shared" ref="C459:E461" si="16">C456/B456-1</f>
        <v>#DIV/0!</v>
      </c>
      <c r="D459" s="11">
        <f t="shared" si="16"/>
        <v>0</v>
      </c>
      <c r="E459" s="11">
        <f t="shared" si="16"/>
        <v>0</v>
      </c>
      <c r="F459" s="12"/>
      <c r="G459" s="12"/>
      <c r="H459" s="12"/>
      <c r="I459" s="12"/>
    </row>
    <row r="460" spans="1:9" ht="15.75" thickBot="1" x14ac:dyDescent="0.3">
      <c r="A460" s="5" t="s">
        <v>24</v>
      </c>
      <c r="B460" s="151" t="s">
        <v>23</v>
      </c>
      <c r="C460" s="11" t="e">
        <f t="shared" si="16"/>
        <v>#DIV/0!</v>
      </c>
      <c r="D460" s="11">
        <f t="shared" si="16"/>
        <v>-1</v>
      </c>
      <c r="E460" s="11" t="e">
        <f t="shared" si="16"/>
        <v>#DIV/0!</v>
      </c>
    </row>
    <row r="461" spans="1:9" ht="15.75" thickBot="1" x14ac:dyDescent="0.3">
      <c r="A461" s="5" t="s">
        <v>25</v>
      </c>
      <c r="B461" s="151" t="s">
        <v>23</v>
      </c>
      <c r="C461" s="11" t="e">
        <f t="shared" si="16"/>
        <v>#DIV/0!</v>
      </c>
      <c r="D461" s="11">
        <f t="shared" si="16"/>
        <v>-1</v>
      </c>
      <c r="E461" s="11" t="e">
        <f t="shared" si="16"/>
        <v>#DIV/0!</v>
      </c>
    </row>
    <row r="462" spans="1:9" ht="15.75" thickBot="1" x14ac:dyDescent="0.3">
      <c r="A462" s="1252" t="s">
        <v>633</v>
      </c>
      <c r="B462" s="1253"/>
      <c r="C462" s="1253"/>
      <c r="D462" s="1253"/>
      <c r="E462" s="1300"/>
    </row>
    <row r="463" spans="1:9" ht="12.75" customHeight="1" x14ac:dyDescent="0.25">
      <c r="A463" s="1250"/>
      <c r="B463" s="8">
        <v>2018</v>
      </c>
      <c r="C463" s="8">
        <v>2019</v>
      </c>
      <c r="D463" s="8">
        <v>2020</v>
      </c>
      <c r="E463" s="8">
        <v>2021</v>
      </c>
    </row>
    <row r="464" spans="1:9" ht="15.75" thickBot="1" x14ac:dyDescent="0.3">
      <c r="A464" s="1251"/>
      <c r="B464" s="9" t="s">
        <v>10</v>
      </c>
      <c r="C464" s="9" t="s">
        <v>11</v>
      </c>
      <c r="D464" s="9" t="s">
        <v>11</v>
      </c>
      <c r="E464" s="9" t="s">
        <v>11</v>
      </c>
    </row>
    <row r="465" spans="1:5" ht="15.75" thickBot="1" x14ac:dyDescent="0.3">
      <c r="A465" s="13" t="s">
        <v>58</v>
      </c>
      <c r="B465" s="15">
        <v>0</v>
      </c>
      <c r="C465" s="15">
        <v>0</v>
      </c>
      <c r="D465" s="15">
        <v>0</v>
      </c>
      <c r="E465" s="15">
        <v>0</v>
      </c>
    </row>
    <row r="466" spans="1:5" ht="15.75" thickBot="1" x14ac:dyDescent="0.3">
      <c r="A466" s="13" t="s">
        <v>59</v>
      </c>
      <c r="B466" s="15">
        <v>0</v>
      </c>
      <c r="C466" s="14">
        <v>400</v>
      </c>
      <c r="D466" s="14">
        <v>0</v>
      </c>
      <c r="E466" s="14">
        <v>0</v>
      </c>
    </row>
    <row r="467" spans="1:5" ht="15.75" thickBot="1" x14ac:dyDescent="0.3">
      <c r="A467" s="16" t="s">
        <v>40</v>
      </c>
      <c r="B467" s="15">
        <f>B466+B465</f>
        <v>0</v>
      </c>
      <c r="C467" s="15">
        <f>C466+C465</f>
        <v>400</v>
      </c>
      <c r="D467" s="15">
        <f>D466+D465</f>
        <v>0</v>
      </c>
      <c r="E467" s="15">
        <f>E466+E465</f>
        <v>0</v>
      </c>
    </row>
    <row r="468" spans="1:5" ht="8.25" customHeight="1" x14ac:dyDescent="0.25">
      <c r="A468" s="1254" t="s">
        <v>60</v>
      </c>
      <c r="B468" s="1322"/>
      <c r="C468" s="1289"/>
      <c r="D468" s="1289"/>
      <c r="E468" s="1290"/>
    </row>
    <row r="469" spans="1:5" ht="9.75" customHeight="1" x14ac:dyDescent="0.25">
      <c r="A469" s="1255"/>
      <c r="B469" s="1291"/>
      <c r="C469" s="1292"/>
      <c r="D469" s="1292"/>
      <c r="E469" s="1293"/>
    </row>
    <row r="470" spans="1:5" ht="15.75" thickBot="1" x14ac:dyDescent="0.3">
      <c r="A470" s="1256"/>
      <c r="B470" s="1294"/>
      <c r="C470" s="1295"/>
      <c r="D470" s="1295"/>
      <c r="E470" s="1296"/>
    </row>
    <row r="471" spans="1:5" ht="15.75" thickBot="1" x14ac:dyDescent="0.3">
      <c r="A471" s="208"/>
      <c r="B471" s="207"/>
      <c r="C471" s="206"/>
      <c r="D471" s="206"/>
      <c r="E471" s="205"/>
    </row>
    <row r="472" spans="1:5" ht="15.75" thickBot="1" x14ac:dyDescent="0.3">
      <c r="A472" s="20" t="s">
        <v>954</v>
      </c>
      <c r="B472" s="1241" t="s">
        <v>953</v>
      </c>
      <c r="C472" s="1242"/>
      <c r="D472" s="1242"/>
      <c r="E472" s="1318"/>
    </row>
    <row r="473" spans="1:5" ht="15.75" customHeight="1" thickBot="1" x14ac:dyDescent="0.3">
      <c r="A473" s="7" t="s">
        <v>42</v>
      </c>
      <c r="B473" s="1243"/>
      <c r="C473" s="1244"/>
      <c r="D473" s="1244"/>
      <c r="E473" s="1315"/>
    </row>
    <row r="474" spans="1:5" ht="17.25" customHeight="1" thickBot="1" x14ac:dyDescent="0.3">
      <c r="A474" s="5" t="s">
        <v>17</v>
      </c>
      <c r="B474" s="1245" t="s">
        <v>953</v>
      </c>
      <c r="C474" s="1246"/>
      <c r="D474" s="1246"/>
      <c r="E474" s="1298"/>
    </row>
    <row r="475" spans="1:5" ht="15.75" customHeight="1" thickBot="1" x14ac:dyDescent="0.3">
      <c r="A475" s="5" t="s">
        <v>18</v>
      </c>
      <c r="B475" s="1248"/>
      <c r="C475" s="1249"/>
      <c r="D475" s="1249"/>
      <c r="E475" s="1316"/>
    </row>
    <row r="476" spans="1:5" ht="12.75" customHeight="1" x14ac:dyDescent="0.25">
      <c r="A476" s="1250"/>
      <c r="B476" s="8">
        <v>2018</v>
      </c>
      <c r="C476" s="8">
        <v>2019</v>
      </c>
      <c r="D476" s="8">
        <v>2020</v>
      </c>
      <c r="E476" s="8">
        <v>2021</v>
      </c>
    </row>
    <row r="477" spans="1:5" ht="9" customHeight="1" thickBot="1" x14ac:dyDescent="0.3">
      <c r="A477" s="1251"/>
      <c r="B477" s="9" t="s">
        <v>10</v>
      </c>
      <c r="C477" s="9" t="s">
        <v>11</v>
      </c>
      <c r="D477" s="9" t="s">
        <v>11</v>
      </c>
      <c r="E477" s="9" t="s">
        <v>11</v>
      </c>
    </row>
    <row r="478" spans="1:5" ht="15.75" thickBot="1" x14ac:dyDescent="0.3">
      <c r="A478" s="5" t="s">
        <v>19</v>
      </c>
      <c r="B478" s="10">
        <v>1</v>
      </c>
      <c r="C478" s="10">
        <v>0</v>
      </c>
      <c r="D478" s="10">
        <v>0</v>
      </c>
      <c r="E478" s="10">
        <v>0</v>
      </c>
    </row>
    <row r="479" spans="1:5" ht="15.75" thickBot="1" x14ac:dyDescent="0.3">
      <c r="A479" s="5" t="s">
        <v>20</v>
      </c>
      <c r="B479" s="10">
        <v>600</v>
      </c>
      <c r="C479" s="10">
        <v>0</v>
      </c>
      <c r="D479" s="10">
        <v>0</v>
      </c>
      <c r="E479" s="10">
        <v>0</v>
      </c>
    </row>
    <row r="480" spans="1:5" ht="15.75" thickBot="1" x14ac:dyDescent="0.3">
      <c r="A480" s="5" t="s">
        <v>21</v>
      </c>
      <c r="B480" s="10">
        <f>B479/B478</f>
        <v>600</v>
      </c>
      <c r="C480" s="10">
        <v>0</v>
      </c>
      <c r="D480" s="10">
        <v>0</v>
      </c>
      <c r="E480" s="10">
        <v>0</v>
      </c>
    </row>
    <row r="481" spans="1:9" ht="15.75" thickBot="1" x14ac:dyDescent="0.3">
      <c r="A481" s="5" t="s">
        <v>22</v>
      </c>
      <c r="B481" s="151" t="s">
        <v>23</v>
      </c>
      <c r="C481" s="11">
        <f t="shared" ref="C481:E483" si="17">C478/B478-1</f>
        <v>-1</v>
      </c>
      <c r="D481" s="11" t="e">
        <f t="shared" si="17"/>
        <v>#DIV/0!</v>
      </c>
      <c r="E481" s="11" t="e">
        <f t="shared" si="17"/>
        <v>#DIV/0!</v>
      </c>
      <c r="F481" s="12"/>
      <c r="G481" s="12"/>
      <c r="H481" s="12"/>
      <c r="I481" s="12"/>
    </row>
    <row r="482" spans="1:9" ht="15.75" thickBot="1" x14ac:dyDescent="0.3">
      <c r="A482" s="5" t="s">
        <v>24</v>
      </c>
      <c r="B482" s="151" t="s">
        <v>23</v>
      </c>
      <c r="C482" s="11">
        <f t="shared" si="17"/>
        <v>-1</v>
      </c>
      <c r="D482" s="11" t="e">
        <f t="shared" si="17"/>
        <v>#DIV/0!</v>
      </c>
      <c r="E482" s="11" t="e">
        <f t="shared" si="17"/>
        <v>#DIV/0!</v>
      </c>
    </row>
    <row r="483" spans="1:9" ht="15.75" thickBot="1" x14ac:dyDescent="0.3">
      <c r="A483" s="5" t="s">
        <v>25</v>
      </c>
      <c r="B483" s="151" t="s">
        <v>23</v>
      </c>
      <c r="C483" s="11">
        <f t="shared" si="17"/>
        <v>-1</v>
      </c>
      <c r="D483" s="11" t="e">
        <f t="shared" si="17"/>
        <v>#DIV/0!</v>
      </c>
      <c r="E483" s="11" t="e">
        <f t="shared" si="17"/>
        <v>#DIV/0!</v>
      </c>
    </row>
    <row r="484" spans="1:9" ht="15.75" thickBot="1" x14ac:dyDescent="0.3">
      <c r="A484" s="1252" t="s">
        <v>884</v>
      </c>
      <c r="B484" s="1253"/>
      <c r="C484" s="1253"/>
      <c r="D484" s="1253"/>
      <c r="E484" s="1300"/>
    </row>
    <row r="485" spans="1:9" ht="12.75" customHeight="1" x14ac:dyDescent="0.25">
      <c r="A485" s="1250"/>
      <c r="B485" s="8">
        <v>2018</v>
      </c>
      <c r="C485" s="8">
        <v>2019</v>
      </c>
      <c r="D485" s="8">
        <v>2020</v>
      </c>
      <c r="E485" s="8">
        <v>2021</v>
      </c>
    </row>
    <row r="486" spans="1:9" ht="15.75" thickBot="1" x14ac:dyDescent="0.3">
      <c r="A486" s="1251"/>
      <c r="B486" s="9" t="s">
        <v>10</v>
      </c>
      <c r="C486" s="9" t="s">
        <v>11</v>
      </c>
      <c r="D486" s="9" t="s">
        <v>11</v>
      </c>
      <c r="E486" s="9" t="s">
        <v>11</v>
      </c>
    </row>
    <row r="487" spans="1:9" ht="15.75" thickBot="1" x14ac:dyDescent="0.3">
      <c r="A487" s="13" t="s">
        <v>58</v>
      </c>
      <c r="B487" s="15">
        <v>0</v>
      </c>
      <c r="C487" s="15">
        <v>0</v>
      </c>
      <c r="D487" s="15">
        <v>0</v>
      </c>
      <c r="E487" s="15">
        <v>0</v>
      </c>
    </row>
    <row r="488" spans="1:9" ht="15.75" thickBot="1" x14ac:dyDescent="0.3">
      <c r="A488" s="13" t="s">
        <v>59</v>
      </c>
      <c r="B488" s="10">
        <v>600</v>
      </c>
      <c r="C488" s="10">
        <v>0</v>
      </c>
      <c r="D488" s="10">
        <v>0</v>
      </c>
      <c r="E488" s="10">
        <v>0</v>
      </c>
    </row>
    <row r="489" spans="1:9" ht="15.75" thickBot="1" x14ac:dyDescent="0.3">
      <c r="A489" s="16" t="s">
        <v>43</v>
      </c>
      <c r="B489" s="15">
        <f>B488+B487</f>
        <v>600</v>
      </c>
      <c r="C489" s="15">
        <f>C488+C487</f>
        <v>0</v>
      </c>
      <c r="D489" s="15">
        <f>D488+D487</f>
        <v>0</v>
      </c>
      <c r="E489" s="15">
        <f>E488+E487</f>
        <v>0</v>
      </c>
    </row>
    <row r="490" spans="1:9" ht="15.75" thickBot="1" x14ac:dyDescent="0.3">
      <c r="A490" s="204"/>
      <c r="B490" s="203"/>
      <c r="C490" s="203"/>
      <c r="D490" s="203"/>
      <c r="E490" s="202"/>
    </row>
    <row r="492" spans="1:9" ht="15.75" thickBot="1" x14ac:dyDescent="0.3">
      <c r="A492" s="22"/>
      <c r="B492" s="23"/>
      <c r="C492" s="23"/>
      <c r="D492" s="23"/>
      <c r="E492" s="23"/>
    </row>
    <row r="493" spans="1:9" ht="27" customHeight="1" thickBot="1" x14ac:dyDescent="0.3">
      <c r="A493" s="6" t="s">
        <v>82</v>
      </c>
      <c r="B493" s="24">
        <f>SUM(B38+B62+B89+B111+B138+B167+B192+B216+B243+B265+B292+B321+B346+B370+B397+B428+B457+B480)</f>
        <v>109150</v>
      </c>
      <c r="C493" s="24">
        <f>SUM(C38+C62+C89+C111+C138+C167+C192+C216+C243+C265+C292+C321+C346+C370+C397+C428+C457+C480)</f>
        <v>110000</v>
      </c>
      <c r="D493" s="24">
        <f>SUM(D38+D62+D89+D111+D138+D167+D192+D216+D243+D265+D292+D321+D346+D370+D397+D428+D457+D480)</f>
        <v>110000</v>
      </c>
      <c r="E493" s="24">
        <f>SUM(E38+E62+E89+E111+E138+E167+E192+E216+E243+E265+E292+E321+E346+E370+E397+E428+E457+E480)</f>
        <v>110000</v>
      </c>
    </row>
    <row r="494" spans="1:9" ht="24.75" thickBot="1" x14ac:dyDescent="0.3">
      <c r="A494" s="6" t="s">
        <v>83</v>
      </c>
      <c r="B494" s="24">
        <f>B496+B498+B500+B502+B504+B506+B508+B510+B512</f>
        <v>109150</v>
      </c>
      <c r="C494" s="24">
        <f>C496+C498+C500+C502+C504+C506+C508+C510+C512</f>
        <v>110000</v>
      </c>
      <c r="D494" s="24">
        <f>D496+D498+D500+D502+D504+D506+D508+D510+D512</f>
        <v>110000</v>
      </c>
      <c r="E494" s="24">
        <f>E496+E498+E500+E502+E504+E506+E508+E510+E512</f>
        <v>110000</v>
      </c>
    </row>
    <row r="495" spans="1:9" ht="24.75" thickBot="1" x14ac:dyDescent="0.3">
      <c r="A495" s="25" t="s">
        <v>84</v>
      </c>
      <c r="B495" s="26"/>
      <c r="C495" s="27">
        <f>C494/B494-1</f>
        <v>7.7874484654145704E-3</v>
      </c>
      <c r="D495" s="27">
        <f>D494/C494-1</f>
        <v>0</v>
      </c>
      <c r="E495" s="27">
        <f>E494/D494-1</f>
        <v>0</v>
      </c>
    </row>
    <row r="496" spans="1:9" ht="15.75" thickBot="1" x14ac:dyDescent="0.3">
      <c r="A496" s="13" t="s">
        <v>26</v>
      </c>
      <c r="B496" s="14">
        <f>B438+B378+B224+B200+B354+B302+B148+B70+B46</f>
        <v>29000</v>
      </c>
      <c r="C496" s="14">
        <f>C438+C378+C224+C200+C354+C302+C148+C70+C46</f>
        <v>30000</v>
      </c>
      <c r="D496" s="14">
        <f>D438+D378+D224+D200+D354+D302+D148+D70+D46</f>
        <v>30000</v>
      </c>
      <c r="E496" s="14">
        <f>E438+E378+E224+E200+E354+E302+E148+E70+E46</f>
        <v>30000</v>
      </c>
    </row>
    <row r="497" spans="1:5" ht="15.75" thickBot="1" x14ac:dyDescent="0.3">
      <c r="A497" s="28" t="s">
        <v>85</v>
      </c>
      <c r="B497" s="15"/>
      <c r="C497" s="29">
        <f>C496/B496-1</f>
        <v>3.4482758620689724E-2</v>
      </c>
      <c r="D497" s="29">
        <f>D496/C496-1</f>
        <v>0</v>
      </c>
      <c r="E497" s="29">
        <f>E496/D496-1</f>
        <v>0</v>
      </c>
    </row>
    <row r="498" spans="1:5" ht="24.75" thickBot="1" x14ac:dyDescent="0.3">
      <c r="A498" s="13" t="s">
        <v>28</v>
      </c>
      <c r="B498" s="14">
        <f>B439+B379+B225+B201+B355+B303+B149+B71+B47</f>
        <v>5500</v>
      </c>
      <c r="C498" s="14">
        <f>C439+C379+C225+C201+C355+C303+C149+C71+C47</f>
        <v>4500</v>
      </c>
      <c r="D498" s="14">
        <f>D439+D379+D225+D201+D355+D303+D149+D71+D47</f>
        <v>4500</v>
      </c>
      <c r="E498" s="14">
        <f>E439+E379+E225+E201+E355+E303+E149+E71+E47</f>
        <v>4500</v>
      </c>
    </row>
    <row r="499" spans="1:5" ht="24.75" thickBot="1" x14ac:dyDescent="0.3">
      <c r="A499" s="28" t="s">
        <v>86</v>
      </c>
      <c r="B499" s="15"/>
      <c r="C499" s="29">
        <f>C498/B498-1</f>
        <v>-0.18181818181818177</v>
      </c>
      <c r="D499" s="29">
        <f>D498/C498-1</f>
        <v>0</v>
      </c>
      <c r="E499" s="29">
        <f>E498/D498-1</f>
        <v>0</v>
      </c>
    </row>
    <row r="500" spans="1:5" ht="15.75" thickBot="1" x14ac:dyDescent="0.3">
      <c r="A500" s="13" t="s">
        <v>30</v>
      </c>
      <c r="B500" s="14">
        <f>B440+B380+B226+B202+B356+B304+B150+B72+B48</f>
        <v>47050</v>
      </c>
      <c r="C500" s="14">
        <f>C440+C380+C226+C202+C356+C304+C150+C72+C48</f>
        <v>43100</v>
      </c>
      <c r="D500" s="14">
        <f>D440+D380+D226+D202+D356+D304+D150+D72+D48</f>
        <v>43100</v>
      </c>
      <c r="E500" s="14">
        <f>E440+E380+E226+E202+E356+E304+E150+E72+E48</f>
        <v>43100</v>
      </c>
    </row>
    <row r="501" spans="1:5" ht="15.75" thickBot="1" x14ac:dyDescent="0.3">
      <c r="A501" s="28" t="s">
        <v>87</v>
      </c>
      <c r="B501" s="14"/>
      <c r="C501" s="29">
        <f>C500/B500-1</f>
        <v>-8.3953241232731179E-2</v>
      </c>
      <c r="D501" s="29">
        <f>D500/C500-1</f>
        <v>0</v>
      </c>
      <c r="E501" s="29">
        <f>E500/D500-1</f>
        <v>0</v>
      </c>
    </row>
    <row r="502" spans="1:5" ht="15.75" thickBot="1" x14ac:dyDescent="0.3">
      <c r="A502" s="13" t="s">
        <v>32</v>
      </c>
      <c r="B502" s="14">
        <f>B441+B381+B227+B203+B357+B305+B151+B73+B49</f>
        <v>0</v>
      </c>
      <c r="C502" s="14">
        <f>C441+C381+C227+C203+C357+C305+C151+C73+C49</f>
        <v>0</v>
      </c>
      <c r="D502" s="14">
        <f>D441+D381+D227+D203+D357+D305+D151+D73+D49</f>
        <v>0</v>
      </c>
      <c r="E502" s="14">
        <f>E441+E381+E227+E203+E357+E305+E151+E73+E49</f>
        <v>0</v>
      </c>
    </row>
    <row r="503" spans="1:5" ht="15.75" thickBot="1" x14ac:dyDescent="0.3">
      <c r="A503" s="28" t="s">
        <v>88</v>
      </c>
      <c r="B503" s="14"/>
      <c r="C503" s="29">
        <v>0</v>
      </c>
      <c r="D503" s="29">
        <v>0</v>
      </c>
      <c r="E503" s="29">
        <v>0</v>
      </c>
    </row>
    <row r="504" spans="1:5" ht="15.75" thickBot="1" x14ac:dyDescent="0.3">
      <c r="A504" s="13" t="s">
        <v>34</v>
      </c>
      <c r="B504" s="14">
        <f>B442+B382+B228+B204+B358+B306+B152+B74+B50</f>
        <v>1000</v>
      </c>
      <c r="C504" s="14">
        <f>C442+C382+C228+C204+C358+C306+C152+C74+C50</f>
        <v>1000</v>
      </c>
      <c r="D504" s="14">
        <f>D442+D382+D228+D204+D358+D306+D152+D74+D50</f>
        <v>1000</v>
      </c>
      <c r="E504" s="14">
        <f>E442+E382+E228+E204+E358+E306+E152+E74+E50</f>
        <v>1000</v>
      </c>
    </row>
    <row r="505" spans="1:5" ht="15.75" thickBot="1" x14ac:dyDescent="0.3">
      <c r="A505" s="28" t="s">
        <v>89</v>
      </c>
      <c r="B505" s="14"/>
      <c r="C505" s="29">
        <f>C504/B504-1</f>
        <v>0</v>
      </c>
      <c r="D505" s="29">
        <f>D504/C504-1</f>
        <v>0</v>
      </c>
      <c r="E505" s="29">
        <f>E504/D504-1</f>
        <v>0</v>
      </c>
    </row>
    <row r="506" spans="1:5" ht="15.75" thickBot="1" x14ac:dyDescent="0.3">
      <c r="A506" s="13" t="s">
        <v>36</v>
      </c>
      <c r="B506" s="14">
        <f>B443+B383+B229+B205+B359+B307+B153+B75+B51</f>
        <v>400</v>
      </c>
      <c r="C506" s="14">
        <f>C443+C383+C229+C205+C359+C307+C153+C75+C51</f>
        <v>400</v>
      </c>
      <c r="D506" s="14">
        <f>D443+D383+D229+D205+D359+D307+D153+D75+D51</f>
        <v>400</v>
      </c>
      <c r="E506" s="14">
        <f>E443+E383+E229+E205+E359+E307+E153+E75+E51</f>
        <v>400</v>
      </c>
    </row>
    <row r="507" spans="1:5" ht="15.75" thickBot="1" x14ac:dyDescent="0.3">
      <c r="A507" s="28" t="s">
        <v>90</v>
      </c>
      <c r="B507" s="14"/>
      <c r="C507" s="29">
        <f>C506/B506-1</f>
        <v>0</v>
      </c>
      <c r="D507" s="29">
        <f>D506/C506-1</f>
        <v>0</v>
      </c>
      <c r="E507" s="29">
        <f>E506/D506-1</f>
        <v>0</v>
      </c>
    </row>
    <row r="508" spans="1:5" ht="24.75" thickBot="1" x14ac:dyDescent="0.3">
      <c r="A508" s="13" t="s">
        <v>38</v>
      </c>
      <c r="B508" s="14">
        <f>B444+B384+B230+B206+B360+B308+B154+B76+B52</f>
        <v>25600</v>
      </c>
      <c r="C508" s="14">
        <f>C444+C384+C230+C206+C360+C308+C154+C76+C52</f>
        <v>30000</v>
      </c>
      <c r="D508" s="14">
        <f>D444+D384+D230+D206+D360+D308+D154+D76+D52</f>
        <v>30000</v>
      </c>
      <c r="E508" s="14">
        <f>E444+E384+E230+E206+E360+E308+E154+E76+E52</f>
        <v>30000</v>
      </c>
    </row>
    <row r="509" spans="1:5" ht="24.75" thickBot="1" x14ac:dyDescent="0.3">
      <c r="A509" s="28" t="s">
        <v>91</v>
      </c>
      <c r="B509" s="14"/>
      <c r="C509" s="29">
        <f>C508/B508-1</f>
        <v>0.171875</v>
      </c>
      <c r="D509" s="29">
        <f>D508/C508-1</f>
        <v>0</v>
      </c>
      <c r="E509" s="29">
        <f>E508/D508-1</f>
        <v>0</v>
      </c>
    </row>
    <row r="510" spans="1:5" ht="15.75" thickBot="1" x14ac:dyDescent="0.3">
      <c r="A510" s="13" t="s">
        <v>92</v>
      </c>
      <c r="B510" s="14">
        <f>B97+B119+B175+B251+B273+B329+B405+B465</f>
        <v>0</v>
      </c>
      <c r="C510" s="14">
        <f>C97+C119+C175+C251+C273+C329+C405+C465</f>
        <v>0</v>
      </c>
      <c r="D510" s="14">
        <f>D97+D119+D175+D251+D273+D329+D405+D465</f>
        <v>0</v>
      </c>
      <c r="E510" s="14">
        <f>E97+E119+E175+E251+E273+E329+E405+E465</f>
        <v>0</v>
      </c>
    </row>
    <row r="511" spans="1:5" ht="15.75" thickBot="1" x14ac:dyDescent="0.3">
      <c r="A511" s="28" t="s">
        <v>93</v>
      </c>
      <c r="B511" s="14"/>
      <c r="C511" s="29"/>
      <c r="D511" s="29"/>
      <c r="E511" s="29"/>
    </row>
    <row r="512" spans="1:5" ht="15.75" thickBot="1" x14ac:dyDescent="0.3">
      <c r="A512" s="13" t="s">
        <v>94</v>
      </c>
      <c r="B512" s="14">
        <f>B98+B120+B176+B252+B274+B330+B406+B466+B489</f>
        <v>600</v>
      </c>
      <c r="C512" s="14">
        <f>C98+C120+C176+C252+C274+C330+C406+C466+C489</f>
        <v>1000</v>
      </c>
      <c r="D512" s="14">
        <f>D98+D120+D176+D252+D274+D330+D406+D466+D489</f>
        <v>1000</v>
      </c>
      <c r="E512" s="14">
        <f>E98+E120+E176+E252+E274+E330+E406+E466+E489</f>
        <v>1000</v>
      </c>
    </row>
    <row r="513" spans="1:5" ht="15.75" thickBot="1" x14ac:dyDescent="0.3">
      <c r="A513" s="28" t="s">
        <v>95</v>
      </c>
      <c r="B513" s="15"/>
      <c r="C513" s="29">
        <f>C512/B512-1</f>
        <v>0.66666666666666674</v>
      </c>
      <c r="D513" s="29">
        <f>D512/C512-1</f>
        <v>0</v>
      </c>
      <c r="E513" s="29">
        <f>E512/D512-1</f>
        <v>0</v>
      </c>
    </row>
    <row r="514" spans="1:5" ht="15.75" thickBot="1" x14ac:dyDescent="0.3">
      <c r="A514" s="17" t="s">
        <v>41</v>
      </c>
      <c r="B514" s="18">
        <f>IF(B494-B493=0,0,"Error")</f>
        <v>0</v>
      </c>
      <c r="C514" s="18">
        <f>IF(C494-C493=0,0,"Error")</f>
        <v>0</v>
      </c>
      <c r="D514" s="18">
        <f>IF(D494-D493=0,0,"Error")</f>
        <v>0</v>
      </c>
      <c r="E514" s="18">
        <f>IF(E494-E493=0,0,"Error")</f>
        <v>0</v>
      </c>
    </row>
    <row r="515" spans="1:5" ht="24.75" thickBot="1" x14ac:dyDescent="0.3">
      <c r="A515" s="30" t="s">
        <v>96</v>
      </c>
      <c r="B515" s="14">
        <v>29</v>
      </c>
      <c r="C515" s="14">
        <v>29</v>
      </c>
      <c r="D515" s="14">
        <v>29</v>
      </c>
      <c r="E515" s="14">
        <v>29</v>
      </c>
    </row>
    <row r="516" spans="1:5" ht="24.75" thickBot="1" x14ac:dyDescent="0.3">
      <c r="A516" s="30" t="s">
        <v>97</v>
      </c>
      <c r="B516" s="14">
        <v>0</v>
      </c>
      <c r="C516" s="14">
        <v>0</v>
      </c>
      <c r="D516" s="14">
        <v>0</v>
      </c>
      <c r="E516" s="14">
        <v>0</v>
      </c>
    </row>
  </sheetData>
  <mergeCells count="180">
    <mergeCell ref="A476:A477"/>
    <mergeCell ref="A484:E484"/>
    <mergeCell ref="A485:A486"/>
    <mergeCell ref="A468:A470"/>
    <mergeCell ref="B468:E470"/>
    <mergeCell ref="B472:E472"/>
    <mergeCell ref="B473:E473"/>
    <mergeCell ref="B474:E474"/>
    <mergeCell ref="B475:E475"/>
    <mergeCell ref="B188:E188"/>
    <mergeCell ref="A394:A395"/>
    <mergeCell ref="B365:E365"/>
    <mergeCell ref="B366:E366"/>
    <mergeCell ref="B364:E364"/>
    <mergeCell ref="A389:E389"/>
    <mergeCell ref="B391:E391"/>
    <mergeCell ref="B392:E392"/>
    <mergeCell ref="B393:E393"/>
    <mergeCell ref="A300:A301"/>
    <mergeCell ref="A318:A319"/>
    <mergeCell ref="A327:A328"/>
    <mergeCell ref="A351:E351"/>
    <mergeCell ref="A352:A353"/>
    <mergeCell ref="A367:A368"/>
    <mergeCell ref="A313:E313"/>
    <mergeCell ref="A326:E326"/>
    <mergeCell ref="B390:E390"/>
    <mergeCell ref="A388:E388"/>
    <mergeCell ref="A343:A344"/>
    <mergeCell ref="A339:E339"/>
    <mergeCell ref="B341:E341"/>
    <mergeCell ref="B342:E342"/>
    <mergeCell ref="B340:E340"/>
    <mergeCell ref="A338:E338"/>
    <mergeCell ref="B333:E333"/>
    <mergeCell ref="A334:E334"/>
    <mergeCell ref="B286:E286"/>
    <mergeCell ref="A312:E312"/>
    <mergeCell ref="B210:E210"/>
    <mergeCell ref="A213:A214"/>
    <mergeCell ref="A414:E414"/>
    <mergeCell ref="B260:E260"/>
    <mergeCell ref="B261:E261"/>
    <mergeCell ref="A283:E283"/>
    <mergeCell ref="A282:E282"/>
    <mergeCell ref="A262:A263"/>
    <mergeCell ref="A270:E270"/>
    <mergeCell ref="B211:E211"/>
    <mergeCell ref="B212:E212"/>
    <mergeCell ref="A235:E235"/>
    <mergeCell ref="A234:E234"/>
    <mergeCell ref="A222:A223"/>
    <mergeCell ref="A221:E221"/>
    <mergeCell ref="A375:E375"/>
    <mergeCell ref="A376:A377"/>
    <mergeCell ref="A278:E278"/>
    <mergeCell ref="A284:A285"/>
    <mergeCell ref="A463:A464"/>
    <mergeCell ref="A449:E449"/>
    <mergeCell ref="B451:E451"/>
    <mergeCell ref="B452:E452"/>
    <mergeCell ref="B453:E453"/>
    <mergeCell ref="B450:E450"/>
    <mergeCell ref="A448:E448"/>
    <mergeCell ref="A419:E419"/>
    <mergeCell ref="A420:A421"/>
    <mergeCell ref="A425:A426"/>
    <mergeCell ref="A433:A434"/>
    <mergeCell ref="A435:E435"/>
    <mergeCell ref="A436:A437"/>
    <mergeCell ref="A454:A455"/>
    <mergeCell ref="B423:E423"/>
    <mergeCell ref="B424:E424"/>
    <mergeCell ref="B422:E422"/>
    <mergeCell ref="A289:A290"/>
    <mergeCell ref="A297:A298"/>
    <mergeCell ref="A299:E299"/>
    <mergeCell ref="B287:E287"/>
    <mergeCell ref="B288:E288"/>
    <mergeCell ref="A462:E462"/>
    <mergeCell ref="B132:E132"/>
    <mergeCell ref="A402:E402"/>
    <mergeCell ref="A403:A404"/>
    <mergeCell ref="A408:A410"/>
    <mergeCell ref="B408:E410"/>
    <mergeCell ref="B413:E413"/>
    <mergeCell ref="B239:E239"/>
    <mergeCell ref="B259:E259"/>
    <mergeCell ref="A240:A241"/>
    <mergeCell ref="A248:E248"/>
    <mergeCell ref="A249:A250"/>
    <mergeCell ref="A254:A256"/>
    <mergeCell ref="B254:E256"/>
    <mergeCell ref="A418:E418"/>
    <mergeCell ref="A198:A199"/>
    <mergeCell ref="B314:E314"/>
    <mergeCell ref="B315:E315"/>
    <mergeCell ref="B316:E316"/>
    <mergeCell ref="A130:A131"/>
    <mergeCell ref="B106:E106"/>
    <mergeCell ref="B107:E107"/>
    <mergeCell ref="A108:A109"/>
    <mergeCell ref="B100:E102"/>
    <mergeCell ref="B104:E104"/>
    <mergeCell ref="B105:E105"/>
    <mergeCell ref="A271:A272"/>
    <mergeCell ref="B277:E277"/>
    <mergeCell ref="A143:A144"/>
    <mergeCell ref="A145:E145"/>
    <mergeCell ref="A146:A147"/>
    <mergeCell ref="A164:A165"/>
    <mergeCell ref="A172:E172"/>
    <mergeCell ref="B162:E162"/>
    <mergeCell ref="B163:E163"/>
    <mergeCell ref="A173:A174"/>
    <mergeCell ref="B179:E179"/>
    <mergeCell ref="A189:A190"/>
    <mergeCell ref="A197:E197"/>
    <mergeCell ref="A184:E184"/>
    <mergeCell ref="B186:E186"/>
    <mergeCell ref="A185:E185"/>
    <mergeCell ref="B187:E187"/>
    <mergeCell ref="B83:E83"/>
    <mergeCell ref="B84:E84"/>
    <mergeCell ref="B33:E33"/>
    <mergeCell ref="B34:E34"/>
    <mergeCell ref="A35:A36"/>
    <mergeCell ref="A43:E43"/>
    <mergeCell ref="A128:E128"/>
    <mergeCell ref="A116:E116"/>
    <mergeCell ref="A117:A118"/>
    <mergeCell ref="A124:E124"/>
    <mergeCell ref="B317:E317"/>
    <mergeCell ref="B12:E12"/>
    <mergeCell ref="B13:E13"/>
    <mergeCell ref="B14:E14"/>
    <mergeCell ref="A15:E15"/>
    <mergeCell ref="A44:A45"/>
    <mergeCell ref="B56:E56"/>
    <mergeCell ref="B123:E123"/>
    <mergeCell ref="A159:E159"/>
    <mergeCell ref="B161:E161"/>
    <mergeCell ref="B160:E160"/>
    <mergeCell ref="A158:E158"/>
    <mergeCell ref="A129:E129"/>
    <mergeCell ref="B133:E133"/>
    <mergeCell ref="B134:E134"/>
    <mergeCell ref="A86:A87"/>
    <mergeCell ref="A94:E94"/>
    <mergeCell ref="A95:A96"/>
    <mergeCell ref="A100:A102"/>
    <mergeCell ref="B57:E57"/>
    <mergeCell ref="A31:E31"/>
    <mergeCell ref="B32:E32"/>
    <mergeCell ref="A30:E30"/>
    <mergeCell ref="B82:E82"/>
    <mergeCell ref="B4:E4"/>
    <mergeCell ref="B5:E5"/>
    <mergeCell ref="B6:E6"/>
    <mergeCell ref="C7:E7"/>
    <mergeCell ref="C8:E8"/>
    <mergeCell ref="A10:E10"/>
    <mergeCell ref="B258:E258"/>
    <mergeCell ref="B236:E236"/>
    <mergeCell ref="B237:E237"/>
    <mergeCell ref="B238:E238"/>
    <mergeCell ref="A135:A136"/>
    <mergeCell ref="A180:E180"/>
    <mergeCell ref="B85:E85"/>
    <mergeCell ref="A80:E80"/>
    <mergeCell ref="A67:E67"/>
    <mergeCell ref="A68:A69"/>
    <mergeCell ref="A59:A60"/>
    <mergeCell ref="B58:E58"/>
    <mergeCell ref="A81:E81"/>
    <mergeCell ref="A16:E18"/>
    <mergeCell ref="B19:E19"/>
    <mergeCell ref="A20:A21"/>
    <mergeCell ref="B25:E25"/>
    <mergeCell ref="A26:E26"/>
  </mergeCells>
  <printOptions horizontalCentered="1" verticalCentered="1"/>
  <pageMargins left="0.7" right="0.7" top="0.75" bottom="0.75" header="0.3" footer="0.3"/>
  <pageSetup scale="57" orientation="portrait" r:id="rId1"/>
  <rowBreaks count="4" manualBreakCount="4">
    <brk id="77" max="16383" man="1"/>
    <brk id="133" max="16383" man="1"/>
    <brk id="202" max="16383" man="1"/>
    <brk id="272"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163"/>
  <sheetViews>
    <sheetView tabSelected="1" view="pageBreakPreview" zoomScale="85" zoomScaleNormal="100" zoomScaleSheetLayoutView="85" workbookViewId="0">
      <selection activeCell="J20" sqref="J20"/>
    </sheetView>
  </sheetViews>
  <sheetFormatPr defaultRowHeight="15" x14ac:dyDescent="0.25"/>
  <cols>
    <col min="1" max="1" width="23.42578125" customWidth="1"/>
    <col min="2" max="3" width="21.42578125" customWidth="1"/>
    <col min="4" max="4" width="14.85546875" customWidth="1"/>
    <col min="5" max="5" width="16" customWidth="1"/>
  </cols>
  <sheetData>
    <row r="1" spans="1:5" x14ac:dyDescent="0.25">
      <c r="A1" s="189" t="s">
        <v>898</v>
      </c>
      <c r="B1" s="188"/>
      <c r="C1" s="188"/>
      <c r="D1" s="188"/>
    </row>
    <row r="3" spans="1:5" ht="15.75" thickBot="1" x14ac:dyDescent="0.3"/>
    <row r="4" spans="1:5" ht="30.75" thickBot="1" x14ac:dyDescent="0.3">
      <c r="A4" s="2605" t="s">
        <v>897</v>
      </c>
      <c r="B4" s="2606" t="s">
        <v>1677</v>
      </c>
      <c r="C4" s="2607"/>
      <c r="D4" s="2607"/>
      <c r="E4" s="2608"/>
    </row>
    <row r="5" spans="1:5" ht="30" customHeight="1" thickBot="1" x14ac:dyDescent="0.3">
      <c r="A5" s="2609" t="s">
        <v>895</v>
      </c>
      <c r="B5" s="2610" t="s">
        <v>1678</v>
      </c>
      <c r="C5" s="2611"/>
      <c r="D5" s="2611"/>
      <c r="E5" s="2612"/>
    </row>
    <row r="6" spans="1:5" ht="30" x14ac:dyDescent="0.25">
      <c r="A6" s="2613" t="s">
        <v>893</v>
      </c>
      <c r="B6" s="2614" t="s">
        <v>1679</v>
      </c>
      <c r="C6" s="2615"/>
      <c r="D6" s="2615"/>
      <c r="E6" s="2615"/>
    </row>
    <row r="7" spans="1:5" ht="51" customHeight="1" thickBot="1" x14ac:dyDescent="0.3">
      <c r="A7" s="2616" t="s">
        <v>929</v>
      </c>
      <c r="B7" s="2615"/>
      <c r="C7" s="2615"/>
      <c r="D7" s="2615"/>
      <c r="E7" s="2615"/>
    </row>
    <row r="8" spans="1:5" ht="16.5" thickBot="1" x14ac:dyDescent="0.3">
      <c r="A8" s="2617" t="s">
        <v>891</v>
      </c>
      <c r="B8" s="2618" t="s">
        <v>1680</v>
      </c>
      <c r="C8" s="2619"/>
      <c r="D8" s="2619"/>
      <c r="E8" s="2620" t="s">
        <v>1681</v>
      </c>
    </row>
    <row r="9" spans="1:5" ht="57.75" customHeight="1" thickBot="1" x14ac:dyDescent="0.3">
      <c r="A9" s="1077" t="s">
        <v>1682</v>
      </c>
      <c r="B9" s="2621">
        <v>1120</v>
      </c>
      <c r="C9" s="2622" t="s">
        <v>1683</v>
      </c>
      <c r="D9" s="2623"/>
      <c r="E9" s="2623"/>
    </row>
    <row r="10" spans="1:5" ht="18" customHeight="1" x14ac:dyDescent="0.25">
      <c r="A10" s="1247" t="s">
        <v>926</v>
      </c>
      <c r="B10" s="1247"/>
      <c r="C10" s="1247"/>
      <c r="D10" s="1247"/>
      <c r="E10" s="1247"/>
    </row>
    <row r="11" spans="1:5" ht="15.75" thickBot="1" x14ac:dyDescent="0.3"/>
    <row r="12" spans="1:5" ht="26.25" thickBot="1" x14ac:dyDescent="0.3">
      <c r="A12" s="2" t="s">
        <v>2</v>
      </c>
      <c r="B12" s="1263" t="s">
        <v>1684</v>
      </c>
      <c r="C12" s="1263"/>
      <c r="D12" s="1263"/>
      <c r="E12" s="1263"/>
    </row>
    <row r="13" spans="1:5" ht="15.75" thickBot="1" x14ac:dyDescent="0.3">
      <c r="A13" s="2" t="s">
        <v>3</v>
      </c>
      <c r="B13" s="1087" t="s">
        <v>1685</v>
      </c>
      <c r="C13" s="1088"/>
      <c r="D13" s="1088"/>
      <c r="E13" s="1089"/>
    </row>
    <row r="14" spans="1:5" ht="26.25" thickBot="1" x14ac:dyDescent="0.3">
      <c r="A14" s="2" t="s">
        <v>5</v>
      </c>
      <c r="B14" s="1265" t="s">
        <v>6</v>
      </c>
      <c r="C14" s="1095"/>
      <c r="D14" s="1095"/>
      <c r="E14" s="1096"/>
    </row>
    <row r="15" spans="1:5" ht="15.75" thickBot="1" x14ac:dyDescent="0.3">
      <c r="A15" s="1266" t="s">
        <v>7</v>
      </c>
      <c r="B15" s="1267"/>
      <c r="C15" s="1267"/>
      <c r="D15" s="1267"/>
      <c r="E15" s="1297"/>
    </row>
    <row r="16" spans="1:5" ht="15.75" thickBot="1" x14ac:dyDescent="0.3">
      <c r="A16" s="1268" t="s">
        <v>1686</v>
      </c>
      <c r="B16" s="1269"/>
      <c r="C16" s="1269"/>
      <c r="D16" s="1269"/>
      <c r="E16" s="1301"/>
    </row>
    <row r="17" spans="1:5" ht="12.75" customHeight="1" thickBot="1" x14ac:dyDescent="0.3">
      <c r="A17" s="1268"/>
      <c r="B17" s="1269"/>
      <c r="C17" s="1269"/>
      <c r="D17" s="1269"/>
      <c r="E17" s="1301"/>
    </row>
    <row r="18" spans="1:5" ht="3" hidden="1" customHeight="1" thickBot="1" x14ac:dyDescent="0.3">
      <c r="A18" s="1268"/>
      <c r="B18" s="1269"/>
      <c r="C18" s="1269"/>
      <c r="D18" s="1269"/>
      <c r="E18" s="1301"/>
    </row>
    <row r="19" spans="1:5" ht="63.75" customHeight="1" thickBot="1" x14ac:dyDescent="0.3">
      <c r="A19" s="3" t="s">
        <v>8</v>
      </c>
      <c r="B19" s="1302" t="s">
        <v>1687</v>
      </c>
      <c r="C19" s="1303"/>
      <c r="D19" s="1303"/>
      <c r="E19" s="1304"/>
    </row>
    <row r="20" spans="1:5" ht="23.25" customHeight="1" x14ac:dyDescent="0.25">
      <c r="A20" s="1250" t="s">
        <v>102</v>
      </c>
      <c r="B20" s="1079">
        <v>2018</v>
      </c>
      <c r="C20" s="1079">
        <v>2019</v>
      </c>
      <c r="D20" s="1079">
        <v>2020</v>
      </c>
      <c r="E20" s="1079">
        <v>2021</v>
      </c>
    </row>
    <row r="21" spans="1:5" ht="15.75" thickBot="1" x14ac:dyDescent="0.3">
      <c r="A21" s="1251"/>
      <c r="B21" s="1080" t="s">
        <v>10</v>
      </c>
      <c r="C21" s="1080" t="s">
        <v>11</v>
      </c>
      <c r="D21" s="1080" t="s">
        <v>11</v>
      </c>
      <c r="E21" s="1080" t="s">
        <v>11</v>
      </c>
    </row>
    <row r="22" spans="1:5" ht="23.25" thickBot="1" x14ac:dyDescent="0.3">
      <c r="A22" s="1078" t="s">
        <v>1688</v>
      </c>
      <c r="B22" s="4">
        <v>0.75</v>
      </c>
      <c r="C22" s="4">
        <v>0.9</v>
      </c>
      <c r="D22" s="4">
        <v>0.95</v>
      </c>
      <c r="E22" s="4">
        <v>10.050000000000001</v>
      </c>
    </row>
    <row r="23" spans="1:5" ht="24.75" thickBot="1" x14ac:dyDescent="0.3">
      <c r="A23" s="6" t="s">
        <v>12</v>
      </c>
      <c r="B23" s="1272" t="s">
        <v>1689</v>
      </c>
      <c r="C23" s="1270"/>
      <c r="D23" s="1270"/>
      <c r="E23" s="1305"/>
    </row>
    <row r="24" spans="1:5" ht="23.25" customHeight="1" thickBot="1" x14ac:dyDescent="0.3">
      <c r="A24" s="1245" t="s">
        <v>13</v>
      </c>
      <c r="B24" s="1246"/>
      <c r="C24" s="1246"/>
      <c r="D24" s="1246"/>
      <c r="E24" s="1298"/>
    </row>
    <row r="25" spans="1:5" ht="23.25" thickBot="1" x14ac:dyDescent="0.3">
      <c r="A25" s="1078" t="s">
        <v>1690</v>
      </c>
      <c r="B25" s="4">
        <v>0.56999999999999995</v>
      </c>
      <c r="C25" s="4">
        <v>0.7</v>
      </c>
      <c r="D25" s="4">
        <v>0.75</v>
      </c>
      <c r="E25" s="4">
        <v>0.75</v>
      </c>
    </row>
    <row r="26" spans="1:5" ht="15.75" thickBot="1" x14ac:dyDescent="0.3">
      <c r="A26" s="1273" t="s">
        <v>14</v>
      </c>
      <c r="B26" s="1274"/>
      <c r="C26" s="1274"/>
      <c r="D26" s="1274"/>
      <c r="E26" s="1299"/>
    </row>
    <row r="27" spans="1:5" ht="15.75" thickBot="1" x14ac:dyDescent="0.3">
      <c r="A27" s="1275" t="s">
        <v>104</v>
      </c>
      <c r="B27" s="1276"/>
      <c r="C27" s="1276"/>
      <c r="D27" s="1276"/>
      <c r="E27" s="1317"/>
    </row>
    <row r="28" spans="1:5" ht="15.75" thickBot="1" x14ac:dyDescent="0.3">
      <c r="A28" s="7" t="s">
        <v>16</v>
      </c>
      <c r="B28" s="1243" t="s">
        <v>1691</v>
      </c>
      <c r="C28" s="1244"/>
      <c r="D28" s="1244"/>
      <c r="E28" s="1315"/>
    </row>
    <row r="29" spans="1:5" ht="17.25" customHeight="1" thickBot="1" x14ac:dyDescent="0.3">
      <c r="A29" s="5" t="s">
        <v>17</v>
      </c>
      <c r="B29" s="1245" t="s">
        <v>1691</v>
      </c>
      <c r="C29" s="1246"/>
      <c r="D29" s="1246"/>
      <c r="E29" s="1298"/>
    </row>
    <row r="30" spans="1:5" ht="15.75" thickBot="1" x14ac:dyDescent="0.3">
      <c r="A30" s="5" t="s">
        <v>18</v>
      </c>
      <c r="B30" s="1248" t="s">
        <v>1692</v>
      </c>
      <c r="C30" s="1249"/>
      <c r="D30" s="1249"/>
      <c r="E30" s="1316"/>
    </row>
    <row r="31" spans="1:5" ht="12.75" customHeight="1" x14ac:dyDescent="0.25">
      <c r="A31" s="1250"/>
      <c r="B31" s="8">
        <v>2018</v>
      </c>
      <c r="C31" s="8">
        <v>2019</v>
      </c>
      <c r="D31" s="8">
        <v>2020</v>
      </c>
      <c r="E31" s="8">
        <v>2021</v>
      </c>
    </row>
    <row r="32" spans="1:5" ht="9" customHeight="1" thickBot="1" x14ac:dyDescent="0.3">
      <c r="A32" s="1251"/>
      <c r="B32" s="9" t="s">
        <v>10</v>
      </c>
      <c r="C32" s="9" t="s">
        <v>11</v>
      </c>
      <c r="D32" s="9" t="s">
        <v>11</v>
      </c>
      <c r="E32" s="9" t="s">
        <v>11</v>
      </c>
    </row>
    <row r="33" spans="1:6" ht="15.75" thickBot="1" x14ac:dyDescent="0.3">
      <c r="A33" s="5" t="s">
        <v>19</v>
      </c>
      <c r="B33" s="10">
        <v>138</v>
      </c>
      <c r="C33" s="10">
        <v>138</v>
      </c>
      <c r="D33" s="10">
        <v>138</v>
      </c>
      <c r="E33" s="10">
        <v>138</v>
      </c>
    </row>
    <row r="34" spans="1:6" ht="15.75" thickBot="1" x14ac:dyDescent="0.3">
      <c r="A34" s="5" t="s">
        <v>20</v>
      </c>
      <c r="B34" s="10">
        <v>336874</v>
      </c>
      <c r="C34" s="10">
        <v>329874</v>
      </c>
      <c r="D34" s="10">
        <v>329874</v>
      </c>
      <c r="E34" s="10">
        <v>329874</v>
      </c>
    </row>
    <row r="35" spans="1:6" ht="15.75" thickBot="1" x14ac:dyDescent="0.3">
      <c r="A35" s="5" t="s">
        <v>21</v>
      </c>
      <c r="B35" s="10">
        <f>B34/B33</f>
        <v>2441.1159420289855</v>
      </c>
      <c r="C35" s="10">
        <f t="shared" ref="C35:E35" si="0">C34/C33</f>
        <v>2390.391304347826</v>
      </c>
      <c r="D35" s="10">
        <f t="shared" si="0"/>
        <v>2390.391304347826</v>
      </c>
      <c r="E35" s="10">
        <f t="shared" si="0"/>
        <v>2390.391304347826</v>
      </c>
    </row>
    <row r="36" spans="1:6" ht="15.75" thickBot="1" x14ac:dyDescent="0.3">
      <c r="A36" s="5" t="s">
        <v>22</v>
      </c>
      <c r="B36" s="1076" t="s">
        <v>23</v>
      </c>
      <c r="C36" s="11">
        <f>C33/B33-1</f>
        <v>0</v>
      </c>
      <c r="D36" s="11">
        <f t="shared" ref="D36:E38" si="1">D33/C33-1</f>
        <v>0</v>
      </c>
      <c r="E36" s="11">
        <f t="shared" si="1"/>
        <v>0</v>
      </c>
      <c r="F36" s="12"/>
    </row>
    <row r="37" spans="1:6" ht="15.75" thickBot="1" x14ac:dyDescent="0.3">
      <c r="A37" s="5" t="s">
        <v>24</v>
      </c>
      <c r="B37" s="1076" t="s">
        <v>23</v>
      </c>
      <c r="C37" s="11">
        <f>C34/B34-1</f>
        <v>-2.0779282461691917E-2</v>
      </c>
      <c r="D37" s="11">
        <f t="shared" si="1"/>
        <v>0</v>
      </c>
      <c r="E37" s="11">
        <f t="shared" si="1"/>
        <v>0</v>
      </c>
    </row>
    <row r="38" spans="1:6" ht="15.75" thickBot="1" x14ac:dyDescent="0.3">
      <c r="A38" s="5" t="s">
        <v>25</v>
      </c>
      <c r="B38" s="1076" t="s">
        <v>23</v>
      </c>
      <c r="C38" s="11">
        <f>C35/B35-1</f>
        <v>-2.0779282461691917E-2</v>
      </c>
      <c r="D38" s="11">
        <f t="shared" si="1"/>
        <v>0</v>
      </c>
      <c r="E38" s="11">
        <f t="shared" si="1"/>
        <v>0</v>
      </c>
    </row>
    <row r="39" spans="1:6" ht="15.75" thickBot="1" x14ac:dyDescent="0.3">
      <c r="A39" s="1252" t="s">
        <v>633</v>
      </c>
      <c r="B39" s="1253"/>
      <c r="C39" s="1253"/>
      <c r="D39" s="1253"/>
      <c r="E39" s="1300"/>
    </row>
    <row r="40" spans="1:6" ht="12.75" customHeight="1" x14ac:dyDescent="0.25">
      <c r="A40" s="1250"/>
      <c r="B40" s="8">
        <v>2018</v>
      </c>
      <c r="C40" s="8">
        <v>2019</v>
      </c>
      <c r="D40" s="8">
        <v>2020</v>
      </c>
      <c r="E40" s="8">
        <v>2021</v>
      </c>
    </row>
    <row r="41" spans="1:6" ht="9" customHeight="1" thickBot="1" x14ac:dyDescent="0.3">
      <c r="A41" s="1251"/>
      <c r="B41" s="9" t="s">
        <v>10</v>
      </c>
      <c r="C41" s="9" t="s">
        <v>11</v>
      </c>
      <c r="D41" s="9" t="s">
        <v>11</v>
      </c>
      <c r="E41" s="9" t="s">
        <v>11</v>
      </c>
    </row>
    <row r="42" spans="1:6" ht="15.75" thickBot="1" x14ac:dyDescent="0.3">
      <c r="A42" s="13" t="s">
        <v>26</v>
      </c>
      <c r="B42" s="14">
        <v>221608</v>
      </c>
      <c r="C42" s="14">
        <v>214608</v>
      </c>
      <c r="D42" s="14">
        <v>214608</v>
      </c>
      <c r="E42" s="14">
        <v>214608</v>
      </c>
    </row>
    <row r="43" spans="1:6" ht="24.75" thickBot="1" x14ac:dyDescent="0.3">
      <c r="A43" s="13" t="s">
        <v>28</v>
      </c>
      <c r="B43" s="14">
        <v>34766</v>
      </c>
      <c r="C43" s="14">
        <v>34766</v>
      </c>
      <c r="D43" s="14">
        <v>34766</v>
      </c>
      <c r="E43" s="14">
        <v>34766</v>
      </c>
    </row>
    <row r="44" spans="1:6" ht="15.75" thickBot="1" x14ac:dyDescent="0.3">
      <c r="A44" s="13" t="s">
        <v>30</v>
      </c>
      <c r="B44" s="15">
        <v>80350</v>
      </c>
      <c r="C44" s="14">
        <v>80350</v>
      </c>
      <c r="D44" s="14">
        <v>80350</v>
      </c>
      <c r="E44" s="14">
        <v>80350</v>
      </c>
    </row>
    <row r="45" spans="1:6" ht="15.75" thickBot="1" x14ac:dyDescent="0.3">
      <c r="A45" s="13" t="s">
        <v>36</v>
      </c>
      <c r="B45" s="15">
        <v>150</v>
      </c>
      <c r="C45" s="14">
        <v>150</v>
      </c>
      <c r="D45" s="14">
        <v>150</v>
      </c>
      <c r="E45" s="14">
        <v>150</v>
      </c>
    </row>
    <row r="46" spans="1:6" ht="15.75" thickBot="1" x14ac:dyDescent="0.3">
      <c r="A46" s="16" t="s">
        <v>40</v>
      </c>
      <c r="B46" s="15">
        <f>SUM(B42:B45)</f>
        <v>336874</v>
      </c>
      <c r="C46" s="15">
        <v>329874</v>
      </c>
      <c r="D46" s="15">
        <v>329874</v>
      </c>
      <c r="E46" s="15">
        <v>329874</v>
      </c>
    </row>
    <row r="47" spans="1:6" ht="15.75" thickBot="1" x14ac:dyDescent="0.3">
      <c r="A47" s="17" t="s">
        <v>41</v>
      </c>
      <c r="B47" s="18">
        <f>IF(B46-B34=0,0,"Error")</f>
        <v>0</v>
      </c>
      <c r="C47" s="18">
        <f>IF(C46-C34=0,0,"Error")</f>
        <v>0</v>
      </c>
      <c r="D47" s="18">
        <f>IF(D46-D34=0,0,"Error")</f>
        <v>0</v>
      </c>
      <c r="E47" s="18">
        <f>IF(E46-E34=0,0,"Error")</f>
        <v>0</v>
      </c>
    </row>
    <row r="48" spans="1:6" ht="15.75" thickBot="1" x14ac:dyDescent="0.3">
      <c r="A48" s="213" t="s">
        <v>42</v>
      </c>
      <c r="B48" s="1243" t="s">
        <v>1693</v>
      </c>
      <c r="C48" s="1244"/>
      <c r="D48" s="1244"/>
      <c r="E48" s="1315"/>
    </row>
    <row r="49" spans="1:5" ht="15.75" thickBot="1" x14ac:dyDescent="0.3">
      <c r="A49" s="5" t="s">
        <v>17</v>
      </c>
      <c r="B49" s="1245" t="s">
        <v>1693</v>
      </c>
      <c r="C49" s="1246"/>
      <c r="D49" s="1246"/>
      <c r="E49" s="1298"/>
    </row>
    <row r="50" spans="1:5" ht="15.75" thickBot="1" x14ac:dyDescent="0.3">
      <c r="A50" s="5" t="s">
        <v>18</v>
      </c>
      <c r="B50" s="1248" t="s">
        <v>1694</v>
      </c>
      <c r="C50" s="1249"/>
      <c r="D50" s="1249"/>
      <c r="E50" s="1316"/>
    </row>
    <row r="51" spans="1:5" ht="15.75" thickBot="1" x14ac:dyDescent="0.3">
      <c r="A51" s="5" t="s">
        <v>19</v>
      </c>
      <c r="B51" s="10"/>
      <c r="C51" s="10"/>
      <c r="D51" s="10"/>
      <c r="E51" s="10"/>
    </row>
    <row r="52" spans="1:5" ht="12.75" customHeight="1" x14ac:dyDescent="0.25">
      <c r="A52" s="1250"/>
      <c r="B52" s="8">
        <v>2018</v>
      </c>
      <c r="C52" s="8">
        <v>2019</v>
      </c>
      <c r="D52" s="8">
        <v>2020</v>
      </c>
      <c r="E52" s="8">
        <v>2021</v>
      </c>
    </row>
    <row r="53" spans="1:5" ht="9" customHeight="1" thickBot="1" x14ac:dyDescent="0.3">
      <c r="A53" s="1251"/>
      <c r="B53" s="9" t="s">
        <v>10</v>
      </c>
      <c r="C53" s="9" t="s">
        <v>11</v>
      </c>
      <c r="D53" s="9" t="s">
        <v>11</v>
      </c>
      <c r="E53" s="9" t="s">
        <v>11</v>
      </c>
    </row>
    <row r="54" spans="1:5" ht="15.75" thickBot="1" x14ac:dyDescent="0.3">
      <c r="A54" s="5" t="s">
        <v>20</v>
      </c>
      <c r="B54" s="10">
        <v>43026</v>
      </c>
      <c r="C54" s="10">
        <v>43026</v>
      </c>
      <c r="D54" s="10">
        <v>43026</v>
      </c>
      <c r="E54" s="10">
        <v>43026</v>
      </c>
    </row>
    <row r="55" spans="1:5" ht="15.75" thickBot="1" x14ac:dyDescent="0.3">
      <c r="A55" s="5" t="s">
        <v>21</v>
      </c>
      <c r="B55" s="10">
        <v>2390</v>
      </c>
      <c r="C55" s="10">
        <v>2390</v>
      </c>
      <c r="D55" s="10">
        <v>2390</v>
      </c>
      <c r="E55" s="10">
        <v>2390</v>
      </c>
    </row>
    <row r="56" spans="1:5" ht="15.75" thickBot="1" x14ac:dyDescent="0.3">
      <c r="A56" s="5" t="s">
        <v>22</v>
      </c>
      <c r="B56" s="1076"/>
      <c r="C56" s="11">
        <v>0</v>
      </c>
      <c r="D56" s="11">
        <v>0</v>
      </c>
      <c r="E56" s="11">
        <v>0</v>
      </c>
    </row>
    <row r="57" spans="1:5" ht="15.75" thickBot="1" x14ac:dyDescent="0.3">
      <c r="A57" s="5" t="s">
        <v>24</v>
      </c>
      <c r="B57" s="1076"/>
      <c r="C57" s="11">
        <f>C54/B54-1</f>
        <v>0</v>
      </c>
      <c r="D57" s="11">
        <f t="shared" ref="D57:E58" si="2">D54/C54-1</f>
        <v>0</v>
      </c>
      <c r="E57" s="11">
        <f t="shared" si="2"/>
        <v>0</v>
      </c>
    </row>
    <row r="58" spans="1:5" ht="15.75" thickBot="1" x14ac:dyDescent="0.3">
      <c r="A58" s="5" t="s">
        <v>25</v>
      </c>
      <c r="B58" s="1076"/>
      <c r="C58" s="11">
        <f>C55/B55-1</f>
        <v>0</v>
      </c>
      <c r="D58" s="11">
        <f t="shared" si="2"/>
        <v>0</v>
      </c>
      <c r="E58" s="11">
        <f t="shared" si="2"/>
        <v>0</v>
      </c>
    </row>
    <row r="59" spans="1:5" ht="24.75" customHeight="1" thickBot="1" x14ac:dyDescent="0.3">
      <c r="A59" s="1252" t="s">
        <v>634</v>
      </c>
      <c r="B59" s="1253"/>
      <c r="C59" s="1253"/>
      <c r="D59" s="1253"/>
      <c r="E59" s="1300"/>
    </row>
    <row r="60" spans="1:5" ht="12.75" customHeight="1" x14ac:dyDescent="0.25">
      <c r="A60" s="1250"/>
      <c r="B60" s="8">
        <v>2018</v>
      </c>
      <c r="C60" s="8">
        <v>2019</v>
      </c>
      <c r="D60" s="8">
        <v>2020</v>
      </c>
      <c r="E60" s="8">
        <v>2021</v>
      </c>
    </row>
    <row r="61" spans="1:5" ht="9" customHeight="1" thickBot="1" x14ac:dyDescent="0.3">
      <c r="A61" s="1251"/>
      <c r="B61" s="9" t="s">
        <v>10</v>
      </c>
      <c r="C61" s="9" t="s">
        <v>11</v>
      </c>
      <c r="D61" s="9" t="s">
        <v>11</v>
      </c>
      <c r="E61" s="9" t="s">
        <v>11</v>
      </c>
    </row>
    <row r="62" spans="1:5" ht="24.75" customHeight="1" thickBot="1" x14ac:dyDescent="0.3">
      <c r="A62" s="13" t="s">
        <v>26</v>
      </c>
      <c r="B62" s="14">
        <v>27992</v>
      </c>
      <c r="C62" s="14">
        <v>27992</v>
      </c>
      <c r="D62" s="14">
        <v>27992</v>
      </c>
      <c r="E62" s="14">
        <v>27992</v>
      </c>
    </row>
    <row r="63" spans="1:5" ht="24.75" customHeight="1" thickBot="1" x14ac:dyDescent="0.3">
      <c r="A63" s="13" t="s">
        <v>28</v>
      </c>
      <c r="B63" s="14">
        <v>4534</v>
      </c>
      <c r="C63" s="14">
        <v>4534</v>
      </c>
      <c r="D63" s="14">
        <v>4534</v>
      </c>
      <c r="E63" s="14">
        <v>4534</v>
      </c>
    </row>
    <row r="64" spans="1:5" ht="24.75" customHeight="1" thickBot="1" x14ac:dyDescent="0.3">
      <c r="A64" s="13" t="s">
        <v>30</v>
      </c>
      <c r="B64" s="15">
        <v>10500</v>
      </c>
      <c r="C64" s="14">
        <v>10500</v>
      </c>
      <c r="D64" s="14">
        <v>10500</v>
      </c>
      <c r="E64" s="14">
        <v>10500</v>
      </c>
    </row>
    <row r="65" spans="1:6" ht="15.75" thickBot="1" x14ac:dyDescent="0.3">
      <c r="A65" s="135" t="s">
        <v>74</v>
      </c>
      <c r="B65" s="15">
        <v>43026</v>
      </c>
      <c r="C65" s="15">
        <v>43026</v>
      </c>
      <c r="D65" s="15">
        <v>43026</v>
      </c>
      <c r="E65" s="15">
        <v>43026</v>
      </c>
    </row>
    <row r="66" spans="1:6" ht="17.25" customHeight="1" thickBot="1" x14ac:dyDescent="0.3">
      <c r="A66" s="17" t="s">
        <v>41</v>
      </c>
      <c r="B66" s="18">
        <f>IF(B65-B54=0,0,"Error")</f>
        <v>0</v>
      </c>
      <c r="C66" s="18">
        <f>IF(C65-C54=0,0,"Error")</f>
        <v>0</v>
      </c>
      <c r="D66" s="18">
        <f>IF(D65-D54=0,0,"Error")</f>
        <v>0</v>
      </c>
      <c r="E66" s="18">
        <f>IF(E65-E54=0,0,"Error")</f>
        <v>0</v>
      </c>
    </row>
    <row r="67" spans="1:6" ht="15.75" thickBot="1" x14ac:dyDescent="0.3">
      <c r="A67" s="1275" t="s">
        <v>63</v>
      </c>
      <c r="B67" s="1276"/>
      <c r="C67" s="1276"/>
      <c r="D67" s="1276"/>
      <c r="E67" s="1317"/>
    </row>
    <row r="68" spans="1:6" ht="15.75" thickBot="1" x14ac:dyDescent="0.3">
      <c r="A68" s="1275" t="s">
        <v>56</v>
      </c>
      <c r="B68" s="1276"/>
      <c r="C68" s="1276"/>
      <c r="D68" s="1276"/>
      <c r="E68" s="1317"/>
    </row>
    <row r="69" spans="1:6" ht="23.25" thickBot="1" x14ac:dyDescent="0.3">
      <c r="A69" s="20" t="s">
        <v>79</v>
      </c>
      <c r="B69" s="1241" t="s">
        <v>1695</v>
      </c>
      <c r="C69" s="1242"/>
      <c r="D69" s="1242"/>
      <c r="E69" s="1318"/>
    </row>
    <row r="70" spans="1:6" ht="15.75" thickBot="1" x14ac:dyDescent="0.3">
      <c r="A70" s="7" t="s">
        <v>16</v>
      </c>
      <c r="B70" s="1243" t="s">
        <v>1696</v>
      </c>
      <c r="C70" s="1244"/>
      <c r="D70" s="1244"/>
      <c r="E70" s="1315"/>
    </row>
    <row r="71" spans="1:6" ht="17.25" customHeight="1" thickBot="1" x14ac:dyDescent="0.3">
      <c r="A71" s="5" t="s">
        <v>17</v>
      </c>
      <c r="B71" s="1245" t="s">
        <v>1696</v>
      </c>
      <c r="C71" s="1246"/>
      <c r="D71" s="1246"/>
      <c r="E71" s="1298"/>
    </row>
    <row r="72" spans="1:6" ht="15.75" thickBot="1" x14ac:dyDescent="0.3">
      <c r="A72" s="5" t="s">
        <v>18</v>
      </c>
      <c r="B72" s="1248" t="s">
        <v>1697</v>
      </c>
      <c r="C72" s="1249"/>
      <c r="D72" s="1249"/>
      <c r="E72" s="1316"/>
    </row>
    <row r="73" spans="1:6" ht="12.75" customHeight="1" x14ac:dyDescent="0.25">
      <c r="A73" s="1250"/>
      <c r="B73" s="8">
        <v>2018</v>
      </c>
      <c r="C73" s="8">
        <v>2019</v>
      </c>
      <c r="D73" s="8">
        <v>2020</v>
      </c>
      <c r="E73" s="8">
        <v>2021</v>
      </c>
    </row>
    <row r="74" spans="1:6" ht="9" customHeight="1" thickBot="1" x14ac:dyDescent="0.3">
      <c r="A74" s="1251"/>
      <c r="B74" s="9" t="s">
        <v>10</v>
      </c>
      <c r="C74" s="9" t="s">
        <v>11</v>
      </c>
      <c r="D74" s="9" t="s">
        <v>11</v>
      </c>
      <c r="E74" s="9" t="s">
        <v>11</v>
      </c>
    </row>
    <row r="75" spans="1:6" ht="15.75" thickBot="1" x14ac:dyDescent="0.3">
      <c r="A75" s="5" t="s">
        <v>19</v>
      </c>
      <c r="B75" s="10">
        <v>138</v>
      </c>
      <c r="C75" s="10">
        <v>138</v>
      </c>
      <c r="D75" s="10">
        <v>138</v>
      </c>
      <c r="E75" s="10">
        <v>138</v>
      </c>
    </row>
    <row r="76" spans="1:6" ht="15.75" thickBot="1" x14ac:dyDescent="0.3">
      <c r="A76" s="5" t="s">
        <v>20</v>
      </c>
      <c r="B76" s="10">
        <v>3600</v>
      </c>
      <c r="C76" s="10">
        <v>9700</v>
      </c>
      <c r="D76" s="10">
        <v>9700</v>
      </c>
      <c r="E76" s="10">
        <v>4700</v>
      </c>
    </row>
    <row r="77" spans="1:6" ht="15.75" thickBot="1" x14ac:dyDescent="0.3">
      <c r="A77" s="5" t="s">
        <v>21</v>
      </c>
      <c r="B77" s="10">
        <v>26</v>
      </c>
      <c r="C77" s="10">
        <f t="shared" ref="C77" si="3">C76/C75</f>
        <v>70.289855072463766</v>
      </c>
      <c r="D77" s="10">
        <v>0</v>
      </c>
      <c r="E77" s="10">
        <v>0</v>
      </c>
    </row>
    <row r="78" spans="1:6" ht="15.75" thickBot="1" x14ac:dyDescent="0.3">
      <c r="A78" s="5" t="s">
        <v>22</v>
      </c>
      <c r="B78" s="1076" t="s">
        <v>23</v>
      </c>
      <c r="C78" s="11">
        <f>C75/B75-1</f>
        <v>0</v>
      </c>
      <c r="D78" s="11">
        <f t="shared" ref="D78:E80" si="4">D75/C75-1</f>
        <v>0</v>
      </c>
      <c r="E78" s="11">
        <f t="shared" si="4"/>
        <v>0</v>
      </c>
      <c r="F78" s="12"/>
    </row>
    <row r="79" spans="1:6" ht="15.75" thickBot="1" x14ac:dyDescent="0.3">
      <c r="A79" s="5" t="s">
        <v>24</v>
      </c>
      <c r="B79" s="1076" t="s">
        <v>23</v>
      </c>
      <c r="C79" s="11">
        <f>C76/B76-1</f>
        <v>1.6944444444444446</v>
      </c>
      <c r="D79" s="11">
        <f t="shared" si="4"/>
        <v>0</v>
      </c>
      <c r="E79" s="11">
        <v>0</v>
      </c>
    </row>
    <row r="80" spans="1:6" ht="15.75" thickBot="1" x14ac:dyDescent="0.3">
      <c r="A80" s="5" t="s">
        <v>25</v>
      </c>
      <c r="B80" s="1076" t="s">
        <v>23</v>
      </c>
      <c r="C80" s="11">
        <v>1.694</v>
      </c>
      <c r="D80" s="11">
        <f t="shared" si="4"/>
        <v>-1</v>
      </c>
      <c r="E80" s="11">
        <v>0</v>
      </c>
    </row>
    <row r="81" spans="1:5" ht="15.75" thickBot="1" x14ac:dyDescent="0.3">
      <c r="A81" s="1252" t="s">
        <v>633</v>
      </c>
      <c r="B81" s="1253"/>
      <c r="C81" s="1253"/>
      <c r="D81" s="1253"/>
      <c r="E81" s="1300"/>
    </row>
    <row r="82" spans="1:5" ht="12.75" customHeight="1" x14ac:dyDescent="0.25">
      <c r="A82" s="1250"/>
      <c r="B82" s="8">
        <v>2018</v>
      </c>
      <c r="C82" s="8">
        <v>2019</v>
      </c>
      <c r="D82" s="8">
        <v>2020</v>
      </c>
      <c r="E82" s="8">
        <v>2021</v>
      </c>
    </row>
    <row r="83" spans="1:5" ht="9" customHeight="1" thickBot="1" x14ac:dyDescent="0.3">
      <c r="A83" s="1251"/>
      <c r="B83" s="9" t="s">
        <v>10</v>
      </c>
      <c r="C83" s="9" t="s">
        <v>11</v>
      </c>
      <c r="D83" s="9" t="s">
        <v>11</v>
      </c>
      <c r="E83" s="9" t="s">
        <v>11</v>
      </c>
    </row>
    <row r="84" spans="1:5" ht="15.75" thickBot="1" x14ac:dyDescent="0.3">
      <c r="A84" s="13" t="s">
        <v>58</v>
      </c>
      <c r="B84" s="14"/>
      <c r="C84" s="14"/>
      <c r="D84" s="14"/>
      <c r="E84" s="14"/>
    </row>
    <row r="85" spans="1:5" ht="15.75" thickBot="1" x14ac:dyDescent="0.3">
      <c r="A85" s="13" t="s">
        <v>59</v>
      </c>
      <c r="B85" s="15">
        <v>3600</v>
      </c>
      <c r="C85" s="14">
        <v>9700</v>
      </c>
      <c r="D85" s="14">
        <v>9700</v>
      </c>
      <c r="E85" s="14">
        <v>4700</v>
      </c>
    </row>
    <row r="86" spans="1:5" ht="15.75" thickBot="1" x14ac:dyDescent="0.3">
      <c r="A86" s="16" t="s">
        <v>40</v>
      </c>
      <c r="B86" s="15">
        <f>B85+B84</f>
        <v>3600</v>
      </c>
      <c r="C86" s="15">
        <f t="shared" ref="C86:E86" si="5">C85+C84</f>
        <v>9700</v>
      </c>
      <c r="D86" s="15">
        <f t="shared" si="5"/>
        <v>9700</v>
      </c>
      <c r="E86" s="15">
        <f t="shared" si="5"/>
        <v>4700</v>
      </c>
    </row>
    <row r="87" spans="1:5" ht="6" customHeight="1" x14ac:dyDescent="0.25">
      <c r="A87" s="1254" t="s">
        <v>60</v>
      </c>
      <c r="B87" s="1322" t="s">
        <v>1698</v>
      </c>
      <c r="C87" s="1289"/>
      <c r="D87" s="1289"/>
      <c r="E87" s="1290"/>
    </row>
    <row r="88" spans="1:5" ht="6" customHeight="1" x14ac:dyDescent="0.25">
      <c r="A88" s="1255"/>
      <c r="B88" s="1291"/>
      <c r="C88" s="1292"/>
      <c r="D88" s="1292"/>
      <c r="E88" s="1293"/>
    </row>
    <row r="89" spans="1:5" ht="6" customHeight="1" thickBot="1" x14ac:dyDescent="0.3">
      <c r="A89" s="1256"/>
      <c r="B89" s="1294"/>
      <c r="C89" s="1295"/>
      <c r="D89" s="1295"/>
      <c r="E89" s="1296"/>
    </row>
    <row r="90" spans="1:5" ht="15.75" thickBot="1" x14ac:dyDescent="0.3">
      <c r="A90" s="20" t="s">
        <v>61</v>
      </c>
      <c r="B90" s="1241" t="s">
        <v>1699</v>
      </c>
      <c r="C90" s="1242"/>
      <c r="D90" s="1242"/>
      <c r="E90" s="1318"/>
    </row>
    <row r="91" spans="1:5" ht="15.75" thickBot="1" x14ac:dyDescent="0.3">
      <c r="A91" s="7" t="s">
        <v>16</v>
      </c>
      <c r="B91" s="1243" t="s">
        <v>1696</v>
      </c>
      <c r="C91" s="1244"/>
      <c r="D91" s="1244"/>
      <c r="E91" s="1315"/>
    </row>
    <row r="92" spans="1:5" ht="17.25" customHeight="1" thickBot="1" x14ac:dyDescent="0.3">
      <c r="A92" s="5" t="s">
        <v>17</v>
      </c>
      <c r="B92" s="1243" t="s">
        <v>1696</v>
      </c>
      <c r="C92" s="1244"/>
      <c r="D92" s="1244"/>
      <c r="E92" s="1315"/>
    </row>
    <row r="93" spans="1:5" ht="15.75" thickBot="1" x14ac:dyDescent="0.3">
      <c r="A93" s="5" t="s">
        <v>18</v>
      </c>
      <c r="B93" s="1248" t="s">
        <v>1697</v>
      </c>
      <c r="C93" s="1249"/>
      <c r="D93" s="1249"/>
      <c r="E93" s="1316"/>
    </row>
    <row r="94" spans="1:5" ht="12.75" customHeight="1" x14ac:dyDescent="0.25">
      <c r="A94" s="1250"/>
      <c r="B94" s="8">
        <v>2018</v>
      </c>
      <c r="C94" s="8">
        <v>2019</v>
      </c>
      <c r="D94" s="8">
        <v>2020</v>
      </c>
      <c r="E94" s="8">
        <v>2021</v>
      </c>
    </row>
    <row r="95" spans="1:5" ht="9" customHeight="1" thickBot="1" x14ac:dyDescent="0.3">
      <c r="A95" s="1251"/>
      <c r="B95" s="9" t="s">
        <v>10</v>
      </c>
      <c r="C95" s="9" t="s">
        <v>11</v>
      </c>
      <c r="D95" s="9" t="s">
        <v>11</v>
      </c>
      <c r="E95" s="9" t="s">
        <v>11</v>
      </c>
    </row>
    <row r="96" spans="1:5" ht="15.75" thickBot="1" x14ac:dyDescent="0.3">
      <c r="A96" s="5" t="s">
        <v>19</v>
      </c>
      <c r="B96" s="10">
        <v>138</v>
      </c>
      <c r="C96" s="10">
        <v>138</v>
      </c>
      <c r="D96" s="10">
        <v>138</v>
      </c>
      <c r="E96" s="10">
        <v>138</v>
      </c>
    </row>
    <row r="97" spans="1:6" ht="15.75" thickBot="1" x14ac:dyDescent="0.3">
      <c r="A97" s="5" t="s">
        <v>20</v>
      </c>
      <c r="B97" s="10">
        <v>20575</v>
      </c>
      <c r="C97" s="10">
        <v>9100</v>
      </c>
      <c r="D97" s="10">
        <v>9100</v>
      </c>
      <c r="E97" s="10">
        <v>13500</v>
      </c>
    </row>
    <row r="98" spans="1:6" ht="15.75" thickBot="1" x14ac:dyDescent="0.3">
      <c r="A98" s="5" t="s">
        <v>21</v>
      </c>
      <c r="B98" s="10">
        <f>B97/B96</f>
        <v>149.09420289855072</v>
      </c>
      <c r="C98" s="10">
        <f t="shared" ref="C98:E98" si="6">C97/C96</f>
        <v>65.94202898550725</v>
      </c>
      <c r="D98" s="10">
        <f t="shared" si="6"/>
        <v>65.94202898550725</v>
      </c>
      <c r="E98" s="10">
        <f t="shared" si="6"/>
        <v>97.826086956521735</v>
      </c>
    </row>
    <row r="99" spans="1:6" ht="15.75" thickBot="1" x14ac:dyDescent="0.3">
      <c r="A99" s="5" t="s">
        <v>22</v>
      </c>
      <c r="B99" s="1076" t="s">
        <v>23</v>
      </c>
      <c r="C99" s="11">
        <f>C96/B96-1</f>
        <v>0</v>
      </c>
      <c r="D99" s="11">
        <f t="shared" ref="D99:E101" si="7">D96/C96-1</f>
        <v>0</v>
      </c>
      <c r="E99" s="11">
        <f t="shared" si="7"/>
        <v>0</v>
      </c>
      <c r="F99" s="12"/>
    </row>
    <row r="100" spans="1:6" ht="15.75" thickBot="1" x14ac:dyDescent="0.3">
      <c r="A100" s="5" t="s">
        <v>24</v>
      </c>
      <c r="B100" s="1076" t="s">
        <v>23</v>
      </c>
      <c r="C100" s="11">
        <f>C97/B97-1</f>
        <v>-0.55771567436208991</v>
      </c>
      <c r="D100" s="11">
        <f t="shared" si="7"/>
        <v>0</v>
      </c>
      <c r="E100" s="11">
        <f t="shared" si="7"/>
        <v>0.48351648351648358</v>
      </c>
    </row>
    <row r="101" spans="1:6" ht="15.75" thickBot="1" x14ac:dyDescent="0.3">
      <c r="A101" s="5" t="s">
        <v>25</v>
      </c>
      <c r="B101" s="1076" t="s">
        <v>23</v>
      </c>
      <c r="C101" s="11">
        <f>C98/B98-1</f>
        <v>-0.55771567436208991</v>
      </c>
      <c r="D101" s="11">
        <f t="shared" si="7"/>
        <v>0</v>
      </c>
      <c r="E101" s="11">
        <f t="shared" si="7"/>
        <v>0.48351648351648335</v>
      </c>
    </row>
    <row r="102" spans="1:6" ht="15.75" thickBot="1" x14ac:dyDescent="0.3">
      <c r="A102" s="1252" t="s">
        <v>633</v>
      </c>
      <c r="B102" s="1253"/>
      <c r="C102" s="1253"/>
      <c r="D102" s="1253"/>
      <c r="E102" s="1300"/>
    </row>
    <row r="103" spans="1:6" ht="12.75" customHeight="1" x14ac:dyDescent="0.25">
      <c r="A103" s="1250"/>
      <c r="B103" s="8">
        <v>2018</v>
      </c>
      <c r="C103" s="8">
        <v>2019</v>
      </c>
      <c r="D103" s="8">
        <v>2020</v>
      </c>
      <c r="E103" s="8">
        <v>2021</v>
      </c>
    </row>
    <row r="104" spans="1:6" ht="9" customHeight="1" thickBot="1" x14ac:dyDescent="0.3">
      <c r="A104" s="1251"/>
      <c r="B104" s="9" t="s">
        <v>10</v>
      </c>
      <c r="C104" s="9" t="s">
        <v>11</v>
      </c>
      <c r="D104" s="9" t="s">
        <v>11</v>
      </c>
      <c r="E104" s="9" t="s">
        <v>11</v>
      </c>
    </row>
    <row r="105" spans="1:6" ht="15.75" thickBot="1" x14ac:dyDescent="0.3">
      <c r="A105" s="13" t="s">
        <v>58</v>
      </c>
      <c r="B105" s="14"/>
      <c r="C105" s="14"/>
      <c r="D105" s="14"/>
      <c r="E105" s="14"/>
    </row>
    <row r="106" spans="1:6" ht="15.75" thickBot="1" x14ac:dyDescent="0.3">
      <c r="A106" s="13" t="s">
        <v>59</v>
      </c>
      <c r="B106" s="15">
        <v>13300</v>
      </c>
      <c r="C106" s="14">
        <v>9100</v>
      </c>
      <c r="D106" s="14">
        <v>9100</v>
      </c>
      <c r="E106" s="14">
        <v>13500</v>
      </c>
    </row>
    <row r="107" spans="1:6" ht="15.75" thickBot="1" x14ac:dyDescent="0.3">
      <c r="A107" s="16" t="s">
        <v>74</v>
      </c>
      <c r="B107" s="15">
        <f>B106+B105</f>
        <v>13300</v>
      </c>
      <c r="C107" s="15">
        <f t="shared" ref="C107:E107" si="8">C106+C105</f>
        <v>9100</v>
      </c>
      <c r="D107" s="15">
        <f t="shared" si="8"/>
        <v>9100</v>
      </c>
      <c r="E107" s="15">
        <f t="shared" si="8"/>
        <v>13500</v>
      </c>
    </row>
    <row r="108" spans="1:6" ht="15.75" thickBot="1" x14ac:dyDescent="0.3">
      <c r="A108" s="1275" t="s">
        <v>63</v>
      </c>
      <c r="B108" s="1276"/>
      <c r="C108" s="1276"/>
      <c r="D108" s="1276"/>
      <c r="E108" s="1317"/>
    </row>
    <row r="109" spans="1:6" ht="15.75" thickBot="1" x14ac:dyDescent="0.3">
      <c r="A109" s="1275" t="s">
        <v>64</v>
      </c>
      <c r="B109" s="1276"/>
      <c r="C109" s="1276"/>
      <c r="D109" s="1276"/>
      <c r="E109" s="1317"/>
    </row>
    <row r="110" spans="1:6" ht="15.75" thickBot="1" x14ac:dyDescent="0.3">
      <c r="A110" s="20" t="s">
        <v>61</v>
      </c>
      <c r="B110" s="1241" t="s">
        <v>1700</v>
      </c>
      <c r="C110" s="1242"/>
      <c r="D110" s="1242"/>
      <c r="E110" s="1318"/>
    </row>
    <row r="111" spans="1:6" ht="15.75" thickBot="1" x14ac:dyDescent="0.3">
      <c r="A111" s="7" t="s">
        <v>16</v>
      </c>
      <c r="B111" s="1243" t="s">
        <v>1701</v>
      </c>
      <c r="C111" s="1244"/>
      <c r="D111" s="1244"/>
      <c r="E111" s="1315"/>
    </row>
    <row r="112" spans="1:6" ht="17.25" customHeight="1" thickBot="1" x14ac:dyDescent="0.3">
      <c r="A112" s="5" t="s">
        <v>17</v>
      </c>
      <c r="B112" s="1243" t="s">
        <v>1702</v>
      </c>
      <c r="C112" s="1244"/>
      <c r="D112" s="1244"/>
      <c r="E112" s="1315"/>
    </row>
    <row r="113" spans="1:6" ht="15.75" thickBot="1" x14ac:dyDescent="0.3">
      <c r="A113" s="5" t="s">
        <v>18</v>
      </c>
      <c r="B113" s="1248" t="s">
        <v>1703</v>
      </c>
      <c r="C113" s="1249"/>
      <c r="D113" s="1249"/>
      <c r="E113" s="1316"/>
    </row>
    <row r="114" spans="1:6" ht="12.75" customHeight="1" x14ac:dyDescent="0.25">
      <c r="A114" s="1250"/>
      <c r="B114" s="8">
        <v>2018</v>
      </c>
      <c r="C114" s="8">
        <v>2019</v>
      </c>
      <c r="D114" s="8">
        <v>2020</v>
      </c>
      <c r="E114" s="8">
        <v>2021</v>
      </c>
    </row>
    <row r="115" spans="1:6" ht="9" customHeight="1" thickBot="1" x14ac:dyDescent="0.3">
      <c r="A115" s="1251"/>
      <c r="B115" s="9" t="s">
        <v>10</v>
      </c>
      <c r="C115" s="9" t="s">
        <v>11</v>
      </c>
      <c r="D115" s="9" t="s">
        <v>11</v>
      </c>
      <c r="E115" s="9" t="s">
        <v>11</v>
      </c>
    </row>
    <row r="116" spans="1:6" ht="15.75" thickBot="1" x14ac:dyDescent="0.3">
      <c r="A116" s="5" t="s">
        <v>19</v>
      </c>
      <c r="B116" s="10">
        <v>32</v>
      </c>
      <c r="C116" s="10"/>
      <c r="D116" s="10"/>
      <c r="E116" s="10"/>
    </row>
    <row r="117" spans="1:6" ht="15.75" thickBot="1" x14ac:dyDescent="0.3">
      <c r="A117" s="5" t="s">
        <v>20</v>
      </c>
      <c r="B117" s="10">
        <v>1400</v>
      </c>
      <c r="C117" s="10"/>
      <c r="D117" s="10"/>
      <c r="E117" s="10"/>
    </row>
    <row r="118" spans="1:6" ht="15.75" thickBot="1" x14ac:dyDescent="0.3">
      <c r="A118" s="5" t="s">
        <v>21</v>
      </c>
      <c r="B118" s="10">
        <v>10</v>
      </c>
      <c r="C118" s="10">
        <v>0</v>
      </c>
      <c r="D118" s="10">
        <v>0</v>
      </c>
      <c r="E118" s="10">
        <v>0</v>
      </c>
    </row>
    <row r="119" spans="1:6" ht="15.75" thickBot="1" x14ac:dyDescent="0.3">
      <c r="A119" s="5" t="s">
        <v>22</v>
      </c>
      <c r="B119" s="1076" t="s">
        <v>23</v>
      </c>
      <c r="C119" s="11">
        <f>C116/B116-1</f>
        <v>-1</v>
      </c>
      <c r="D119" s="11">
        <v>0</v>
      </c>
      <c r="E119" s="11">
        <v>0</v>
      </c>
      <c r="F119" s="12"/>
    </row>
    <row r="120" spans="1:6" ht="15.75" thickBot="1" x14ac:dyDescent="0.3">
      <c r="A120" s="5" t="s">
        <v>24</v>
      </c>
      <c r="B120" s="1076" t="s">
        <v>23</v>
      </c>
      <c r="C120" s="11">
        <f>C117/B117-1</f>
        <v>-1</v>
      </c>
      <c r="D120" s="11">
        <v>0</v>
      </c>
      <c r="E120" s="11">
        <v>0</v>
      </c>
    </row>
    <row r="121" spans="1:6" ht="15.75" thickBot="1" x14ac:dyDescent="0.3">
      <c r="A121" s="5" t="s">
        <v>25</v>
      </c>
      <c r="B121" s="1076" t="s">
        <v>23</v>
      </c>
      <c r="C121" s="11">
        <f>C118/B118-1</f>
        <v>-1</v>
      </c>
      <c r="D121" s="11">
        <v>0</v>
      </c>
      <c r="E121" s="11">
        <v>0</v>
      </c>
    </row>
    <row r="122" spans="1:6" ht="15.75" thickBot="1" x14ac:dyDescent="0.3">
      <c r="A122" s="1252" t="s">
        <v>1701</v>
      </c>
      <c r="B122" s="1253"/>
      <c r="C122" s="1253"/>
      <c r="D122" s="1253"/>
      <c r="E122" s="1300"/>
    </row>
    <row r="123" spans="1:6" ht="12.75" customHeight="1" x14ac:dyDescent="0.25">
      <c r="A123" s="1250"/>
      <c r="B123" s="8">
        <v>2018</v>
      </c>
      <c r="C123" s="8">
        <v>2019</v>
      </c>
      <c r="D123" s="8">
        <v>2020</v>
      </c>
      <c r="E123" s="8">
        <v>2021</v>
      </c>
    </row>
    <row r="124" spans="1:6" ht="9" customHeight="1" thickBot="1" x14ac:dyDescent="0.3">
      <c r="A124" s="1251"/>
      <c r="B124" s="9" t="s">
        <v>10</v>
      </c>
      <c r="C124" s="9" t="s">
        <v>11</v>
      </c>
      <c r="D124" s="9" t="s">
        <v>11</v>
      </c>
      <c r="E124" s="9" t="s">
        <v>11</v>
      </c>
    </row>
    <row r="125" spans="1:6" ht="15.75" thickBot="1" x14ac:dyDescent="0.3">
      <c r="A125" s="13" t="s">
        <v>58</v>
      </c>
      <c r="B125" s="14">
        <v>1400</v>
      </c>
      <c r="C125" s="14"/>
      <c r="D125" s="14"/>
      <c r="E125" s="14"/>
    </row>
    <row r="126" spans="1:6" ht="15.75" thickBot="1" x14ac:dyDescent="0.3">
      <c r="A126" s="13" t="s">
        <v>59</v>
      </c>
      <c r="B126" s="15"/>
      <c r="C126" s="14"/>
      <c r="D126" s="14"/>
      <c r="E126" s="14"/>
    </row>
    <row r="127" spans="1:6" ht="15.75" thickBot="1" x14ac:dyDescent="0.3">
      <c r="A127" s="16" t="s">
        <v>40</v>
      </c>
      <c r="B127" s="15">
        <f>B126+B125</f>
        <v>1400</v>
      </c>
      <c r="C127" s="15">
        <f t="shared" ref="C127:E127" si="9">C126+C125</f>
        <v>0</v>
      </c>
      <c r="D127" s="15">
        <f t="shared" si="9"/>
        <v>0</v>
      </c>
      <c r="E127" s="15">
        <f t="shared" si="9"/>
        <v>0</v>
      </c>
    </row>
    <row r="128" spans="1:6" ht="15.75" thickBot="1" x14ac:dyDescent="0.3">
      <c r="A128" s="136" t="s">
        <v>61</v>
      </c>
      <c r="B128" s="1241" t="s">
        <v>1699</v>
      </c>
      <c r="C128" s="1242"/>
      <c r="D128" s="1242"/>
      <c r="E128" s="1318"/>
    </row>
    <row r="129" spans="1:6" ht="15.75" thickBot="1" x14ac:dyDescent="0.3">
      <c r="A129" s="7" t="s">
        <v>42</v>
      </c>
      <c r="B129" s="1243" t="s">
        <v>1693</v>
      </c>
      <c r="C129" s="1244"/>
      <c r="D129" s="1244"/>
      <c r="E129" s="1315"/>
    </row>
    <row r="130" spans="1:6" ht="17.25" customHeight="1" thickBot="1" x14ac:dyDescent="0.3">
      <c r="A130" s="5" t="s">
        <v>17</v>
      </c>
      <c r="B130" s="1245" t="s">
        <v>1693</v>
      </c>
      <c r="C130" s="1246"/>
      <c r="D130" s="1246"/>
      <c r="E130" s="1298"/>
    </row>
    <row r="131" spans="1:6" ht="15.75" thickBot="1" x14ac:dyDescent="0.3">
      <c r="A131" s="5" t="s">
        <v>18</v>
      </c>
      <c r="B131" s="1248" t="s">
        <v>1704</v>
      </c>
      <c r="C131" s="1249"/>
      <c r="D131" s="1249"/>
      <c r="E131" s="1316"/>
    </row>
    <row r="132" spans="1:6" ht="12.75" customHeight="1" x14ac:dyDescent="0.25">
      <c r="A132" s="1250"/>
      <c r="B132" s="8">
        <v>2018</v>
      </c>
      <c r="C132" s="8">
        <v>2019</v>
      </c>
      <c r="D132" s="8">
        <v>2020</v>
      </c>
      <c r="E132" s="8">
        <v>2021</v>
      </c>
    </row>
    <row r="133" spans="1:6" ht="9" customHeight="1" thickBot="1" x14ac:dyDescent="0.3">
      <c r="A133" s="1251"/>
      <c r="B133" s="9" t="s">
        <v>10</v>
      </c>
      <c r="C133" s="9" t="s">
        <v>11</v>
      </c>
      <c r="D133" s="9" t="s">
        <v>11</v>
      </c>
      <c r="E133" s="9" t="s">
        <v>11</v>
      </c>
    </row>
    <row r="134" spans="1:6" ht="15.75" thickBot="1" x14ac:dyDescent="0.3">
      <c r="A134" s="5" t="s">
        <v>19</v>
      </c>
      <c r="B134" s="10">
        <v>18</v>
      </c>
      <c r="C134" s="10">
        <v>18</v>
      </c>
      <c r="D134" s="10">
        <v>18</v>
      </c>
      <c r="E134" s="10">
        <v>18</v>
      </c>
    </row>
    <row r="135" spans="1:6" ht="15.75" thickBot="1" x14ac:dyDescent="0.3">
      <c r="A135" s="5" t="s">
        <v>20</v>
      </c>
      <c r="B135" s="10">
        <v>7025</v>
      </c>
      <c r="C135" s="10">
        <v>1200</v>
      </c>
      <c r="D135" s="10">
        <v>1200</v>
      </c>
      <c r="E135" s="10">
        <v>1800</v>
      </c>
    </row>
    <row r="136" spans="1:6" ht="15.75" thickBot="1" x14ac:dyDescent="0.3">
      <c r="A136" s="5" t="s">
        <v>21</v>
      </c>
      <c r="B136" s="10">
        <f>B135/B134</f>
        <v>390.27777777777777</v>
      </c>
      <c r="C136" s="10">
        <f t="shared" ref="C136:E136" si="10">C135/C134</f>
        <v>66.666666666666671</v>
      </c>
      <c r="D136" s="10">
        <f t="shared" si="10"/>
        <v>66.666666666666671</v>
      </c>
      <c r="E136" s="10">
        <f t="shared" si="10"/>
        <v>100</v>
      </c>
    </row>
    <row r="137" spans="1:6" ht="15.75" thickBot="1" x14ac:dyDescent="0.3">
      <c r="A137" s="5" t="s">
        <v>22</v>
      </c>
      <c r="B137" s="1076" t="s">
        <v>23</v>
      </c>
      <c r="C137" s="11">
        <f>C134/B134-1</f>
        <v>0</v>
      </c>
      <c r="D137" s="11">
        <f t="shared" ref="D137:E139" si="11">D134/C134-1</f>
        <v>0</v>
      </c>
      <c r="E137" s="11">
        <f t="shared" si="11"/>
        <v>0</v>
      </c>
      <c r="F137" s="12"/>
    </row>
    <row r="138" spans="1:6" ht="15.75" thickBot="1" x14ac:dyDescent="0.3">
      <c r="A138" s="5" t="s">
        <v>24</v>
      </c>
      <c r="B138" s="1076" t="s">
        <v>23</v>
      </c>
      <c r="C138" s="11">
        <f>C135/B135-1</f>
        <v>-0.8291814946619217</v>
      </c>
      <c r="D138" s="11">
        <f t="shared" si="11"/>
        <v>0</v>
      </c>
      <c r="E138" s="11">
        <f t="shared" si="11"/>
        <v>0.5</v>
      </c>
    </row>
    <row r="139" spans="1:6" ht="15.75" thickBot="1" x14ac:dyDescent="0.3">
      <c r="A139" s="5" t="s">
        <v>25</v>
      </c>
      <c r="B139" s="1076" t="s">
        <v>23</v>
      </c>
      <c r="C139" s="11">
        <f>C136/B136-1</f>
        <v>-0.8291814946619217</v>
      </c>
      <c r="D139" s="11">
        <f t="shared" si="11"/>
        <v>0</v>
      </c>
      <c r="E139" s="11">
        <f t="shared" si="11"/>
        <v>0.5</v>
      </c>
    </row>
    <row r="140" spans="1:6" ht="15.75" thickBot="1" x14ac:dyDescent="0.3">
      <c r="A140" s="1252" t="s">
        <v>884</v>
      </c>
      <c r="B140" s="1253"/>
      <c r="C140" s="1253"/>
      <c r="D140" s="1253"/>
      <c r="E140" s="1300"/>
    </row>
    <row r="141" spans="1:6" ht="12.75" customHeight="1" x14ac:dyDescent="0.25">
      <c r="A141" s="1250"/>
      <c r="B141" s="8">
        <v>2018</v>
      </c>
      <c r="C141" s="8">
        <v>2019</v>
      </c>
      <c r="D141" s="8">
        <v>2020</v>
      </c>
      <c r="E141" s="8">
        <v>2021</v>
      </c>
    </row>
    <row r="142" spans="1:6" ht="9" customHeight="1" thickBot="1" x14ac:dyDescent="0.3">
      <c r="A142" s="1251"/>
      <c r="B142" s="9" t="s">
        <v>10</v>
      </c>
      <c r="C142" s="9" t="s">
        <v>11</v>
      </c>
      <c r="D142" s="9" t="s">
        <v>11</v>
      </c>
      <c r="E142" s="9" t="s">
        <v>11</v>
      </c>
    </row>
    <row r="143" spans="1:6" ht="15.75" thickBot="1" x14ac:dyDescent="0.3">
      <c r="A143" s="13" t="s">
        <v>58</v>
      </c>
      <c r="B143" s="14"/>
      <c r="C143" s="14"/>
      <c r="D143" s="14"/>
      <c r="E143" s="14"/>
    </row>
    <row r="144" spans="1:6" ht="15.75" thickBot="1" x14ac:dyDescent="0.3">
      <c r="A144" s="13" t="s">
        <v>59</v>
      </c>
      <c r="B144" s="15">
        <v>7025</v>
      </c>
      <c r="C144" s="14">
        <v>1200</v>
      </c>
      <c r="D144" s="14">
        <v>1200</v>
      </c>
      <c r="E144" s="14">
        <v>1800</v>
      </c>
    </row>
    <row r="145" spans="1:5" ht="15.75" thickBot="1" x14ac:dyDescent="0.3">
      <c r="A145" s="16" t="s">
        <v>43</v>
      </c>
      <c r="B145" s="15">
        <f>B144+B143</f>
        <v>7025</v>
      </c>
      <c r="C145" s="15">
        <f t="shared" ref="C145:E145" si="12">C144+C143</f>
        <v>1200</v>
      </c>
      <c r="D145" s="15">
        <f t="shared" si="12"/>
        <v>1200</v>
      </c>
      <c r="E145" s="15">
        <f t="shared" si="12"/>
        <v>1800</v>
      </c>
    </row>
    <row r="146" spans="1:5" ht="15.75" thickBot="1" x14ac:dyDescent="0.3">
      <c r="A146" s="22"/>
      <c r="B146" s="23"/>
      <c r="C146" s="23"/>
      <c r="D146" s="23"/>
      <c r="E146" s="23"/>
    </row>
    <row r="147" spans="1:5" ht="27" customHeight="1" thickBot="1" x14ac:dyDescent="0.3">
      <c r="A147" s="6" t="s">
        <v>82</v>
      </c>
      <c r="B147" s="24">
        <v>412500</v>
      </c>
      <c r="C147" s="24">
        <v>392900</v>
      </c>
      <c r="D147" s="24">
        <v>392900</v>
      </c>
      <c r="E147" s="24">
        <v>392900</v>
      </c>
    </row>
    <row r="148" spans="1:5" ht="36.75" thickBot="1" x14ac:dyDescent="0.3">
      <c r="A148" s="6" t="s">
        <v>83</v>
      </c>
      <c r="B148" s="24">
        <f>B150+B152+B154+B156+B158+B160</f>
        <v>412500</v>
      </c>
      <c r="C148" s="24">
        <v>392900</v>
      </c>
      <c r="D148" s="24">
        <v>392900</v>
      </c>
      <c r="E148" s="24">
        <v>392900</v>
      </c>
    </row>
    <row r="149" spans="1:5" ht="24.75" thickBot="1" x14ac:dyDescent="0.3">
      <c r="A149" s="25" t="s">
        <v>84</v>
      </c>
      <c r="B149" s="26"/>
      <c r="C149" s="27">
        <f>C148/B148-1</f>
        <v>-4.751515151515151E-2</v>
      </c>
      <c r="D149" s="27">
        <f t="shared" ref="D149:E149" si="13">D148/C148-1</f>
        <v>0</v>
      </c>
      <c r="E149" s="27">
        <f t="shared" si="13"/>
        <v>0</v>
      </c>
    </row>
    <row r="150" spans="1:5" ht="15.75" thickBot="1" x14ac:dyDescent="0.3">
      <c r="A150" s="13" t="s">
        <v>26</v>
      </c>
      <c r="B150" s="14">
        <v>249600</v>
      </c>
      <c r="C150" s="14">
        <v>242600</v>
      </c>
      <c r="D150" s="14">
        <v>242600</v>
      </c>
      <c r="E150" s="14">
        <v>242600</v>
      </c>
    </row>
    <row r="151" spans="1:5" ht="15.75" thickBot="1" x14ac:dyDescent="0.3">
      <c r="A151" s="28" t="s">
        <v>85</v>
      </c>
      <c r="B151" s="15"/>
      <c r="C151" s="29">
        <f>C150/B150-1</f>
        <v>-2.8044871794871806E-2</v>
      </c>
      <c r="D151" s="29">
        <f t="shared" ref="D151:E151" si="14">D150/C150-1</f>
        <v>0</v>
      </c>
      <c r="E151" s="29">
        <f t="shared" si="14"/>
        <v>0</v>
      </c>
    </row>
    <row r="152" spans="1:5" ht="24.75" thickBot="1" x14ac:dyDescent="0.3">
      <c r="A152" s="13" t="s">
        <v>28</v>
      </c>
      <c r="B152" s="14">
        <v>39300</v>
      </c>
      <c r="C152" s="14">
        <v>39300</v>
      </c>
      <c r="D152" s="14">
        <v>39300</v>
      </c>
      <c r="E152" s="14">
        <v>39300</v>
      </c>
    </row>
    <row r="153" spans="1:5" ht="24.75" thickBot="1" x14ac:dyDescent="0.3">
      <c r="A153" s="28" t="s">
        <v>86</v>
      </c>
      <c r="B153" s="15"/>
      <c r="C153" s="29">
        <f>C152/B152-1</f>
        <v>0</v>
      </c>
      <c r="D153" s="29">
        <f t="shared" ref="D153:E153" si="15">D152/C152-1</f>
        <v>0</v>
      </c>
      <c r="E153" s="29">
        <f t="shared" si="15"/>
        <v>0</v>
      </c>
    </row>
    <row r="154" spans="1:5" ht="15.75" thickBot="1" x14ac:dyDescent="0.3">
      <c r="A154" s="13" t="s">
        <v>30</v>
      </c>
      <c r="B154" s="14">
        <v>90850</v>
      </c>
      <c r="C154" s="14">
        <v>90850</v>
      </c>
      <c r="D154" s="14">
        <v>90850</v>
      </c>
      <c r="E154" s="14">
        <v>90850</v>
      </c>
    </row>
    <row r="155" spans="1:5" ht="24.75" thickBot="1" x14ac:dyDescent="0.3">
      <c r="A155" s="28" t="s">
        <v>87</v>
      </c>
      <c r="B155" s="15"/>
      <c r="C155" s="29">
        <f>C154/B154-1</f>
        <v>0</v>
      </c>
      <c r="D155" s="29">
        <f t="shared" ref="D155:E155" si="16">D154/C154-1</f>
        <v>0</v>
      </c>
      <c r="E155" s="29">
        <f t="shared" si="16"/>
        <v>0</v>
      </c>
    </row>
    <row r="156" spans="1:5" ht="15.75" thickBot="1" x14ac:dyDescent="0.3">
      <c r="A156" s="13" t="s">
        <v>36</v>
      </c>
      <c r="B156" s="14">
        <v>150</v>
      </c>
      <c r="C156" s="14">
        <v>150</v>
      </c>
      <c r="D156" s="14">
        <v>150</v>
      </c>
      <c r="E156" s="14">
        <v>150</v>
      </c>
    </row>
    <row r="157" spans="1:5" ht="24.75" thickBot="1" x14ac:dyDescent="0.3">
      <c r="A157" s="28" t="s">
        <v>90</v>
      </c>
      <c r="B157" s="15"/>
      <c r="C157" s="29">
        <f>C156/B156-1</f>
        <v>0</v>
      </c>
      <c r="D157" s="29">
        <f t="shared" ref="D157:E157" si="17">D156/C156-1</f>
        <v>0</v>
      </c>
      <c r="E157" s="29">
        <f t="shared" si="17"/>
        <v>0</v>
      </c>
    </row>
    <row r="158" spans="1:5" ht="15.75" thickBot="1" x14ac:dyDescent="0.3">
      <c r="A158" s="13" t="s">
        <v>92</v>
      </c>
      <c r="B158" s="14">
        <v>1400</v>
      </c>
      <c r="C158" s="14">
        <v>0</v>
      </c>
      <c r="D158" s="14">
        <v>0</v>
      </c>
      <c r="E158" s="14">
        <v>0</v>
      </c>
    </row>
    <row r="159" spans="1:5" ht="24.75" thickBot="1" x14ac:dyDescent="0.3">
      <c r="A159" s="28" t="s">
        <v>93</v>
      </c>
      <c r="B159" s="15"/>
      <c r="C159" s="29">
        <f>C158/B158-1</f>
        <v>-1</v>
      </c>
      <c r="D159" s="29">
        <v>0</v>
      </c>
      <c r="E159" s="29">
        <v>0</v>
      </c>
    </row>
    <row r="160" spans="1:5" ht="15.75" thickBot="1" x14ac:dyDescent="0.3">
      <c r="A160" s="13" t="s">
        <v>94</v>
      </c>
      <c r="B160" s="14">
        <v>31200</v>
      </c>
      <c r="C160" s="14">
        <v>20000</v>
      </c>
      <c r="D160" s="14">
        <v>20000</v>
      </c>
      <c r="E160" s="14">
        <v>20000</v>
      </c>
    </row>
    <row r="161" spans="1:5" ht="24.75" thickBot="1" x14ac:dyDescent="0.3">
      <c r="A161" s="28" t="s">
        <v>95</v>
      </c>
      <c r="B161" s="15"/>
      <c r="C161" s="29">
        <f>C160/B160-1</f>
        <v>-0.35897435897435892</v>
      </c>
      <c r="D161" s="29">
        <f t="shared" ref="D161:E161" si="18">D160/C160-1</f>
        <v>0</v>
      </c>
      <c r="E161" s="29">
        <f t="shared" si="18"/>
        <v>0</v>
      </c>
    </row>
    <row r="162" spans="1:5" ht="15.75" thickBot="1" x14ac:dyDescent="0.3">
      <c r="A162" s="17" t="s">
        <v>41</v>
      </c>
      <c r="B162" s="18">
        <f>IF(B148-B147=0,0,"Error")</f>
        <v>0</v>
      </c>
      <c r="C162" s="18">
        <f t="shared" ref="C162:E162" si="19">IF(C148-C147=0,0,"Error")</f>
        <v>0</v>
      </c>
      <c r="D162" s="18">
        <f t="shared" si="19"/>
        <v>0</v>
      </c>
      <c r="E162" s="18">
        <f t="shared" si="19"/>
        <v>0</v>
      </c>
    </row>
    <row r="163" spans="1:5" ht="36.75" thickBot="1" x14ac:dyDescent="0.3">
      <c r="A163" s="30" t="s">
        <v>96</v>
      </c>
      <c r="B163" s="14">
        <v>191</v>
      </c>
      <c r="C163" s="14">
        <v>191</v>
      </c>
      <c r="D163" s="14">
        <v>191</v>
      </c>
      <c r="E163" s="14">
        <v>191</v>
      </c>
    </row>
  </sheetData>
  <mergeCells count="62">
    <mergeCell ref="A140:E140"/>
    <mergeCell ref="A141:A142"/>
    <mergeCell ref="A123:A124"/>
    <mergeCell ref="B128:E128"/>
    <mergeCell ref="B129:E129"/>
    <mergeCell ref="B130:E130"/>
    <mergeCell ref="B131:E131"/>
    <mergeCell ref="A132:A133"/>
    <mergeCell ref="B110:E110"/>
    <mergeCell ref="B111:E111"/>
    <mergeCell ref="B112:E112"/>
    <mergeCell ref="B113:E113"/>
    <mergeCell ref="A114:A115"/>
    <mergeCell ref="A122:E122"/>
    <mergeCell ref="B93:E93"/>
    <mergeCell ref="A94:A95"/>
    <mergeCell ref="A102:E102"/>
    <mergeCell ref="A103:A104"/>
    <mergeCell ref="A108:E108"/>
    <mergeCell ref="A109:E109"/>
    <mergeCell ref="A82:A83"/>
    <mergeCell ref="A87:A89"/>
    <mergeCell ref="B87:E89"/>
    <mergeCell ref="B90:E90"/>
    <mergeCell ref="B91:E91"/>
    <mergeCell ref="B92:E92"/>
    <mergeCell ref="B69:E69"/>
    <mergeCell ref="B70:E70"/>
    <mergeCell ref="B71:E71"/>
    <mergeCell ref="B72:E72"/>
    <mergeCell ref="A73:A74"/>
    <mergeCell ref="A81:E81"/>
    <mergeCell ref="B50:E50"/>
    <mergeCell ref="A52:A53"/>
    <mergeCell ref="A59:E59"/>
    <mergeCell ref="A60:A61"/>
    <mergeCell ref="A67:E67"/>
    <mergeCell ref="A68:E68"/>
    <mergeCell ref="B30:E30"/>
    <mergeCell ref="A31:A32"/>
    <mergeCell ref="A39:E39"/>
    <mergeCell ref="A40:A41"/>
    <mergeCell ref="B48:E48"/>
    <mergeCell ref="B49:E49"/>
    <mergeCell ref="B23:E23"/>
    <mergeCell ref="A24:E24"/>
    <mergeCell ref="A26:E26"/>
    <mergeCell ref="A27:E27"/>
    <mergeCell ref="B28:E28"/>
    <mergeCell ref="B29:E29"/>
    <mergeCell ref="B13:E13"/>
    <mergeCell ref="B14:E14"/>
    <mergeCell ref="A15:E15"/>
    <mergeCell ref="A16:E18"/>
    <mergeCell ref="B19:E19"/>
    <mergeCell ref="A20:A21"/>
    <mergeCell ref="B4:E4"/>
    <mergeCell ref="B5:E5"/>
    <mergeCell ref="B6:E7"/>
    <mergeCell ref="C9:E9"/>
    <mergeCell ref="A10:E10"/>
    <mergeCell ref="B12:E12"/>
  </mergeCells>
  <printOptions horizontalCentered="1" verticalCentered="1"/>
  <pageMargins left="0.7" right="0.7" top="0.75" bottom="0.75" header="0.3" footer="0.3"/>
  <pageSetup scale="57" orientation="portrait" r:id="rId1"/>
  <rowBreaks count="2" manualBreakCount="2">
    <brk id="66" max="16383" man="1"/>
    <brk id="121"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G416"/>
  <sheetViews>
    <sheetView view="pageBreakPreview" zoomScale="60" zoomScaleNormal="100" workbookViewId="0">
      <selection activeCell="N18" sqref="N18"/>
    </sheetView>
  </sheetViews>
  <sheetFormatPr defaultRowHeight="15" x14ac:dyDescent="0.25"/>
  <cols>
    <col min="1" max="3" width="21.42578125" customWidth="1"/>
    <col min="4" max="4" width="15.42578125" customWidth="1"/>
    <col min="5" max="5" width="14.7109375" customWidth="1"/>
    <col min="6" max="7" width="16.28515625" bestFit="1" customWidth="1"/>
  </cols>
  <sheetData>
    <row r="1" spans="1:5" x14ac:dyDescent="0.25">
      <c r="A1" s="189" t="s">
        <v>898</v>
      </c>
      <c r="B1" s="188"/>
      <c r="C1" s="188"/>
      <c r="D1" s="188"/>
    </row>
    <row r="3" spans="1:5" ht="15.75" thickBot="1" x14ac:dyDescent="0.3"/>
    <row r="4" spans="1:5" ht="66.75" customHeight="1" thickBot="1" x14ac:dyDescent="0.3">
      <c r="A4" s="168" t="s">
        <v>897</v>
      </c>
      <c r="B4" s="1084"/>
      <c r="C4" s="1085"/>
      <c r="D4" s="1085"/>
      <c r="E4" s="1233"/>
    </row>
    <row r="5" spans="1:5" ht="76.5" customHeight="1" thickBot="1" x14ac:dyDescent="0.3">
      <c r="A5" s="36" t="s">
        <v>895</v>
      </c>
      <c r="B5" s="1087"/>
      <c r="C5" s="1088"/>
      <c r="D5" s="1088"/>
      <c r="E5" s="1235"/>
    </row>
    <row r="6" spans="1:5" ht="66.75" customHeight="1" thickBot="1" x14ac:dyDescent="0.3">
      <c r="A6" s="36" t="s">
        <v>914</v>
      </c>
      <c r="B6" s="1239"/>
      <c r="C6" s="1095"/>
      <c r="D6" s="1095"/>
      <c r="E6" s="1240"/>
    </row>
    <row r="7" spans="1:5" ht="56.25" customHeight="1" thickBot="1" x14ac:dyDescent="0.3">
      <c r="A7" s="36" t="s">
        <v>891</v>
      </c>
      <c r="B7" s="167" t="s">
        <v>912</v>
      </c>
      <c r="C7" s="1093" t="s">
        <v>7</v>
      </c>
      <c r="D7" s="1093"/>
      <c r="E7" s="1238"/>
    </row>
    <row r="8" spans="1:5" ht="65.25" customHeight="1" thickBot="1" x14ac:dyDescent="0.3">
      <c r="A8" s="36" t="s">
        <v>929</v>
      </c>
      <c r="B8" s="186"/>
      <c r="C8" s="1095"/>
      <c r="D8" s="1095"/>
      <c r="E8" s="1240"/>
    </row>
    <row r="9" spans="1:5" ht="72" customHeight="1" thickBot="1" x14ac:dyDescent="0.3">
      <c r="A9" s="36" t="s">
        <v>927</v>
      </c>
      <c r="B9" s="186"/>
      <c r="C9" s="1095"/>
      <c r="D9" s="1095"/>
      <c r="E9" s="1240"/>
    </row>
    <row r="10" spans="1:5" ht="18" customHeight="1" x14ac:dyDescent="0.25">
      <c r="A10" s="1247" t="s">
        <v>986</v>
      </c>
      <c r="B10" s="1247"/>
      <c r="C10" s="1247"/>
      <c r="D10" s="1247"/>
      <c r="E10" s="1247"/>
    </row>
    <row r="11" spans="1:5" ht="15.75" thickBot="1" x14ac:dyDescent="0.3"/>
    <row r="12" spans="1:5" ht="26.25" thickBot="1" x14ac:dyDescent="0.3">
      <c r="A12" s="2" t="s">
        <v>2</v>
      </c>
      <c r="B12" s="1377" t="s">
        <v>210</v>
      </c>
      <c r="C12" s="1377"/>
      <c r="D12" s="1377"/>
      <c r="E12" s="1377"/>
    </row>
    <row r="13" spans="1:5" ht="15.75" thickBot="1" x14ac:dyDescent="0.3">
      <c r="A13" s="2" t="s">
        <v>3</v>
      </c>
      <c r="B13" s="1378" t="s">
        <v>215</v>
      </c>
      <c r="C13" s="1379"/>
      <c r="D13" s="1379"/>
      <c r="E13" s="1380"/>
    </row>
    <row r="14" spans="1:5" ht="26.25" thickBot="1" x14ac:dyDescent="0.3">
      <c r="A14" s="2" t="s">
        <v>5</v>
      </c>
      <c r="B14" s="1374" t="s">
        <v>6</v>
      </c>
      <c r="C14" s="1375"/>
      <c r="D14" s="1375"/>
      <c r="E14" s="1376"/>
    </row>
    <row r="15" spans="1:5" ht="15.75" thickBot="1" x14ac:dyDescent="0.3">
      <c r="A15" s="1266" t="s">
        <v>7</v>
      </c>
      <c r="B15" s="1267"/>
      <c r="C15" s="1267"/>
      <c r="D15" s="1267"/>
      <c r="E15" s="1297"/>
    </row>
    <row r="16" spans="1:5" x14ac:dyDescent="0.25">
      <c r="A16" s="1365" t="s">
        <v>211</v>
      </c>
      <c r="B16" s="1366"/>
      <c r="C16" s="1366"/>
      <c r="D16" s="1366"/>
      <c r="E16" s="1367"/>
    </row>
    <row r="17" spans="1:5" ht="36.75" customHeight="1" x14ac:dyDescent="0.25">
      <c r="A17" s="1368"/>
      <c r="B17" s="1369"/>
      <c r="C17" s="1369"/>
      <c r="D17" s="1369"/>
      <c r="E17" s="1370"/>
    </row>
    <row r="18" spans="1:5" ht="15.75" thickBot="1" x14ac:dyDescent="0.3">
      <c r="A18" s="1371"/>
      <c r="B18" s="1372"/>
      <c r="C18" s="1372"/>
      <c r="D18" s="1372"/>
      <c r="E18" s="1373"/>
    </row>
    <row r="19" spans="1:5" ht="48.75" customHeight="1" thickBot="1" x14ac:dyDescent="0.3">
      <c r="A19" s="259" t="s">
        <v>8</v>
      </c>
      <c r="B19" s="1374" t="s">
        <v>985</v>
      </c>
      <c r="C19" s="1375"/>
      <c r="D19" s="1375"/>
      <c r="E19" s="1376"/>
    </row>
    <row r="20" spans="1:5" ht="23.25" customHeight="1" x14ac:dyDescent="0.25">
      <c r="A20" s="1250" t="s">
        <v>9</v>
      </c>
      <c r="B20" s="66">
        <v>2018</v>
      </c>
      <c r="C20" s="66">
        <v>2019</v>
      </c>
      <c r="D20" s="66">
        <v>2020</v>
      </c>
      <c r="E20" s="66">
        <v>2021</v>
      </c>
    </row>
    <row r="21" spans="1:5" ht="15.75" thickBot="1" x14ac:dyDescent="0.3">
      <c r="A21" s="1251"/>
      <c r="B21" s="67" t="s">
        <v>10</v>
      </c>
      <c r="C21" s="67" t="s">
        <v>11</v>
      </c>
      <c r="D21" s="67" t="s">
        <v>11</v>
      </c>
      <c r="E21" s="67" t="s">
        <v>11</v>
      </c>
    </row>
    <row r="22" spans="1:5" ht="54.75" customHeight="1" thickBot="1" x14ac:dyDescent="0.3">
      <c r="A22" s="5" t="s">
        <v>216</v>
      </c>
      <c r="B22" s="257">
        <v>0.98</v>
      </c>
      <c r="C22" s="257">
        <v>0.98</v>
      </c>
      <c r="D22" s="257">
        <v>0.99</v>
      </c>
      <c r="E22" s="257">
        <v>0.99</v>
      </c>
    </row>
    <row r="23" spans="1:5" ht="24.75" thickBot="1" x14ac:dyDescent="0.3">
      <c r="A23" s="6" t="s">
        <v>12</v>
      </c>
      <c r="B23" s="1381" t="s">
        <v>984</v>
      </c>
      <c r="C23" s="1382"/>
      <c r="D23" s="1382"/>
      <c r="E23" s="1383"/>
    </row>
    <row r="24" spans="1:5" ht="15.75" thickBot="1" x14ac:dyDescent="0.3">
      <c r="A24" s="1319" t="s">
        <v>983</v>
      </c>
      <c r="B24" s="1320"/>
      <c r="C24" s="1320"/>
      <c r="D24" s="1320"/>
      <c r="E24" s="1321"/>
    </row>
    <row r="25" spans="1:5" ht="51" customHeight="1" thickBot="1" x14ac:dyDescent="0.3">
      <c r="A25" s="5" t="s">
        <v>982</v>
      </c>
      <c r="B25" s="257">
        <v>0.57999999999999996</v>
      </c>
      <c r="C25" s="257">
        <v>0.57999999999999996</v>
      </c>
      <c r="D25" s="257">
        <v>0.57999999999999996</v>
      </c>
      <c r="E25" s="258">
        <f>63%-3%</f>
        <v>0.6</v>
      </c>
    </row>
    <row r="26" spans="1:5" ht="44.25" customHeight="1" thickBot="1" x14ac:dyDescent="0.3">
      <c r="A26" s="5" t="s">
        <v>981</v>
      </c>
      <c r="B26" s="241">
        <v>0.94</v>
      </c>
      <c r="C26" s="241">
        <v>0.95</v>
      </c>
      <c r="D26" s="241">
        <v>0.96</v>
      </c>
      <c r="E26" s="241">
        <v>0.97</v>
      </c>
    </row>
    <row r="27" spans="1:5" ht="48" customHeight="1" thickBot="1" x14ac:dyDescent="0.3">
      <c r="A27" s="5" t="s">
        <v>980</v>
      </c>
      <c r="B27" s="257">
        <v>0.74</v>
      </c>
      <c r="C27" s="257">
        <v>0.81</v>
      </c>
      <c r="D27" s="257">
        <v>0.81</v>
      </c>
      <c r="E27" s="257">
        <v>0.85</v>
      </c>
    </row>
    <row r="28" spans="1:5" ht="23.25" hidden="1" thickBot="1" x14ac:dyDescent="0.3">
      <c r="A28" s="5" t="s">
        <v>111</v>
      </c>
      <c r="B28" s="4" t="s">
        <v>112</v>
      </c>
      <c r="C28" s="4" t="s">
        <v>113</v>
      </c>
      <c r="D28" s="4" t="s">
        <v>113</v>
      </c>
      <c r="E28" s="4" t="s">
        <v>113</v>
      </c>
    </row>
    <row r="29" spans="1:5" ht="15.75" thickBot="1" x14ac:dyDescent="0.3">
      <c r="A29" s="1273" t="s">
        <v>14</v>
      </c>
      <c r="B29" s="1274"/>
      <c r="C29" s="1274"/>
      <c r="D29" s="1274"/>
      <c r="E29" s="1299"/>
    </row>
    <row r="30" spans="1:5" ht="15.75" thickBot="1" x14ac:dyDescent="0.3">
      <c r="A30" s="1275" t="s">
        <v>979</v>
      </c>
      <c r="B30" s="1276"/>
      <c r="C30" s="1276"/>
      <c r="D30" s="1276"/>
      <c r="E30" s="1317"/>
    </row>
    <row r="31" spans="1:5" ht="15.75" thickBot="1" x14ac:dyDescent="0.3">
      <c r="A31" s="7" t="s">
        <v>126</v>
      </c>
      <c r="B31" s="1384" t="s">
        <v>217</v>
      </c>
      <c r="C31" s="1385"/>
      <c r="D31" s="1385"/>
      <c r="E31" s="1386"/>
    </row>
    <row r="32" spans="1:5" ht="15.75" thickBot="1" x14ac:dyDescent="0.3">
      <c r="A32" s="5" t="s">
        <v>17</v>
      </c>
      <c r="B32" s="1245" t="s">
        <v>218</v>
      </c>
      <c r="C32" s="1246"/>
      <c r="D32" s="1246"/>
      <c r="E32" s="1298"/>
    </row>
    <row r="33" spans="1:7" ht="17.25" customHeight="1" thickBot="1" x14ac:dyDescent="0.3">
      <c r="A33" s="5" t="s">
        <v>18</v>
      </c>
      <c r="B33" s="1362" t="s">
        <v>219</v>
      </c>
      <c r="C33" s="1363"/>
      <c r="D33" s="1363"/>
      <c r="E33" s="1364"/>
    </row>
    <row r="34" spans="1:7" ht="15.75" hidden="1" thickBot="1" x14ac:dyDescent="0.3">
      <c r="A34" s="5" t="s">
        <v>18</v>
      </c>
      <c r="B34" s="1248" t="s">
        <v>106</v>
      </c>
      <c r="C34" s="1249"/>
      <c r="D34" s="1249"/>
      <c r="E34" s="1316"/>
    </row>
    <row r="35" spans="1:7" ht="12.75" customHeight="1" x14ac:dyDescent="0.25">
      <c r="A35" s="1250"/>
      <c r="B35" s="8">
        <v>2018</v>
      </c>
      <c r="C35" s="8">
        <v>2019</v>
      </c>
      <c r="D35" s="8">
        <v>2020</v>
      </c>
      <c r="E35" s="8">
        <v>2021</v>
      </c>
    </row>
    <row r="36" spans="1:7" ht="9" customHeight="1" thickBot="1" x14ac:dyDescent="0.3">
      <c r="A36" s="1251"/>
      <c r="B36" s="9" t="s">
        <v>10</v>
      </c>
      <c r="C36" s="9" t="s">
        <v>11</v>
      </c>
      <c r="D36" s="9" t="s">
        <v>11</v>
      </c>
      <c r="E36" s="9" t="s">
        <v>11</v>
      </c>
    </row>
    <row r="37" spans="1:7" ht="15.75" thickBot="1" x14ac:dyDescent="0.3">
      <c r="A37" s="5" t="s">
        <v>19</v>
      </c>
      <c r="B37" s="10">
        <v>162000</v>
      </c>
      <c r="C37" s="10">
        <v>117110</v>
      </c>
      <c r="D37" s="10">
        <v>117110</v>
      </c>
      <c r="E37" s="10">
        <v>117110</v>
      </c>
    </row>
    <row r="38" spans="1:7" ht="15.75" thickBot="1" x14ac:dyDescent="0.3">
      <c r="A38" s="5" t="s">
        <v>20</v>
      </c>
      <c r="B38" s="10">
        <v>2051000</v>
      </c>
      <c r="C38" s="10">
        <v>2108000</v>
      </c>
      <c r="D38" s="10">
        <v>2108000</v>
      </c>
      <c r="E38" s="10">
        <v>2108000</v>
      </c>
    </row>
    <row r="39" spans="1:7" ht="15.75" thickBot="1" x14ac:dyDescent="0.3">
      <c r="A39" s="5" t="s">
        <v>21</v>
      </c>
      <c r="B39" s="10">
        <f>B38/B37</f>
        <v>12.660493827160494</v>
      </c>
      <c r="C39" s="10">
        <f>C38/C37</f>
        <v>18.000170779608915</v>
      </c>
      <c r="D39" s="10">
        <f>D38/D37</f>
        <v>18.000170779608915</v>
      </c>
      <c r="E39" s="10">
        <f>E38/E37</f>
        <v>18.000170779608915</v>
      </c>
    </row>
    <row r="40" spans="1:7" ht="15.75" thickBot="1" x14ac:dyDescent="0.3">
      <c r="A40" s="5" t="s">
        <v>22</v>
      </c>
      <c r="B40" s="152" t="s">
        <v>23</v>
      </c>
      <c r="C40" s="11">
        <f t="shared" ref="C40:E42" si="0">C37/B37-1</f>
        <v>-0.27709876543209877</v>
      </c>
      <c r="D40" s="11">
        <f t="shared" si="0"/>
        <v>0</v>
      </c>
      <c r="E40" s="11">
        <f t="shared" si="0"/>
        <v>0</v>
      </c>
    </row>
    <row r="41" spans="1:7" ht="15.75" thickBot="1" x14ac:dyDescent="0.3">
      <c r="A41" s="5" t="s">
        <v>24</v>
      </c>
      <c r="B41" s="152" t="s">
        <v>23</v>
      </c>
      <c r="C41" s="11">
        <f t="shared" si="0"/>
        <v>2.7791321306679606E-2</v>
      </c>
      <c r="D41" s="11">
        <f t="shared" si="0"/>
        <v>0</v>
      </c>
      <c r="E41" s="11">
        <f t="shared" si="0"/>
        <v>0</v>
      </c>
    </row>
    <row r="42" spans="1:7" ht="23.25" thickBot="1" x14ac:dyDescent="0.3">
      <c r="A42" s="5" t="s">
        <v>25</v>
      </c>
      <c r="B42" s="152" t="s">
        <v>23</v>
      </c>
      <c r="C42" s="11">
        <f t="shared" si="0"/>
        <v>0.42175897917925131</v>
      </c>
      <c r="D42" s="11">
        <f t="shared" si="0"/>
        <v>0</v>
      </c>
      <c r="E42" s="11">
        <f t="shared" si="0"/>
        <v>0</v>
      </c>
      <c r="F42" s="256"/>
      <c r="G42" s="256"/>
    </row>
    <row r="43" spans="1:7" ht="15.75" thickBot="1" x14ac:dyDescent="0.3">
      <c r="A43" s="1252" t="s">
        <v>633</v>
      </c>
      <c r="B43" s="1253"/>
      <c r="C43" s="1253"/>
      <c r="D43" s="1253"/>
      <c r="E43" s="1300"/>
    </row>
    <row r="44" spans="1:7" ht="12.75" customHeight="1" x14ac:dyDescent="0.25">
      <c r="A44" s="1250"/>
      <c r="B44" s="8">
        <v>2018</v>
      </c>
      <c r="C44" s="8">
        <v>2019</v>
      </c>
      <c r="D44" s="8">
        <v>2020</v>
      </c>
      <c r="E44" s="8">
        <v>2021</v>
      </c>
    </row>
    <row r="45" spans="1:7" ht="9" customHeight="1" thickBot="1" x14ac:dyDescent="0.3">
      <c r="A45" s="1251"/>
      <c r="B45" s="9" t="s">
        <v>10</v>
      </c>
      <c r="C45" s="9" t="s">
        <v>11</v>
      </c>
      <c r="D45" s="9" t="s">
        <v>11</v>
      </c>
      <c r="E45" s="9" t="s">
        <v>11</v>
      </c>
    </row>
    <row r="46" spans="1:7" ht="15.75" thickBot="1" x14ac:dyDescent="0.3">
      <c r="A46" s="13" t="s">
        <v>26</v>
      </c>
      <c r="B46" s="60">
        <v>1371000</v>
      </c>
      <c r="C46" s="60">
        <v>1500000</v>
      </c>
      <c r="D46" s="60">
        <v>1500000</v>
      </c>
      <c r="E46" s="60">
        <v>1500000</v>
      </c>
    </row>
    <row r="47" spans="1:7" ht="24.75" thickBot="1" x14ac:dyDescent="0.3">
      <c r="A47" s="13" t="s">
        <v>28</v>
      </c>
      <c r="B47" s="60">
        <v>265000</v>
      </c>
      <c r="C47" s="60">
        <v>240000</v>
      </c>
      <c r="D47" s="60">
        <v>240000</v>
      </c>
      <c r="E47" s="60">
        <v>240000</v>
      </c>
    </row>
    <row r="48" spans="1:7" ht="15.75" thickBot="1" x14ac:dyDescent="0.3">
      <c r="A48" s="13" t="s">
        <v>30</v>
      </c>
      <c r="B48" s="191">
        <v>415000</v>
      </c>
      <c r="C48" s="191">
        <v>368000</v>
      </c>
      <c r="D48" s="191">
        <v>368000</v>
      </c>
      <c r="E48" s="191">
        <v>368000</v>
      </c>
    </row>
    <row r="49" spans="1:5" ht="15.75" thickBot="1" x14ac:dyDescent="0.3">
      <c r="A49" s="13" t="s">
        <v>32</v>
      </c>
      <c r="B49" s="15"/>
      <c r="C49" s="14"/>
      <c r="D49" s="14"/>
      <c r="E49" s="14"/>
    </row>
    <row r="50" spans="1:5" ht="24.75" thickBot="1" x14ac:dyDescent="0.3">
      <c r="A50" s="13" t="s">
        <v>34</v>
      </c>
      <c r="B50" s="15"/>
      <c r="C50" s="14"/>
      <c r="D50" s="14"/>
      <c r="E50" s="14"/>
    </row>
    <row r="51" spans="1:5" ht="15.75" thickBot="1" x14ac:dyDescent="0.3">
      <c r="A51" s="13" t="s">
        <v>36</v>
      </c>
      <c r="B51" s="15"/>
      <c r="C51" s="14"/>
      <c r="D51" s="14"/>
      <c r="E51" s="14"/>
    </row>
    <row r="52" spans="1:5" ht="24.75" thickBot="1" x14ac:dyDescent="0.3">
      <c r="A52" s="251" t="s">
        <v>38</v>
      </c>
      <c r="B52" s="15"/>
      <c r="C52" s="14"/>
      <c r="D52" s="14"/>
      <c r="E52" s="14"/>
    </row>
    <row r="53" spans="1:5" ht="15.75" thickBot="1" x14ac:dyDescent="0.3">
      <c r="A53" s="250" t="s">
        <v>40</v>
      </c>
      <c r="B53" s="15">
        <f>B52+B51+B50+B49+B48+B47+B46</f>
        <v>2051000</v>
      </c>
      <c r="C53" s="15">
        <f>C52+C51+C50+C49+C48+C47+C46</f>
        <v>2108000</v>
      </c>
      <c r="D53" s="15">
        <f>D52+D51+D50+D49+D48+D47+D46</f>
        <v>2108000</v>
      </c>
      <c r="E53" s="15">
        <f>E52+E51+E50+E49+E48+E47+E46</f>
        <v>2108000</v>
      </c>
    </row>
    <row r="54" spans="1:5" ht="15.75" thickBot="1" x14ac:dyDescent="0.3">
      <c r="A54" s="17" t="s">
        <v>41</v>
      </c>
      <c r="B54" s="18">
        <f>IF(B53-B38=0,0,"Error")</f>
        <v>0</v>
      </c>
      <c r="C54" s="18">
        <f>IF(C53-C38=0,0,"Error")</f>
        <v>0</v>
      </c>
      <c r="D54" s="18">
        <f>IF(D53-D38=0,0,"Error")</f>
        <v>0</v>
      </c>
      <c r="E54" s="18">
        <f>IF(E53-E38=0,0,"Error")</f>
        <v>0</v>
      </c>
    </row>
    <row r="55" spans="1:5" ht="23.25" hidden="1" thickBot="1" x14ac:dyDescent="0.3">
      <c r="A55" s="139" t="s">
        <v>637</v>
      </c>
      <c r="B55" s="1243" t="s">
        <v>106</v>
      </c>
      <c r="C55" s="1244"/>
      <c r="D55" s="1244"/>
      <c r="E55" s="1315"/>
    </row>
    <row r="56" spans="1:5" ht="15.75" hidden="1" thickBot="1" x14ac:dyDescent="0.3">
      <c r="A56" s="5" t="s">
        <v>17</v>
      </c>
      <c r="B56" s="1245" t="s">
        <v>106</v>
      </c>
      <c r="C56" s="1246"/>
      <c r="D56" s="1246"/>
      <c r="E56" s="1298"/>
    </row>
    <row r="57" spans="1:5" ht="15.75" hidden="1" thickBot="1" x14ac:dyDescent="0.3">
      <c r="A57" s="5" t="s">
        <v>18</v>
      </c>
      <c r="B57" s="1248" t="s">
        <v>106</v>
      </c>
      <c r="C57" s="1249"/>
      <c r="D57" s="1249"/>
      <c r="E57" s="1316"/>
    </row>
    <row r="58" spans="1:5" ht="15.75" hidden="1" thickBot="1" x14ac:dyDescent="0.3">
      <c r="A58" s="5" t="s">
        <v>19</v>
      </c>
      <c r="B58" s="10"/>
      <c r="C58" s="10"/>
      <c r="D58" s="10"/>
      <c r="E58" s="10"/>
    </row>
    <row r="59" spans="1:5" ht="12.75" hidden="1" customHeight="1" x14ac:dyDescent="0.25">
      <c r="A59" s="1250"/>
      <c r="B59" s="8">
        <v>2018</v>
      </c>
      <c r="C59" s="8">
        <v>2019</v>
      </c>
      <c r="D59" s="8">
        <v>2020</v>
      </c>
      <c r="E59" s="8">
        <v>2021</v>
      </c>
    </row>
    <row r="60" spans="1:5" ht="9" hidden="1" customHeight="1" thickBot="1" x14ac:dyDescent="0.3">
      <c r="A60" s="1251"/>
      <c r="B60" s="9" t="s">
        <v>10</v>
      </c>
      <c r="C60" s="9" t="s">
        <v>11</v>
      </c>
      <c r="D60" s="9" t="s">
        <v>11</v>
      </c>
      <c r="E60" s="9" t="s">
        <v>11</v>
      </c>
    </row>
    <row r="61" spans="1:5" ht="15.75" hidden="1" thickBot="1" x14ac:dyDescent="0.3">
      <c r="A61" s="5" t="s">
        <v>20</v>
      </c>
      <c r="B61" s="10"/>
      <c r="C61" s="10"/>
      <c r="D61" s="10"/>
      <c r="E61" s="10"/>
    </row>
    <row r="62" spans="1:5" ht="15.75" hidden="1" thickBot="1" x14ac:dyDescent="0.3">
      <c r="A62" s="5" t="s">
        <v>21</v>
      </c>
      <c r="B62" s="10" t="e">
        <f>B61/B58</f>
        <v>#DIV/0!</v>
      </c>
      <c r="C62" s="10" t="e">
        <f>C61/C58</f>
        <v>#DIV/0!</v>
      </c>
      <c r="D62" s="10" t="e">
        <f>D61/D58</f>
        <v>#DIV/0!</v>
      </c>
      <c r="E62" s="10" t="e">
        <f>E61/E58</f>
        <v>#DIV/0!</v>
      </c>
    </row>
    <row r="63" spans="1:5" ht="15.75" hidden="1" thickBot="1" x14ac:dyDescent="0.3">
      <c r="A63" s="5" t="s">
        <v>22</v>
      </c>
      <c r="B63" s="152"/>
      <c r="C63" s="11" t="e">
        <f>C58/B58-1</f>
        <v>#DIV/0!</v>
      </c>
      <c r="D63" s="11" t="e">
        <f>D58/C58-1</f>
        <v>#DIV/0!</v>
      </c>
      <c r="E63" s="11" t="e">
        <f>E58/D58-1</f>
        <v>#DIV/0!</v>
      </c>
    </row>
    <row r="64" spans="1:5" ht="15.75" hidden="1" thickBot="1" x14ac:dyDescent="0.3">
      <c r="A64" s="5" t="s">
        <v>24</v>
      </c>
      <c r="B64" s="152"/>
      <c r="C64" s="11" t="e">
        <f t="shared" ref="C64:E65" si="1">C61/B61-1</f>
        <v>#DIV/0!</v>
      </c>
      <c r="D64" s="11" t="e">
        <f t="shared" si="1"/>
        <v>#DIV/0!</v>
      </c>
      <c r="E64" s="11" t="e">
        <f t="shared" si="1"/>
        <v>#DIV/0!</v>
      </c>
    </row>
    <row r="65" spans="1:5" ht="23.25" hidden="1" thickBot="1" x14ac:dyDescent="0.3">
      <c r="A65" s="5" t="s">
        <v>25</v>
      </c>
      <c r="B65" s="152"/>
      <c r="C65" s="11" t="e">
        <f t="shared" si="1"/>
        <v>#DIV/0!</v>
      </c>
      <c r="D65" s="11" t="e">
        <f t="shared" si="1"/>
        <v>#DIV/0!</v>
      </c>
      <c r="E65" s="11" t="e">
        <f t="shared" si="1"/>
        <v>#DIV/0!</v>
      </c>
    </row>
    <row r="66" spans="1:5" ht="24.75" hidden="1" customHeight="1" thickBot="1" x14ac:dyDescent="0.3">
      <c r="A66" s="1252" t="s">
        <v>862</v>
      </c>
      <c r="B66" s="1253"/>
      <c r="C66" s="1253"/>
      <c r="D66" s="1253"/>
      <c r="E66" s="1300"/>
    </row>
    <row r="67" spans="1:5" ht="12.75" hidden="1" customHeight="1" x14ac:dyDescent="0.25">
      <c r="A67" s="1250"/>
      <c r="B67" s="8">
        <v>2018</v>
      </c>
      <c r="C67" s="8">
        <v>2019</v>
      </c>
      <c r="D67" s="8">
        <v>2020</v>
      </c>
      <c r="E67" s="8">
        <v>2021</v>
      </c>
    </row>
    <row r="68" spans="1:5" ht="9" hidden="1" customHeight="1" thickBot="1" x14ac:dyDescent="0.3">
      <c r="A68" s="1251"/>
      <c r="B68" s="9" t="s">
        <v>10</v>
      </c>
      <c r="C68" s="9" t="s">
        <v>11</v>
      </c>
      <c r="D68" s="9" t="s">
        <v>11</v>
      </c>
      <c r="E68" s="9" t="s">
        <v>11</v>
      </c>
    </row>
    <row r="69" spans="1:5" ht="24.75" hidden="1" customHeight="1" thickBot="1" x14ac:dyDescent="0.3">
      <c r="A69" s="13" t="s">
        <v>26</v>
      </c>
      <c r="B69" s="14"/>
      <c r="C69" s="14"/>
      <c r="D69" s="14"/>
      <c r="E69" s="14"/>
    </row>
    <row r="70" spans="1:5" ht="24.75" hidden="1" customHeight="1" thickBot="1" x14ac:dyDescent="0.3">
      <c r="A70" s="13" t="s">
        <v>28</v>
      </c>
      <c r="B70" s="14"/>
      <c r="C70" s="14"/>
      <c r="D70" s="14"/>
      <c r="E70" s="14"/>
    </row>
    <row r="71" spans="1:5" ht="24.75" hidden="1" customHeight="1" thickBot="1" x14ac:dyDescent="0.3">
      <c r="A71" s="13" t="s">
        <v>30</v>
      </c>
      <c r="B71" s="15"/>
      <c r="C71" s="14"/>
      <c r="D71" s="14"/>
      <c r="E71" s="14"/>
    </row>
    <row r="72" spans="1:5" ht="15.75" hidden="1" thickBot="1" x14ac:dyDescent="0.3">
      <c r="A72" s="13" t="s">
        <v>32</v>
      </c>
      <c r="B72" s="15"/>
      <c r="C72" s="14"/>
      <c r="D72" s="14"/>
      <c r="E72" s="14"/>
    </row>
    <row r="73" spans="1:5" ht="24.75" hidden="1" thickBot="1" x14ac:dyDescent="0.3">
      <c r="A73" s="13" t="s">
        <v>34</v>
      </c>
      <c r="B73" s="15"/>
      <c r="C73" s="14"/>
      <c r="D73" s="14"/>
      <c r="E73" s="14"/>
    </row>
    <row r="74" spans="1:5" ht="15.75" hidden="1" thickBot="1" x14ac:dyDescent="0.3">
      <c r="A74" s="13" t="s">
        <v>36</v>
      </c>
      <c r="B74" s="15"/>
      <c r="C74" s="14"/>
      <c r="D74" s="14"/>
      <c r="E74" s="14"/>
    </row>
    <row r="75" spans="1:5" ht="24.75" hidden="1" thickBot="1" x14ac:dyDescent="0.3">
      <c r="A75" s="13" t="s">
        <v>38</v>
      </c>
      <c r="B75" s="15"/>
      <c r="C75" s="14"/>
      <c r="D75" s="14"/>
      <c r="E75" s="14"/>
    </row>
    <row r="76" spans="1:5" ht="24.75" hidden="1" thickBot="1" x14ac:dyDescent="0.3">
      <c r="A76" s="135" t="s">
        <v>74</v>
      </c>
      <c r="B76" s="15">
        <f>B75+B74+B73+B72+B71+B70+B69</f>
        <v>0</v>
      </c>
      <c r="C76" s="15">
        <f>C75+C74+C73+C72+C71+C70+C69</f>
        <v>0</v>
      </c>
      <c r="D76" s="15">
        <f>D75+D74+D73+D72+D71+D70+D69</f>
        <v>0</v>
      </c>
      <c r="E76" s="15">
        <f>E75+E74+E73+E72+E71+E70+E69</f>
        <v>0</v>
      </c>
    </row>
    <row r="77" spans="1:5" ht="17.25" hidden="1" customHeight="1" thickBot="1" x14ac:dyDescent="0.3">
      <c r="A77" s="17" t="s">
        <v>41</v>
      </c>
      <c r="B77" s="18">
        <f>IF(B76-B61=0,0,"Error")</f>
        <v>0</v>
      </c>
      <c r="C77" s="18">
        <f>IF(C76-C61=0,0,"Error")</f>
        <v>0</v>
      </c>
      <c r="D77" s="18">
        <f>IF(D76-D61=0,0,"Error")</f>
        <v>0</v>
      </c>
      <c r="E77" s="18">
        <f>IF(E76-E61=0,0,"Error")</f>
        <v>0</v>
      </c>
    </row>
    <row r="78" spans="1:5" ht="15.75" thickBot="1" x14ac:dyDescent="0.3">
      <c r="A78" s="1275" t="s">
        <v>63</v>
      </c>
      <c r="B78" s="1276"/>
      <c r="C78" s="1276"/>
      <c r="D78" s="1276"/>
      <c r="E78" s="1317"/>
    </row>
    <row r="79" spans="1:5" ht="15.75" thickBot="1" x14ac:dyDescent="0.3">
      <c r="A79" s="1275" t="s">
        <v>56</v>
      </c>
      <c r="B79" s="1276"/>
      <c r="C79" s="1276"/>
      <c r="D79" s="1276"/>
      <c r="E79" s="1317"/>
    </row>
    <row r="80" spans="1:5" ht="15.75" thickBot="1" x14ac:dyDescent="0.3">
      <c r="A80" s="255" t="s">
        <v>220</v>
      </c>
      <c r="B80" s="1356" t="s">
        <v>978</v>
      </c>
      <c r="C80" s="1357"/>
      <c r="D80" s="1357"/>
      <c r="E80" s="1358"/>
    </row>
    <row r="81" spans="1:5" ht="15.75" thickBot="1" x14ac:dyDescent="0.3">
      <c r="A81" s="247" t="s">
        <v>135</v>
      </c>
      <c r="B81" s="1362" t="s">
        <v>221</v>
      </c>
      <c r="C81" s="1363"/>
      <c r="D81" s="1363"/>
      <c r="E81" s="1364"/>
    </row>
    <row r="82" spans="1:5" ht="17.25" customHeight="1" thickBot="1" x14ac:dyDescent="0.3">
      <c r="A82" s="5" t="s">
        <v>17</v>
      </c>
      <c r="B82" s="1245" t="s">
        <v>977</v>
      </c>
      <c r="C82" s="1246"/>
      <c r="D82" s="1246"/>
      <c r="E82" s="1298"/>
    </row>
    <row r="83" spans="1:5" ht="15.75" thickBot="1" x14ac:dyDescent="0.3">
      <c r="A83" s="5" t="s">
        <v>18</v>
      </c>
      <c r="B83" s="1248" t="s">
        <v>222</v>
      </c>
      <c r="C83" s="1249"/>
      <c r="D83" s="1249"/>
      <c r="E83" s="1316"/>
    </row>
    <row r="84" spans="1:5" ht="12.75" customHeight="1" x14ac:dyDescent="0.25">
      <c r="A84" s="1250"/>
      <c r="B84" s="8">
        <v>2018</v>
      </c>
      <c r="C84" s="8">
        <v>2019</v>
      </c>
      <c r="D84" s="8">
        <v>2020</v>
      </c>
      <c r="E84" s="8">
        <v>2021</v>
      </c>
    </row>
    <row r="85" spans="1:5" ht="9" customHeight="1" thickBot="1" x14ac:dyDescent="0.3">
      <c r="A85" s="1251"/>
      <c r="B85" s="9" t="s">
        <v>10</v>
      </c>
      <c r="C85" s="9" t="s">
        <v>11</v>
      </c>
      <c r="D85" s="9" t="s">
        <v>11</v>
      </c>
      <c r="E85" s="9" t="s">
        <v>11</v>
      </c>
    </row>
    <row r="86" spans="1:5" ht="15.75" thickBot="1" x14ac:dyDescent="0.3">
      <c r="A86" s="5" t="s">
        <v>19</v>
      </c>
      <c r="B86" s="10">
        <v>550</v>
      </c>
      <c r="C86" s="10">
        <v>0</v>
      </c>
      <c r="D86" s="10">
        <v>967</v>
      </c>
      <c r="E86" s="10">
        <v>930</v>
      </c>
    </row>
    <row r="87" spans="1:5" ht="15.75" thickBot="1" x14ac:dyDescent="0.3">
      <c r="A87" s="5" t="s">
        <v>20</v>
      </c>
      <c r="B87" s="10">
        <v>67895</v>
      </c>
      <c r="C87" s="10">
        <v>0</v>
      </c>
      <c r="D87" s="10">
        <v>69160</v>
      </c>
      <c r="E87" s="10">
        <v>60000</v>
      </c>
    </row>
    <row r="88" spans="1:5" ht="15.75" thickBot="1" x14ac:dyDescent="0.3">
      <c r="A88" s="5" t="s">
        <v>21</v>
      </c>
      <c r="B88" s="10">
        <f>B87/B86</f>
        <v>123.44545454545455</v>
      </c>
      <c r="C88" s="10" t="e">
        <f>C87/C86</f>
        <v>#DIV/0!</v>
      </c>
      <c r="D88" s="10">
        <f>D87/D86</f>
        <v>71.520165460186149</v>
      </c>
      <c r="E88" s="10">
        <f>E87/E86</f>
        <v>64.516129032258064</v>
      </c>
    </row>
    <row r="89" spans="1:5" ht="15.75" thickBot="1" x14ac:dyDescent="0.3">
      <c r="A89" s="5" t="s">
        <v>22</v>
      </c>
      <c r="B89" s="152" t="s">
        <v>23</v>
      </c>
      <c r="C89" s="11">
        <f t="shared" ref="C89:E91" si="2">C86/B86-1</f>
        <v>-1</v>
      </c>
      <c r="D89" s="11" t="e">
        <f t="shared" si="2"/>
        <v>#DIV/0!</v>
      </c>
      <c r="E89" s="11">
        <f t="shared" si="2"/>
        <v>-3.8262668045501602E-2</v>
      </c>
    </row>
    <row r="90" spans="1:5" ht="15.75" thickBot="1" x14ac:dyDescent="0.3">
      <c r="A90" s="5" t="s">
        <v>24</v>
      </c>
      <c r="B90" s="152" t="s">
        <v>23</v>
      </c>
      <c r="C90" s="11">
        <f t="shared" si="2"/>
        <v>-1</v>
      </c>
      <c r="D90" s="11" t="e">
        <f t="shared" si="2"/>
        <v>#DIV/0!</v>
      </c>
      <c r="E90" s="11">
        <f t="shared" si="2"/>
        <v>-0.1324465008675535</v>
      </c>
    </row>
    <row r="91" spans="1:5" ht="23.25" thickBot="1" x14ac:dyDescent="0.3">
      <c r="A91" s="5" t="s">
        <v>25</v>
      </c>
      <c r="B91" s="152" t="s">
        <v>23</v>
      </c>
      <c r="C91" s="11" t="e">
        <f t="shared" si="2"/>
        <v>#DIV/0!</v>
      </c>
      <c r="D91" s="11" t="e">
        <f t="shared" si="2"/>
        <v>#DIV/0!</v>
      </c>
      <c r="E91" s="11">
        <f t="shared" si="2"/>
        <v>-9.7930931547230426E-2</v>
      </c>
    </row>
    <row r="92" spans="1:5" ht="15.75" thickBot="1" x14ac:dyDescent="0.3">
      <c r="A92" s="1252" t="s">
        <v>976</v>
      </c>
      <c r="B92" s="1253"/>
      <c r="C92" s="1253"/>
      <c r="D92" s="1253"/>
      <c r="E92" s="1300"/>
    </row>
    <row r="93" spans="1:5" ht="12.75" customHeight="1" x14ac:dyDescent="0.25">
      <c r="A93" s="1250"/>
      <c r="B93" s="8">
        <v>2018</v>
      </c>
      <c r="C93" s="8">
        <v>2019</v>
      </c>
      <c r="D93" s="8">
        <v>2020</v>
      </c>
      <c r="E93" s="8">
        <v>2021</v>
      </c>
    </row>
    <row r="94" spans="1:5" ht="25.5" customHeight="1" thickBot="1" x14ac:dyDescent="0.3">
      <c r="A94" s="1251"/>
      <c r="B94" s="9" t="s">
        <v>10</v>
      </c>
      <c r="C94" s="9" t="s">
        <v>11</v>
      </c>
      <c r="D94" s="9" t="s">
        <v>11</v>
      </c>
      <c r="E94" s="9" t="s">
        <v>11</v>
      </c>
    </row>
    <row r="95" spans="1:5" ht="15.75" thickBot="1" x14ac:dyDescent="0.3">
      <c r="A95" s="13" t="s">
        <v>58</v>
      </c>
      <c r="B95" s="14"/>
      <c r="C95" s="14"/>
      <c r="D95" s="14"/>
      <c r="E95" s="14"/>
    </row>
    <row r="96" spans="1:5" ht="15.75" thickBot="1" x14ac:dyDescent="0.3">
      <c r="A96" s="13" t="s">
        <v>59</v>
      </c>
      <c r="B96" s="15">
        <f>B87</f>
        <v>67895</v>
      </c>
      <c r="C96" s="15">
        <f>C87</f>
        <v>0</v>
      </c>
      <c r="D96" s="15">
        <f>D87</f>
        <v>69160</v>
      </c>
      <c r="E96" s="15">
        <f>E87</f>
        <v>60000</v>
      </c>
    </row>
    <row r="97" spans="1:5" ht="24.75" thickBot="1" x14ac:dyDescent="0.3">
      <c r="A97" s="16" t="s">
        <v>136</v>
      </c>
      <c r="B97" s="15">
        <f>B96+B95</f>
        <v>67895</v>
      </c>
      <c r="C97" s="15">
        <f>C96+C95</f>
        <v>0</v>
      </c>
      <c r="D97" s="15">
        <f>D96+D95</f>
        <v>69160</v>
      </c>
      <c r="E97" s="15">
        <f>E96+E95</f>
        <v>60000</v>
      </c>
    </row>
    <row r="98" spans="1:5" ht="15" customHeight="1" x14ac:dyDescent="0.25">
      <c r="A98" s="1254" t="s">
        <v>60</v>
      </c>
      <c r="B98" s="1322"/>
      <c r="C98" s="1289"/>
      <c r="D98" s="1289"/>
      <c r="E98" s="1290"/>
    </row>
    <row r="99" spans="1:5" x14ac:dyDescent="0.25">
      <c r="A99" s="1255"/>
      <c r="B99" s="1291"/>
      <c r="C99" s="1292"/>
      <c r="D99" s="1292"/>
      <c r="E99" s="1293"/>
    </row>
    <row r="100" spans="1:5" ht="15.75" thickBot="1" x14ac:dyDescent="0.3">
      <c r="A100" s="1256"/>
      <c r="B100" s="1294"/>
      <c r="C100" s="1295"/>
      <c r="D100" s="1295"/>
      <c r="E100" s="1296"/>
    </row>
    <row r="101" spans="1:5" ht="15.75" thickBot="1" x14ac:dyDescent="0.3">
      <c r="A101" s="254" t="s">
        <v>220</v>
      </c>
      <c r="B101" s="1357" t="s">
        <v>975</v>
      </c>
      <c r="C101" s="1357"/>
      <c r="D101" s="1357"/>
      <c r="E101" s="1358"/>
    </row>
    <row r="102" spans="1:5" ht="15.75" thickBot="1" x14ac:dyDescent="0.3">
      <c r="A102" s="253" t="s">
        <v>974</v>
      </c>
      <c r="B102" s="1362" t="s">
        <v>973</v>
      </c>
      <c r="C102" s="1363"/>
      <c r="D102" s="1363"/>
      <c r="E102" s="1364"/>
    </row>
    <row r="103" spans="1:5" ht="17.25" customHeight="1" thickBot="1" x14ac:dyDescent="0.3">
      <c r="A103" s="5" t="s">
        <v>17</v>
      </c>
      <c r="B103" s="1245" t="s">
        <v>972</v>
      </c>
      <c r="C103" s="1246"/>
      <c r="D103" s="1246"/>
      <c r="E103" s="1298"/>
    </row>
    <row r="104" spans="1:5" ht="15.75" thickBot="1" x14ac:dyDescent="0.3">
      <c r="A104" s="5" t="s">
        <v>18</v>
      </c>
      <c r="B104" s="1248" t="s">
        <v>226</v>
      </c>
      <c r="C104" s="1249"/>
      <c r="D104" s="1249"/>
      <c r="E104" s="1316"/>
    </row>
    <row r="105" spans="1:5" ht="12.75" customHeight="1" x14ac:dyDescent="0.25">
      <c r="A105" s="1250"/>
      <c r="B105" s="8">
        <v>2018</v>
      </c>
      <c r="C105" s="8">
        <v>2019</v>
      </c>
      <c r="D105" s="8">
        <v>2020</v>
      </c>
      <c r="E105" s="8">
        <v>2021</v>
      </c>
    </row>
    <row r="106" spans="1:5" ht="9" customHeight="1" thickBot="1" x14ac:dyDescent="0.3">
      <c r="A106" s="1251"/>
      <c r="B106" s="9" t="s">
        <v>10</v>
      </c>
      <c r="C106" s="9" t="s">
        <v>11</v>
      </c>
      <c r="D106" s="9" t="s">
        <v>11</v>
      </c>
      <c r="E106" s="9" t="s">
        <v>11</v>
      </c>
    </row>
    <row r="107" spans="1:5" ht="15.75" thickBot="1" x14ac:dyDescent="0.3">
      <c r="A107" s="5" t="s">
        <v>19</v>
      </c>
      <c r="B107" s="10"/>
      <c r="C107" s="10">
        <v>9</v>
      </c>
      <c r="D107" s="10">
        <v>1</v>
      </c>
      <c r="E107" s="10">
        <v>1</v>
      </c>
    </row>
    <row r="108" spans="1:5" ht="15.75" thickBot="1" x14ac:dyDescent="0.3">
      <c r="A108" s="5" t="s">
        <v>20</v>
      </c>
      <c r="B108" s="10"/>
      <c r="C108" s="10">
        <v>29555</v>
      </c>
      <c r="D108" s="10">
        <v>3040</v>
      </c>
      <c r="E108" s="10">
        <v>2000</v>
      </c>
    </row>
    <row r="109" spans="1:5" ht="15.75" thickBot="1" x14ac:dyDescent="0.3">
      <c r="A109" s="5" t="s">
        <v>21</v>
      </c>
      <c r="B109" s="10" t="e">
        <f>B108/B107</f>
        <v>#DIV/0!</v>
      </c>
      <c r="C109" s="10">
        <f>C108/C107</f>
        <v>3283.8888888888887</v>
      </c>
      <c r="D109" s="10">
        <f>D108/D107</f>
        <v>3040</v>
      </c>
      <c r="E109" s="10">
        <f>E108/E107</f>
        <v>2000</v>
      </c>
    </row>
    <row r="110" spans="1:5" ht="15.75" thickBot="1" x14ac:dyDescent="0.3">
      <c r="A110" s="5" t="s">
        <v>22</v>
      </c>
      <c r="B110" s="152" t="s">
        <v>23</v>
      </c>
      <c r="C110" s="11" t="e">
        <f t="shared" ref="C110:E112" si="3">C107/B107-1</f>
        <v>#DIV/0!</v>
      </c>
      <c r="D110" s="11">
        <f t="shared" si="3"/>
        <v>-0.88888888888888884</v>
      </c>
      <c r="E110" s="11">
        <f t="shared" si="3"/>
        <v>0</v>
      </c>
    </row>
    <row r="111" spans="1:5" ht="15.75" thickBot="1" x14ac:dyDescent="0.3">
      <c r="A111" s="5" t="s">
        <v>24</v>
      </c>
      <c r="B111" s="152" t="s">
        <v>23</v>
      </c>
      <c r="C111" s="11" t="e">
        <f t="shared" si="3"/>
        <v>#DIV/0!</v>
      </c>
      <c r="D111" s="11">
        <f t="shared" si="3"/>
        <v>-0.89714092370157328</v>
      </c>
      <c r="E111" s="11">
        <f t="shared" si="3"/>
        <v>-0.34210526315789469</v>
      </c>
    </row>
    <row r="112" spans="1:5" ht="23.25" thickBot="1" x14ac:dyDescent="0.3">
      <c r="A112" s="5" t="s">
        <v>25</v>
      </c>
      <c r="B112" s="152" t="s">
        <v>23</v>
      </c>
      <c r="C112" s="11" t="e">
        <f t="shared" si="3"/>
        <v>#DIV/0!</v>
      </c>
      <c r="D112" s="11">
        <f t="shared" si="3"/>
        <v>-7.4268313314159951E-2</v>
      </c>
      <c r="E112" s="11">
        <f t="shared" si="3"/>
        <v>-0.34210526315789469</v>
      </c>
    </row>
    <row r="113" spans="1:5" ht="24.75" customHeight="1" thickBot="1" x14ac:dyDescent="0.3">
      <c r="A113" s="1252" t="s">
        <v>635</v>
      </c>
      <c r="B113" s="1253"/>
      <c r="C113" s="1253"/>
      <c r="D113" s="1253"/>
      <c r="E113" s="1300"/>
    </row>
    <row r="114" spans="1:5" ht="20.25" customHeight="1" x14ac:dyDescent="0.25">
      <c r="A114" s="1250"/>
      <c r="B114" s="8">
        <v>2018</v>
      </c>
      <c r="C114" s="8">
        <v>2019</v>
      </c>
      <c r="D114" s="8">
        <v>2020</v>
      </c>
      <c r="E114" s="8">
        <v>2021</v>
      </c>
    </row>
    <row r="115" spans="1:5" ht="33" customHeight="1" thickBot="1" x14ac:dyDescent="0.3">
      <c r="A115" s="1251"/>
      <c r="B115" s="9" t="s">
        <v>10</v>
      </c>
      <c r="C115" s="9" t="s">
        <v>11</v>
      </c>
      <c r="D115" s="9" t="s">
        <v>11</v>
      </c>
      <c r="E115" s="9" t="s">
        <v>11</v>
      </c>
    </row>
    <row r="116" spans="1:5" ht="15.75" thickBot="1" x14ac:dyDescent="0.3">
      <c r="A116" s="13" t="s">
        <v>58</v>
      </c>
      <c r="B116" s="14"/>
      <c r="C116" s="14"/>
      <c r="D116" s="14"/>
      <c r="E116" s="14"/>
    </row>
    <row r="117" spans="1:5" ht="15.75" thickBot="1" x14ac:dyDescent="0.3">
      <c r="A117" s="13" t="s">
        <v>59</v>
      </c>
      <c r="B117" s="15">
        <f>B108</f>
        <v>0</v>
      </c>
      <c r="C117" s="15">
        <f>C108</f>
        <v>29555</v>
      </c>
      <c r="D117" s="15">
        <f>D108</f>
        <v>3040</v>
      </c>
      <c r="E117" s="15">
        <f>E108</f>
        <v>2000</v>
      </c>
    </row>
    <row r="118" spans="1:5" ht="24.75" thickBot="1" x14ac:dyDescent="0.3">
      <c r="A118" s="16" t="s">
        <v>74</v>
      </c>
      <c r="B118" s="15">
        <f>B117+B116</f>
        <v>0</v>
      </c>
      <c r="C118" s="15">
        <f>C117+C116</f>
        <v>29555</v>
      </c>
      <c r="D118" s="15">
        <f>D117+D116</f>
        <v>3040</v>
      </c>
      <c r="E118" s="15">
        <f>E117+E116</f>
        <v>2000</v>
      </c>
    </row>
    <row r="119" spans="1:5" ht="15.75" thickBot="1" x14ac:dyDescent="0.3">
      <c r="A119" s="252" t="s">
        <v>213</v>
      </c>
      <c r="B119" s="1402" t="s">
        <v>141</v>
      </c>
      <c r="C119" s="1403"/>
      <c r="D119" s="1403"/>
      <c r="E119" s="1404"/>
    </row>
    <row r="120" spans="1:5" ht="15.75" thickBot="1" x14ac:dyDescent="0.3">
      <c r="A120" s="247" t="s">
        <v>223</v>
      </c>
      <c r="B120" s="1362" t="s">
        <v>224</v>
      </c>
      <c r="C120" s="1363"/>
      <c r="D120" s="1363"/>
      <c r="E120" s="1364"/>
    </row>
    <row r="121" spans="1:5" ht="15.75" thickBot="1" x14ac:dyDescent="0.3">
      <c r="A121" s="5" t="s">
        <v>17</v>
      </c>
      <c r="B121" s="1243" t="s">
        <v>225</v>
      </c>
      <c r="C121" s="1244"/>
      <c r="D121" s="1244"/>
      <c r="E121" s="1315"/>
    </row>
    <row r="122" spans="1:5" ht="15.75" thickBot="1" x14ac:dyDescent="0.3">
      <c r="A122" s="5" t="s">
        <v>18</v>
      </c>
      <c r="B122" s="1362" t="s">
        <v>321</v>
      </c>
      <c r="C122" s="1363"/>
      <c r="D122" s="1363"/>
      <c r="E122" s="1364"/>
    </row>
    <row r="123" spans="1:5" ht="17.25" customHeight="1" x14ac:dyDescent="0.25">
      <c r="A123" s="1250"/>
      <c r="B123" s="8">
        <v>2018</v>
      </c>
      <c r="C123" s="8">
        <v>2019</v>
      </c>
      <c r="D123" s="8">
        <v>2020</v>
      </c>
      <c r="E123" s="8">
        <v>2021</v>
      </c>
    </row>
    <row r="124" spans="1:5" ht="15.75" thickBot="1" x14ac:dyDescent="0.3">
      <c r="A124" s="1251"/>
      <c r="B124" s="9" t="s">
        <v>10</v>
      </c>
      <c r="C124" s="9" t="s">
        <v>11</v>
      </c>
      <c r="D124" s="9" t="s">
        <v>11</v>
      </c>
      <c r="E124" s="9" t="s">
        <v>11</v>
      </c>
    </row>
    <row r="125" spans="1:5" ht="12.75" customHeight="1" thickBot="1" x14ac:dyDescent="0.3">
      <c r="A125" s="5" t="s">
        <v>19</v>
      </c>
      <c r="B125" s="10">
        <v>22</v>
      </c>
      <c r="C125" s="10">
        <v>264</v>
      </c>
      <c r="D125" s="10">
        <v>108</v>
      </c>
      <c r="E125" s="10">
        <v>695</v>
      </c>
    </row>
    <row r="126" spans="1:5" ht="18" customHeight="1" thickBot="1" x14ac:dyDescent="0.3">
      <c r="A126" s="5" t="s">
        <v>20</v>
      </c>
      <c r="B126" s="10">
        <v>13977</v>
      </c>
      <c r="C126" s="10">
        <v>15975</v>
      </c>
      <c r="D126" s="10">
        <v>5180</v>
      </c>
      <c r="E126" s="10">
        <v>32685</v>
      </c>
    </row>
    <row r="127" spans="1:5" ht="15.75" thickBot="1" x14ac:dyDescent="0.3">
      <c r="A127" s="5" t="s">
        <v>21</v>
      </c>
      <c r="B127" s="10">
        <f>B126/B125</f>
        <v>635.31818181818187</v>
      </c>
      <c r="C127" s="10">
        <f>C126/C125</f>
        <v>60.511363636363633</v>
      </c>
      <c r="D127" s="10">
        <f>D126/D125</f>
        <v>47.962962962962962</v>
      </c>
      <c r="E127" s="10">
        <f>E126/E125</f>
        <v>47.02877697841727</v>
      </c>
    </row>
    <row r="128" spans="1:5" ht="15.75" thickBot="1" x14ac:dyDescent="0.3">
      <c r="A128" s="5" t="s">
        <v>22</v>
      </c>
      <c r="B128" s="152" t="s">
        <v>23</v>
      </c>
      <c r="C128" s="11"/>
      <c r="D128" s="11"/>
      <c r="E128" s="11"/>
    </row>
    <row r="129" spans="1:5" ht="15.75" thickBot="1" x14ac:dyDescent="0.3">
      <c r="A129" s="5" t="s">
        <v>24</v>
      </c>
      <c r="B129" s="152" t="s">
        <v>23</v>
      </c>
      <c r="C129" s="11">
        <f t="shared" ref="C129:E130" si="4">C126/B126-1</f>
        <v>0.14294913071474569</v>
      </c>
      <c r="D129" s="11">
        <f t="shared" si="4"/>
        <v>-0.67574334898278554</v>
      </c>
      <c r="E129" s="11">
        <f t="shared" si="4"/>
        <v>5.3098455598455603</v>
      </c>
    </row>
    <row r="130" spans="1:5" ht="23.25" thickBot="1" x14ac:dyDescent="0.3">
      <c r="A130" s="5" t="s">
        <v>25</v>
      </c>
      <c r="B130" s="152" t="s">
        <v>23</v>
      </c>
      <c r="C130" s="11">
        <f t="shared" si="4"/>
        <v>-0.90475423910710451</v>
      </c>
      <c r="D130" s="11">
        <f t="shared" si="4"/>
        <v>-0.20737263084680924</v>
      </c>
      <c r="E130" s="11">
        <f t="shared" si="4"/>
        <v>-1.947723674342372E-2</v>
      </c>
    </row>
    <row r="131" spans="1:5" ht="15.75" thickBot="1" x14ac:dyDescent="0.3">
      <c r="A131" s="1252" t="s">
        <v>971</v>
      </c>
      <c r="B131" s="1253"/>
      <c r="C131" s="1253"/>
      <c r="D131" s="1253"/>
      <c r="E131" s="1300"/>
    </row>
    <row r="132" spans="1:5" x14ac:dyDescent="0.25">
      <c r="A132" s="1250"/>
      <c r="B132" s="8">
        <v>2018</v>
      </c>
      <c r="C132" s="8">
        <v>2019</v>
      </c>
      <c r="D132" s="8">
        <v>2020</v>
      </c>
      <c r="E132" s="8">
        <v>2021</v>
      </c>
    </row>
    <row r="133" spans="1:5" ht="15.75" thickBot="1" x14ac:dyDescent="0.3">
      <c r="A133" s="1251"/>
      <c r="B133" s="9" t="s">
        <v>10</v>
      </c>
      <c r="C133" s="9" t="s">
        <v>11</v>
      </c>
      <c r="D133" s="9" t="s">
        <v>11</v>
      </c>
      <c r="E133" s="9" t="s">
        <v>11</v>
      </c>
    </row>
    <row r="134" spans="1:5" ht="12.75" customHeight="1" thickBot="1" x14ac:dyDescent="0.3">
      <c r="A134" s="13" t="s">
        <v>58</v>
      </c>
      <c r="B134" s="14"/>
      <c r="C134" s="14"/>
      <c r="D134" s="14"/>
      <c r="E134" s="14"/>
    </row>
    <row r="135" spans="1:5" ht="17.25" customHeight="1" thickBot="1" x14ac:dyDescent="0.3">
      <c r="A135" s="251" t="s">
        <v>59</v>
      </c>
      <c r="B135" s="249">
        <f>B126</f>
        <v>13977</v>
      </c>
      <c r="C135" s="249">
        <f>C126</f>
        <v>15975</v>
      </c>
      <c r="D135" s="249">
        <f>D126</f>
        <v>5180</v>
      </c>
      <c r="E135" s="249">
        <f>E126</f>
        <v>32685</v>
      </c>
    </row>
    <row r="136" spans="1:5" ht="24.75" thickBot="1" x14ac:dyDescent="0.3">
      <c r="A136" s="250" t="s">
        <v>227</v>
      </c>
      <c r="B136" s="249">
        <f>B135+B134</f>
        <v>13977</v>
      </c>
      <c r="C136" s="249">
        <f>C135+C134</f>
        <v>15975</v>
      </c>
      <c r="D136" s="249">
        <f>D135+D134</f>
        <v>5180</v>
      </c>
      <c r="E136" s="249">
        <f>E135+E134</f>
        <v>32685</v>
      </c>
    </row>
    <row r="137" spans="1:5" ht="15.75" hidden="1" thickBot="1" x14ac:dyDescent="0.3">
      <c r="A137" s="1255"/>
      <c r="B137" s="1387"/>
      <c r="C137" s="1388"/>
      <c r="D137" s="1388"/>
      <c r="E137" s="1389"/>
    </row>
    <row r="138" spans="1:5" ht="15.75" hidden="1" thickBot="1" x14ac:dyDescent="0.3">
      <c r="A138" s="1255"/>
      <c r="B138" s="1390"/>
      <c r="C138" s="1391"/>
      <c r="D138" s="1391"/>
      <c r="E138" s="1392"/>
    </row>
    <row r="139" spans="1:5" ht="15.75" hidden="1" thickBot="1" x14ac:dyDescent="0.3">
      <c r="A139" s="1256"/>
      <c r="B139" s="1393"/>
      <c r="C139" s="1394"/>
      <c r="D139" s="1394"/>
      <c r="E139" s="1395"/>
    </row>
    <row r="140" spans="1:5" ht="15.75" thickBot="1" x14ac:dyDescent="0.3">
      <c r="A140" s="243" t="s">
        <v>213</v>
      </c>
      <c r="B140" s="1402" t="s">
        <v>141</v>
      </c>
      <c r="C140" s="1403"/>
      <c r="D140" s="1403"/>
      <c r="E140" s="1404"/>
    </row>
    <row r="141" spans="1:5" ht="17.25" customHeight="1" thickBot="1" x14ac:dyDescent="0.3">
      <c r="A141" s="247" t="s">
        <v>228</v>
      </c>
      <c r="B141" s="1362" t="s">
        <v>229</v>
      </c>
      <c r="C141" s="1363"/>
      <c r="D141" s="1363"/>
      <c r="E141" s="1364"/>
    </row>
    <row r="142" spans="1:5" ht="15.75" thickBot="1" x14ac:dyDescent="0.3">
      <c r="A142" s="5" t="s">
        <v>17</v>
      </c>
      <c r="B142" s="1245" t="s">
        <v>230</v>
      </c>
      <c r="C142" s="1246"/>
      <c r="D142" s="1246"/>
      <c r="E142" s="1298"/>
    </row>
    <row r="143" spans="1:5" ht="12.75" customHeight="1" thickBot="1" x14ac:dyDescent="0.3">
      <c r="A143" s="5" t="s">
        <v>18</v>
      </c>
      <c r="B143" s="1248" t="s">
        <v>226</v>
      </c>
      <c r="C143" s="1249"/>
      <c r="D143" s="1249"/>
      <c r="E143" s="1316"/>
    </row>
    <row r="144" spans="1:5" ht="9" customHeight="1" x14ac:dyDescent="0.25">
      <c r="A144" s="1250"/>
      <c r="B144" s="8">
        <v>2018</v>
      </c>
      <c r="C144" s="8">
        <v>2019</v>
      </c>
      <c r="D144" s="8">
        <v>2020</v>
      </c>
      <c r="E144" s="8">
        <v>2021</v>
      </c>
    </row>
    <row r="145" spans="1:5" ht="15.75" thickBot="1" x14ac:dyDescent="0.3">
      <c r="A145" s="1251"/>
      <c r="B145" s="9" t="s">
        <v>10</v>
      </c>
      <c r="C145" s="9" t="s">
        <v>11</v>
      </c>
      <c r="D145" s="9" t="s">
        <v>11</v>
      </c>
      <c r="E145" s="9" t="s">
        <v>11</v>
      </c>
    </row>
    <row r="146" spans="1:5" ht="15.75" thickBot="1" x14ac:dyDescent="0.3">
      <c r="A146" s="5" t="s">
        <v>19</v>
      </c>
      <c r="B146" s="10">
        <v>9</v>
      </c>
      <c r="C146" s="10">
        <v>20</v>
      </c>
      <c r="D146" s="10">
        <v>2</v>
      </c>
      <c r="E146" s="10">
        <v>3</v>
      </c>
    </row>
    <row r="147" spans="1:5" ht="15.75" thickBot="1" x14ac:dyDescent="0.3">
      <c r="A147" s="5" t="s">
        <v>20</v>
      </c>
      <c r="B147" s="10">
        <v>11000</v>
      </c>
      <c r="C147" s="10">
        <v>20680</v>
      </c>
      <c r="D147" s="10">
        <v>1400</v>
      </c>
      <c r="E147" s="10">
        <v>815</v>
      </c>
    </row>
    <row r="148" spans="1:5" ht="15.75" thickBot="1" x14ac:dyDescent="0.3">
      <c r="A148" s="5" t="s">
        <v>21</v>
      </c>
      <c r="B148" s="10">
        <f>B147/B146</f>
        <v>1222.2222222222222</v>
      </c>
      <c r="C148" s="10">
        <f>C147/C146</f>
        <v>1034</v>
      </c>
      <c r="D148" s="10">
        <f>D147/D146</f>
        <v>700</v>
      </c>
      <c r="E148" s="10">
        <f>E147/E146</f>
        <v>271.66666666666669</v>
      </c>
    </row>
    <row r="149" spans="1:5" ht="15.75" thickBot="1" x14ac:dyDescent="0.3">
      <c r="A149" s="5" t="s">
        <v>22</v>
      </c>
      <c r="B149" s="152" t="s">
        <v>23</v>
      </c>
      <c r="C149" s="11"/>
      <c r="D149" s="11"/>
      <c r="E149" s="11"/>
    </row>
    <row r="150" spans="1:5" ht="15.75" thickBot="1" x14ac:dyDescent="0.3">
      <c r="A150" s="5" t="s">
        <v>24</v>
      </c>
      <c r="B150" s="152" t="s">
        <v>23</v>
      </c>
      <c r="C150" s="11">
        <f t="shared" ref="C150:E151" si="5">C147/B147-1</f>
        <v>0.87999999999999989</v>
      </c>
      <c r="D150" s="11">
        <f t="shared" si="5"/>
        <v>-0.93230174081237915</v>
      </c>
      <c r="E150" s="11">
        <f t="shared" si="5"/>
        <v>-0.41785714285714282</v>
      </c>
    </row>
    <row r="151" spans="1:5" ht="23.25" thickBot="1" x14ac:dyDescent="0.3">
      <c r="A151" s="5" t="s">
        <v>25</v>
      </c>
      <c r="B151" s="152" t="s">
        <v>23</v>
      </c>
      <c r="C151" s="11">
        <f t="shared" si="5"/>
        <v>-0.15399999999999991</v>
      </c>
      <c r="D151" s="11">
        <f t="shared" si="5"/>
        <v>-0.32301740812379109</v>
      </c>
      <c r="E151" s="11">
        <f t="shared" si="5"/>
        <v>-0.61190476190476195</v>
      </c>
    </row>
    <row r="152" spans="1:5" ht="12.75" customHeight="1" thickBot="1" x14ac:dyDescent="0.3">
      <c r="A152" s="1252" t="s">
        <v>970</v>
      </c>
      <c r="B152" s="1253"/>
      <c r="C152" s="1253"/>
      <c r="D152" s="1253"/>
      <c r="E152" s="1300"/>
    </row>
    <row r="153" spans="1:5" ht="9" customHeight="1" x14ac:dyDescent="0.25">
      <c r="A153" s="1250"/>
      <c r="B153" s="8">
        <v>2018</v>
      </c>
      <c r="C153" s="8">
        <v>2019</v>
      </c>
      <c r="D153" s="8">
        <v>2020</v>
      </c>
      <c r="E153" s="8">
        <v>2021</v>
      </c>
    </row>
    <row r="154" spans="1:5" ht="15.75" thickBot="1" x14ac:dyDescent="0.3">
      <c r="A154" s="1251"/>
      <c r="B154" s="9" t="s">
        <v>10</v>
      </c>
      <c r="C154" s="9" t="s">
        <v>11</v>
      </c>
      <c r="D154" s="9" t="s">
        <v>11</v>
      </c>
      <c r="E154" s="9" t="s">
        <v>11</v>
      </c>
    </row>
    <row r="155" spans="1:5" ht="15.75" thickBot="1" x14ac:dyDescent="0.3">
      <c r="A155" s="13" t="s">
        <v>58</v>
      </c>
      <c r="B155" s="14"/>
      <c r="C155" s="14"/>
      <c r="D155" s="14"/>
      <c r="E155" s="14"/>
    </row>
    <row r="156" spans="1:5" ht="15.75" thickBot="1" x14ac:dyDescent="0.3">
      <c r="A156" s="13" t="s">
        <v>59</v>
      </c>
      <c r="B156" s="15">
        <f>B147</f>
        <v>11000</v>
      </c>
      <c r="C156" s="15">
        <f>C147</f>
        <v>20680</v>
      </c>
      <c r="D156" s="15">
        <f>D147</f>
        <v>1400</v>
      </c>
      <c r="E156" s="15">
        <f>E147</f>
        <v>815</v>
      </c>
    </row>
    <row r="157" spans="1:5" ht="15.75" customHeight="1" thickBot="1" x14ac:dyDescent="0.3">
      <c r="A157" s="16" t="s">
        <v>231</v>
      </c>
      <c r="B157" s="15">
        <f>B156+B155</f>
        <v>11000</v>
      </c>
      <c r="C157" s="15">
        <f>C156+C155</f>
        <v>20680</v>
      </c>
      <c r="D157" s="15">
        <f>D156+D155</f>
        <v>1400</v>
      </c>
      <c r="E157" s="15">
        <f>E156+E155</f>
        <v>815</v>
      </c>
    </row>
    <row r="158" spans="1:5" ht="15.75" hidden="1" customHeight="1" x14ac:dyDescent="0.25">
      <c r="A158" s="1254" t="s">
        <v>232</v>
      </c>
      <c r="B158" s="1401"/>
      <c r="C158" s="1388"/>
      <c r="D158" s="1388"/>
      <c r="E158" s="1389"/>
    </row>
    <row r="159" spans="1:5" ht="15.75" hidden="1" thickBot="1" x14ac:dyDescent="0.3">
      <c r="A159" s="1255"/>
      <c r="B159" s="1390"/>
      <c r="C159" s="1391"/>
      <c r="D159" s="1391"/>
      <c r="E159" s="1392"/>
    </row>
    <row r="160" spans="1:5" ht="15.75" hidden="1" customHeight="1" thickBot="1" x14ac:dyDescent="0.3">
      <c r="A160" s="1255"/>
      <c r="B160" s="1393"/>
      <c r="C160" s="1394"/>
      <c r="D160" s="1394"/>
      <c r="E160" s="1395"/>
    </row>
    <row r="161" spans="1:5" ht="23.25" customHeight="1" thickBot="1" x14ac:dyDescent="0.3">
      <c r="A161" s="248" t="s">
        <v>213</v>
      </c>
      <c r="B161" s="1407" t="s">
        <v>141</v>
      </c>
      <c r="C161" s="1407"/>
      <c r="D161" s="1407"/>
      <c r="E161" s="1408"/>
    </row>
    <row r="162" spans="1:5" ht="23.25" customHeight="1" thickBot="1" x14ac:dyDescent="0.3">
      <c r="A162" s="247" t="s">
        <v>233</v>
      </c>
      <c r="B162" s="1362" t="s">
        <v>234</v>
      </c>
      <c r="C162" s="1363"/>
      <c r="D162" s="1363"/>
      <c r="E162" s="1364"/>
    </row>
    <row r="163" spans="1:5" ht="23.25" customHeight="1" thickBot="1" x14ac:dyDescent="0.3">
      <c r="A163" s="5" t="s">
        <v>17</v>
      </c>
      <c r="B163" s="1245" t="s">
        <v>235</v>
      </c>
      <c r="C163" s="1246"/>
      <c r="D163" s="1246"/>
      <c r="E163" s="1298"/>
    </row>
    <row r="164" spans="1:5" ht="12.75" customHeight="1" thickBot="1" x14ac:dyDescent="0.3">
      <c r="A164" s="5" t="s">
        <v>18</v>
      </c>
      <c r="B164" s="1248" t="s">
        <v>226</v>
      </c>
      <c r="C164" s="1249"/>
      <c r="D164" s="1249"/>
      <c r="E164" s="1316"/>
    </row>
    <row r="165" spans="1:5" ht="9" customHeight="1" x14ac:dyDescent="0.25">
      <c r="A165" s="1250"/>
      <c r="B165" s="8">
        <v>2018</v>
      </c>
      <c r="C165" s="8">
        <v>2019</v>
      </c>
      <c r="D165" s="8">
        <v>2020</v>
      </c>
      <c r="E165" s="8">
        <v>2021</v>
      </c>
    </row>
    <row r="166" spans="1:5" ht="26.25" customHeight="1" thickBot="1" x14ac:dyDescent="0.3">
      <c r="A166" s="1251"/>
      <c r="B166" s="9" t="s">
        <v>10</v>
      </c>
      <c r="C166" s="9" t="s">
        <v>11</v>
      </c>
      <c r="D166" s="9" t="s">
        <v>11</v>
      </c>
      <c r="E166" s="9" t="s">
        <v>11</v>
      </c>
    </row>
    <row r="167" spans="1:5" ht="16.5" customHeight="1" thickBot="1" x14ac:dyDescent="0.3">
      <c r="A167" s="5" t="s">
        <v>19</v>
      </c>
      <c r="B167" s="10">
        <v>7</v>
      </c>
      <c r="C167" s="10">
        <v>17</v>
      </c>
      <c r="D167" s="10">
        <v>5</v>
      </c>
      <c r="E167" s="10">
        <v>4</v>
      </c>
    </row>
    <row r="168" spans="1:5" ht="15.75" customHeight="1" thickBot="1" x14ac:dyDescent="0.3">
      <c r="A168" s="5" t="s">
        <v>20</v>
      </c>
      <c r="B168" s="10">
        <v>11900</v>
      </c>
      <c r="C168" s="10">
        <v>6025</v>
      </c>
      <c r="D168" s="10">
        <v>2690</v>
      </c>
      <c r="E168" s="10">
        <v>2250</v>
      </c>
    </row>
    <row r="169" spans="1:5" ht="12.75" customHeight="1" thickBot="1" x14ac:dyDescent="0.3">
      <c r="A169" s="5" t="s">
        <v>21</v>
      </c>
      <c r="B169" s="10">
        <f>B168/B167</f>
        <v>1700</v>
      </c>
      <c r="C169" s="10">
        <f>C168/C167</f>
        <v>354.41176470588238</v>
      </c>
      <c r="D169" s="10">
        <f>D168/D167</f>
        <v>538</v>
      </c>
      <c r="E169" s="10">
        <f>E168/E167</f>
        <v>562.5</v>
      </c>
    </row>
    <row r="170" spans="1:5" ht="9" customHeight="1" thickBot="1" x14ac:dyDescent="0.3">
      <c r="A170" s="5" t="s">
        <v>22</v>
      </c>
      <c r="B170" s="152" t="s">
        <v>23</v>
      </c>
      <c r="C170" s="11"/>
      <c r="D170" s="11"/>
      <c r="E170" s="11"/>
    </row>
    <row r="171" spans="1:5" ht="15.75" customHeight="1" thickBot="1" x14ac:dyDescent="0.3">
      <c r="A171" s="5" t="s">
        <v>24</v>
      </c>
      <c r="B171" s="152" t="s">
        <v>23</v>
      </c>
      <c r="C171" s="11">
        <f t="shared" ref="C171:E172" si="6">C168/B168-1</f>
        <v>-0.49369747899159666</v>
      </c>
      <c r="D171" s="11">
        <f t="shared" si="6"/>
        <v>-0.55352697095435688</v>
      </c>
      <c r="E171" s="11">
        <f t="shared" si="6"/>
        <v>-0.16356877323420072</v>
      </c>
    </row>
    <row r="172" spans="1:5" ht="23.25" thickBot="1" x14ac:dyDescent="0.3">
      <c r="A172" s="5" t="s">
        <v>25</v>
      </c>
      <c r="B172" s="152" t="s">
        <v>23</v>
      </c>
      <c r="C172" s="11">
        <f t="shared" si="6"/>
        <v>-0.79152249134948094</v>
      </c>
      <c r="D172" s="11">
        <f t="shared" si="6"/>
        <v>0.51800829875518661</v>
      </c>
      <c r="E172" s="11">
        <f t="shared" si="6"/>
        <v>4.5539033457248967E-2</v>
      </c>
    </row>
    <row r="173" spans="1:5" ht="15.75" thickBot="1" x14ac:dyDescent="0.3">
      <c r="A173" s="1252" t="s">
        <v>969</v>
      </c>
      <c r="B173" s="1253"/>
      <c r="C173" s="1253"/>
      <c r="D173" s="1253"/>
      <c r="E173" s="1300"/>
    </row>
    <row r="174" spans="1:5" x14ac:dyDescent="0.25">
      <c r="A174" s="1250"/>
      <c r="B174" s="8">
        <v>2018</v>
      </c>
      <c r="C174" s="8">
        <v>2019</v>
      </c>
      <c r="D174" s="8">
        <v>2020</v>
      </c>
      <c r="E174" s="8">
        <v>2021</v>
      </c>
    </row>
    <row r="175" spans="1:5" ht="15.75" thickBot="1" x14ac:dyDescent="0.3">
      <c r="A175" s="1251"/>
      <c r="B175" s="9" t="s">
        <v>10</v>
      </c>
      <c r="C175" s="9" t="s">
        <v>11</v>
      </c>
      <c r="D175" s="9" t="s">
        <v>11</v>
      </c>
      <c r="E175" s="9" t="s">
        <v>11</v>
      </c>
    </row>
    <row r="176" spans="1:5" ht="15.75" thickBot="1" x14ac:dyDescent="0.3">
      <c r="A176" s="13" t="s">
        <v>58</v>
      </c>
      <c r="B176" s="14"/>
      <c r="C176" s="14"/>
      <c r="D176" s="14"/>
      <c r="E176" s="14"/>
    </row>
    <row r="177" spans="1:5" ht="12.75" customHeight="1" thickBot="1" x14ac:dyDescent="0.3">
      <c r="A177" s="13" t="s">
        <v>59</v>
      </c>
      <c r="B177" s="15">
        <f>B168</f>
        <v>11900</v>
      </c>
      <c r="C177" s="15">
        <f>C168</f>
        <v>6025</v>
      </c>
      <c r="D177" s="191">
        <f>D168</f>
        <v>2690</v>
      </c>
      <c r="E177" s="191">
        <f>E168</f>
        <v>2250</v>
      </c>
    </row>
    <row r="178" spans="1:5" ht="15.75" customHeight="1" thickBot="1" x14ac:dyDescent="0.3">
      <c r="A178" s="16" t="s">
        <v>236</v>
      </c>
      <c r="B178" s="15">
        <f>B177+B176</f>
        <v>11900</v>
      </c>
      <c r="C178" s="15">
        <f>C177+C176</f>
        <v>6025</v>
      </c>
      <c r="D178" s="15">
        <f>D177+D176</f>
        <v>2690</v>
      </c>
      <c r="E178" s="15">
        <f>E177+E176</f>
        <v>2250</v>
      </c>
    </row>
    <row r="179" spans="1:5" ht="3.75" customHeight="1" x14ac:dyDescent="0.25">
      <c r="A179" s="1254" t="s">
        <v>237</v>
      </c>
      <c r="B179" s="1387"/>
      <c r="C179" s="1388"/>
      <c r="D179" s="1388"/>
      <c r="E179" s="1389"/>
    </row>
    <row r="180" spans="1:5" ht="3.75" customHeight="1" x14ac:dyDescent="0.25">
      <c r="A180" s="1255"/>
      <c r="B180" s="1390"/>
      <c r="C180" s="1391"/>
      <c r="D180" s="1391"/>
      <c r="E180" s="1392"/>
    </row>
    <row r="181" spans="1:5" ht="3.75" customHeight="1" thickBot="1" x14ac:dyDescent="0.3">
      <c r="A181" s="1255"/>
      <c r="B181" s="1393"/>
      <c r="C181" s="1394"/>
      <c r="D181" s="1394"/>
      <c r="E181" s="1395"/>
    </row>
    <row r="182" spans="1:5" ht="15.75" thickBot="1" x14ac:dyDescent="0.3">
      <c r="A182" s="248" t="s">
        <v>238</v>
      </c>
      <c r="B182" s="1399" t="s">
        <v>239</v>
      </c>
      <c r="C182" s="1399"/>
      <c r="D182" s="1399"/>
      <c r="E182" s="1400"/>
    </row>
    <row r="183" spans="1:5" ht="15.75" thickBot="1" x14ac:dyDescent="0.3">
      <c r="A183" s="247" t="s">
        <v>240</v>
      </c>
      <c r="B183" s="1396" t="s">
        <v>241</v>
      </c>
      <c r="C183" s="1397"/>
      <c r="D183" s="1397"/>
      <c r="E183" s="1398"/>
    </row>
    <row r="184" spans="1:5" ht="15.75" thickBot="1" x14ac:dyDescent="0.3">
      <c r="A184" s="5" t="s">
        <v>17</v>
      </c>
      <c r="B184" s="1245" t="s">
        <v>242</v>
      </c>
      <c r="C184" s="1246"/>
      <c r="D184" s="1246"/>
      <c r="E184" s="1298"/>
    </row>
    <row r="185" spans="1:5" ht="15.75" thickBot="1" x14ac:dyDescent="0.3">
      <c r="A185" s="5" t="s">
        <v>18</v>
      </c>
      <c r="B185" s="1248" t="s">
        <v>968</v>
      </c>
      <c r="C185" s="1249"/>
      <c r="D185" s="1249"/>
      <c r="E185" s="1316"/>
    </row>
    <row r="186" spans="1:5" x14ac:dyDescent="0.25">
      <c r="A186" s="1250"/>
      <c r="B186" s="8">
        <v>2018</v>
      </c>
      <c r="C186" s="8">
        <v>2019</v>
      </c>
      <c r="D186" s="8">
        <v>2020</v>
      </c>
      <c r="E186" s="8">
        <v>2021</v>
      </c>
    </row>
    <row r="187" spans="1:5" ht="15.75" thickBot="1" x14ac:dyDescent="0.3">
      <c r="A187" s="1251"/>
      <c r="B187" s="9" t="s">
        <v>10</v>
      </c>
      <c r="C187" s="9" t="s">
        <v>11</v>
      </c>
      <c r="D187" s="9" t="s">
        <v>11</v>
      </c>
      <c r="E187" s="9" t="s">
        <v>11</v>
      </c>
    </row>
    <row r="188" spans="1:5" ht="15.75" thickBot="1" x14ac:dyDescent="0.3">
      <c r="A188" s="5" t="s">
        <v>19</v>
      </c>
      <c r="B188" s="10">
        <v>5</v>
      </c>
      <c r="C188" s="10">
        <v>9</v>
      </c>
      <c r="D188" s="10">
        <v>4</v>
      </c>
      <c r="E188" s="10">
        <v>5</v>
      </c>
    </row>
    <row r="189" spans="1:5" ht="15.75" thickBot="1" x14ac:dyDescent="0.3">
      <c r="A189" s="5" t="s">
        <v>20</v>
      </c>
      <c r="B189" s="10">
        <v>14000</v>
      </c>
      <c r="C189" s="10">
        <v>25105</v>
      </c>
      <c r="D189" s="10">
        <v>11200</v>
      </c>
      <c r="E189" s="10">
        <v>14000</v>
      </c>
    </row>
    <row r="190" spans="1:5" ht="15.75" thickBot="1" x14ac:dyDescent="0.3">
      <c r="A190" s="5" t="s">
        <v>21</v>
      </c>
      <c r="B190" s="10">
        <f>B189/B188</f>
        <v>2800</v>
      </c>
      <c r="C190" s="10">
        <f>C189/C188</f>
        <v>2789.4444444444443</v>
      </c>
      <c r="D190" s="10">
        <f>D189/D188</f>
        <v>2800</v>
      </c>
      <c r="E190" s="10">
        <f>E189/E188</f>
        <v>2800</v>
      </c>
    </row>
    <row r="191" spans="1:5" ht="15.75" thickBot="1" x14ac:dyDescent="0.3">
      <c r="A191" s="5" t="s">
        <v>22</v>
      </c>
      <c r="B191" s="152" t="s">
        <v>23</v>
      </c>
      <c r="C191" s="11"/>
      <c r="D191" s="11"/>
      <c r="E191" s="11"/>
    </row>
    <row r="192" spans="1:5" ht="15.75" thickBot="1" x14ac:dyDescent="0.3">
      <c r="A192" s="5" t="s">
        <v>24</v>
      </c>
      <c r="B192" s="152" t="s">
        <v>23</v>
      </c>
      <c r="C192" s="11">
        <f t="shared" ref="C192:E193" si="7">C189/B189-1</f>
        <v>0.79321428571428565</v>
      </c>
      <c r="D192" s="11">
        <f t="shared" si="7"/>
        <v>-0.55387373033260312</v>
      </c>
      <c r="E192" s="11">
        <f t="shared" si="7"/>
        <v>0.25</v>
      </c>
    </row>
    <row r="193" spans="1:5" ht="23.25" thickBot="1" x14ac:dyDescent="0.3">
      <c r="A193" s="5" t="s">
        <v>25</v>
      </c>
      <c r="B193" s="152" t="s">
        <v>23</v>
      </c>
      <c r="C193" s="11">
        <f t="shared" si="7"/>
        <v>-3.7698412698412564E-3</v>
      </c>
      <c r="D193" s="11">
        <f t="shared" si="7"/>
        <v>3.7841067516430904E-3</v>
      </c>
      <c r="E193" s="11">
        <f t="shared" si="7"/>
        <v>0</v>
      </c>
    </row>
    <row r="194" spans="1:5" ht="12.75" customHeight="1" thickBot="1" x14ac:dyDescent="0.3">
      <c r="A194" s="1252" t="s">
        <v>967</v>
      </c>
      <c r="B194" s="1253"/>
      <c r="C194" s="1253"/>
      <c r="D194" s="1253"/>
      <c r="E194" s="1300"/>
    </row>
    <row r="195" spans="1:5" ht="9" customHeight="1" x14ac:dyDescent="0.25">
      <c r="A195" s="1250"/>
      <c r="B195" s="8">
        <v>2018</v>
      </c>
      <c r="C195" s="8">
        <v>2019</v>
      </c>
      <c r="D195" s="8">
        <v>2020</v>
      </c>
      <c r="E195" s="8">
        <v>2021</v>
      </c>
    </row>
    <row r="196" spans="1:5" ht="15.75" thickBot="1" x14ac:dyDescent="0.3">
      <c r="A196" s="1251"/>
      <c r="B196" s="9" t="s">
        <v>10</v>
      </c>
      <c r="C196" s="9" t="s">
        <v>11</v>
      </c>
      <c r="D196" s="9" t="s">
        <v>11</v>
      </c>
      <c r="E196" s="9" t="s">
        <v>11</v>
      </c>
    </row>
    <row r="197" spans="1:5" ht="15.75" thickBot="1" x14ac:dyDescent="0.3">
      <c r="A197" s="13" t="s">
        <v>58</v>
      </c>
      <c r="B197" s="14"/>
      <c r="C197" s="14"/>
      <c r="D197" s="14"/>
      <c r="E197" s="14"/>
    </row>
    <row r="198" spans="1:5" ht="15.75" thickBot="1" x14ac:dyDescent="0.3">
      <c r="A198" s="13" t="s">
        <v>59</v>
      </c>
      <c r="B198" s="15">
        <f>B189</f>
        <v>14000</v>
      </c>
      <c r="C198" s="15">
        <f>C189</f>
        <v>25105</v>
      </c>
      <c r="D198" s="191">
        <f>D189</f>
        <v>11200</v>
      </c>
      <c r="E198" s="191">
        <f>E189</f>
        <v>14000</v>
      </c>
    </row>
    <row r="199" spans="1:5" ht="15.75" thickBot="1" x14ac:dyDescent="0.3">
      <c r="A199" s="16" t="s">
        <v>137</v>
      </c>
      <c r="B199" s="246">
        <f>B198+B197</f>
        <v>14000</v>
      </c>
      <c r="C199" s="15">
        <f>C198+C197</f>
        <v>25105</v>
      </c>
      <c r="D199" s="15">
        <f>D198+D197</f>
        <v>11200</v>
      </c>
      <c r="E199" s="15">
        <f>E198+E197</f>
        <v>14000</v>
      </c>
    </row>
    <row r="200" spans="1:5" ht="15.75" thickBot="1" x14ac:dyDescent="0.3">
      <c r="A200" s="248" t="s">
        <v>238</v>
      </c>
      <c r="B200" s="1405" t="s">
        <v>243</v>
      </c>
      <c r="C200" s="1405"/>
      <c r="D200" s="1405"/>
      <c r="E200" s="1406"/>
    </row>
    <row r="201" spans="1:5" s="235" customFormat="1" ht="15.75" thickBot="1" x14ac:dyDescent="0.3">
      <c r="A201" s="247" t="s">
        <v>244</v>
      </c>
      <c r="B201" s="1362" t="s">
        <v>245</v>
      </c>
      <c r="C201" s="1363"/>
      <c r="D201" s="1363"/>
      <c r="E201" s="1364"/>
    </row>
    <row r="202" spans="1:5" ht="15.75" thickBot="1" x14ac:dyDescent="0.3">
      <c r="A202" s="5" t="s">
        <v>17</v>
      </c>
      <c r="B202" s="1245" t="s">
        <v>246</v>
      </c>
      <c r="C202" s="1246"/>
      <c r="D202" s="1246"/>
      <c r="E202" s="1298"/>
    </row>
    <row r="203" spans="1:5" ht="12.75" customHeight="1" thickBot="1" x14ac:dyDescent="0.3">
      <c r="A203" s="5" t="s">
        <v>18</v>
      </c>
      <c r="B203" s="1362" t="s">
        <v>966</v>
      </c>
      <c r="C203" s="1363"/>
      <c r="D203" s="1363"/>
      <c r="E203" s="1364"/>
    </row>
    <row r="204" spans="1:5" ht="9" customHeight="1" x14ac:dyDescent="0.25">
      <c r="A204" s="1250"/>
      <c r="B204" s="8">
        <v>2018</v>
      </c>
      <c r="C204" s="8">
        <v>2019</v>
      </c>
      <c r="D204" s="8">
        <v>2020</v>
      </c>
      <c r="E204" s="8">
        <v>2021</v>
      </c>
    </row>
    <row r="205" spans="1:5" ht="15.75" thickBot="1" x14ac:dyDescent="0.3">
      <c r="A205" s="1251"/>
      <c r="B205" s="9" t="s">
        <v>10</v>
      </c>
      <c r="C205" s="9" t="s">
        <v>11</v>
      </c>
      <c r="D205" s="9" t="s">
        <v>11</v>
      </c>
      <c r="E205" s="9" t="s">
        <v>11</v>
      </c>
    </row>
    <row r="206" spans="1:5" ht="15.75" thickBot="1" x14ac:dyDescent="0.3">
      <c r="A206" s="5" t="s">
        <v>19</v>
      </c>
      <c r="B206" s="10">
        <v>0</v>
      </c>
      <c r="C206" s="10">
        <v>5</v>
      </c>
      <c r="D206" s="10">
        <v>0</v>
      </c>
      <c r="E206" s="10">
        <v>0</v>
      </c>
    </row>
    <row r="207" spans="1:5" ht="15.75" thickBot="1" x14ac:dyDescent="0.3">
      <c r="A207" s="5" t="s">
        <v>20</v>
      </c>
      <c r="B207" s="10"/>
      <c r="C207" s="10">
        <v>1250</v>
      </c>
      <c r="D207" s="10"/>
      <c r="E207" s="10"/>
    </row>
    <row r="208" spans="1:5" ht="15.75" thickBot="1" x14ac:dyDescent="0.3">
      <c r="A208" s="5" t="s">
        <v>21</v>
      </c>
      <c r="B208" s="10"/>
      <c r="C208" s="10">
        <f>C207/C206</f>
        <v>250</v>
      </c>
      <c r="D208" s="10"/>
      <c r="E208" s="10"/>
    </row>
    <row r="209" spans="1:5" ht="15.75" thickBot="1" x14ac:dyDescent="0.3">
      <c r="A209" s="5" t="s">
        <v>22</v>
      </c>
      <c r="B209" s="152" t="s">
        <v>23</v>
      </c>
      <c r="C209" s="152" t="s">
        <v>23</v>
      </c>
      <c r="D209" s="152" t="s">
        <v>23</v>
      </c>
      <c r="E209" s="152" t="s">
        <v>23</v>
      </c>
    </row>
    <row r="210" spans="1:5" ht="15.75" thickBot="1" x14ac:dyDescent="0.3">
      <c r="A210" s="5" t="s">
        <v>24</v>
      </c>
      <c r="B210" s="152" t="s">
        <v>23</v>
      </c>
      <c r="C210" s="152" t="s">
        <v>23</v>
      </c>
      <c r="D210" s="152" t="s">
        <v>23</v>
      </c>
      <c r="E210" s="152" t="s">
        <v>23</v>
      </c>
    </row>
    <row r="211" spans="1:5" ht="23.25" thickBot="1" x14ac:dyDescent="0.3">
      <c r="A211" s="5" t="s">
        <v>25</v>
      </c>
      <c r="B211" s="152" t="s">
        <v>23</v>
      </c>
      <c r="C211" s="152" t="s">
        <v>23</v>
      </c>
      <c r="D211" s="152" t="s">
        <v>23</v>
      </c>
      <c r="E211" s="152" t="s">
        <v>23</v>
      </c>
    </row>
    <row r="212" spans="1:5" ht="15.75" thickBot="1" x14ac:dyDescent="0.3">
      <c r="A212" s="1252" t="s">
        <v>965</v>
      </c>
      <c r="B212" s="1253"/>
      <c r="C212" s="1253"/>
      <c r="D212" s="1253"/>
      <c r="E212" s="1300"/>
    </row>
    <row r="213" spans="1:5" x14ac:dyDescent="0.25">
      <c r="A213" s="1250"/>
      <c r="B213" s="8">
        <v>2018</v>
      </c>
      <c r="C213" s="8">
        <v>2019</v>
      </c>
      <c r="D213" s="8">
        <v>2020</v>
      </c>
      <c r="E213" s="8">
        <v>2021</v>
      </c>
    </row>
    <row r="214" spans="1:5" ht="15.75" thickBot="1" x14ac:dyDescent="0.3">
      <c r="A214" s="1251"/>
      <c r="B214" s="9" t="s">
        <v>10</v>
      </c>
      <c r="C214" s="9" t="s">
        <v>11</v>
      </c>
      <c r="D214" s="9" t="s">
        <v>11</v>
      </c>
      <c r="E214" s="9" t="s">
        <v>11</v>
      </c>
    </row>
    <row r="215" spans="1:5" ht="15.75" thickBot="1" x14ac:dyDescent="0.3">
      <c r="A215" s="13" t="s">
        <v>58</v>
      </c>
      <c r="B215" s="14"/>
      <c r="C215" s="14"/>
      <c r="D215" s="14"/>
      <c r="E215" s="14"/>
    </row>
    <row r="216" spans="1:5" ht="15.75" thickBot="1" x14ac:dyDescent="0.3">
      <c r="A216" s="13" t="s">
        <v>59</v>
      </c>
      <c r="B216" s="15">
        <f>B207</f>
        <v>0</v>
      </c>
      <c r="C216" s="15">
        <f>C207</f>
        <v>1250</v>
      </c>
      <c r="D216" s="15">
        <f>D207</f>
        <v>0</v>
      </c>
      <c r="E216" s="15">
        <f>E207</f>
        <v>0</v>
      </c>
    </row>
    <row r="217" spans="1:5" ht="15.75" thickBot="1" x14ac:dyDescent="0.3">
      <c r="A217" s="16" t="s">
        <v>247</v>
      </c>
      <c r="B217" s="246">
        <f>B216+B215</f>
        <v>0</v>
      </c>
      <c r="C217" s="15">
        <f>C216+C215</f>
        <v>1250</v>
      </c>
      <c r="D217" s="15">
        <f>D216+D215</f>
        <v>0</v>
      </c>
      <c r="E217" s="15">
        <f>E216+E215</f>
        <v>0</v>
      </c>
    </row>
    <row r="218" spans="1:5" ht="17.25" hidden="1" customHeight="1" x14ac:dyDescent="0.25">
      <c r="A218" s="1254" t="s">
        <v>248</v>
      </c>
      <c r="B218" s="1387"/>
      <c r="C218" s="1388"/>
      <c r="D218" s="1388"/>
      <c r="E218" s="1389"/>
    </row>
    <row r="219" spans="1:5" ht="15.75" hidden="1" thickBot="1" x14ac:dyDescent="0.3">
      <c r="A219" s="1255"/>
      <c r="B219" s="1390"/>
      <c r="C219" s="1391"/>
      <c r="D219" s="1391"/>
      <c r="E219" s="1392"/>
    </row>
    <row r="220" spans="1:5" ht="12.75" hidden="1" customHeight="1" thickBot="1" x14ac:dyDescent="0.3">
      <c r="A220" s="1256"/>
      <c r="B220" s="1393"/>
      <c r="C220" s="1394"/>
      <c r="D220" s="1394"/>
      <c r="E220" s="1395"/>
    </row>
    <row r="221" spans="1:5" ht="9" hidden="1" customHeight="1" thickBot="1" x14ac:dyDescent="0.3">
      <c r="A221" s="1275" t="s">
        <v>63</v>
      </c>
      <c r="B221" s="1276"/>
      <c r="C221" s="1276"/>
      <c r="D221" s="1276"/>
      <c r="E221" s="1317"/>
    </row>
    <row r="222" spans="1:5" ht="15.75" thickBot="1" x14ac:dyDescent="0.3">
      <c r="A222" s="1275" t="s">
        <v>64</v>
      </c>
      <c r="B222" s="1276"/>
      <c r="C222" s="1276"/>
      <c r="D222" s="1276"/>
      <c r="E222" s="1317"/>
    </row>
    <row r="223" spans="1:5" ht="15.75" thickBot="1" x14ac:dyDescent="0.3">
      <c r="A223" s="243" t="s">
        <v>249</v>
      </c>
      <c r="B223" s="1409" t="s">
        <v>964</v>
      </c>
      <c r="C223" s="1405"/>
      <c r="D223" s="1405"/>
      <c r="E223" s="1406"/>
    </row>
    <row r="224" spans="1:5" ht="15.75" thickBot="1" x14ac:dyDescent="0.3">
      <c r="A224" s="7" t="s">
        <v>128</v>
      </c>
      <c r="B224" s="1384" t="s">
        <v>250</v>
      </c>
      <c r="C224" s="1385"/>
      <c r="D224" s="1385"/>
      <c r="E224" s="1386"/>
    </row>
    <row r="225" spans="1:5" ht="15.75" thickBot="1" x14ac:dyDescent="0.3">
      <c r="A225" s="5" t="s">
        <v>17</v>
      </c>
      <c r="B225" s="1245" t="s">
        <v>251</v>
      </c>
      <c r="C225" s="1246"/>
      <c r="D225" s="1246"/>
      <c r="E225" s="1298"/>
    </row>
    <row r="226" spans="1:5" ht="15.75" thickBot="1" x14ac:dyDescent="0.3">
      <c r="A226" s="5" t="s">
        <v>18</v>
      </c>
      <c r="B226" s="1248" t="s">
        <v>106</v>
      </c>
      <c r="C226" s="1249"/>
      <c r="D226" s="1249"/>
      <c r="E226" s="1316"/>
    </row>
    <row r="227" spans="1:5" x14ac:dyDescent="0.25">
      <c r="A227" s="1250"/>
      <c r="B227" s="8">
        <v>2018</v>
      </c>
      <c r="C227" s="8">
        <v>2019</v>
      </c>
      <c r="D227" s="8">
        <v>2020</v>
      </c>
      <c r="E227" s="8">
        <v>2021</v>
      </c>
    </row>
    <row r="228" spans="1:5" ht="15.75" thickBot="1" x14ac:dyDescent="0.3">
      <c r="A228" s="1251"/>
      <c r="B228" s="9" t="s">
        <v>10</v>
      </c>
      <c r="C228" s="9" t="s">
        <v>11</v>
      </c>
      <c r="D228" s="9" t="s">
        <v>11</v>
      </c>
      <c r="E228" s="9" t="s">
        <v>11</v>
      </c>
    </row>
    <row r="229" spans="1:5" ht="12.75" customHeight="1" thickBot="1" x14ac:dyDescent="0.3">
      <c r="A229" s="5" t="s">
        <v>19</v>
      </c>
      <c r="B229" s="10">
        <v>0</v>
      </c>
      <c r="C229" s="10">
        <v>0</v>
      </c>
      <c r="D229" s="10">
        <v>1273.0683076923076</v>
      </c>
      <c r="E229" s="10">
        <v>972.38834951456306</v>
      </c>
    </row>
    <row r="230" spans="1:5" ht="15" customHeight="1" thickBot="1" x14ac:dyDescent="0.3">
      <c r="A230" s="5" t="s">
        <v>20</v>
      </c>
      <c r="B230" s="10">
        <v>0</v>
      </c>
      <c r="C230" s="10">
        <v>0</v>
      </c>
      <c r="D230" s="10">
        <v>80810</v>
      </c>
      <c r="E230" s="10">
        <v>61740</v>
      </c>
    </row>
    <row r="231" spans="1:5" ht="15.75" thickBot="1" x14ac:dyDescent="0.3">
      <c r="A231" s="5" t="s">
        <v>21</v>
      </c>
      <c r="B231" s="10" t="e">
        <f>B230/B229</f>
        <v>#DIV/0!</v>
      </c>
      <c r="C231" s="10" t="e">
        <f>C230/C229</f>
        <v>#DIV/0!</v>
      </c>
      <c r="D231" s="10">
        <f>D230/D229</f>
        <v>63.476562500000007</v>
      </c>
      <c r="E231" s="10">
        <f>E230/E229</f>
        <v>63.493150684931507</v>
      </c>
    </row>
    <row r="232" spans="1:5" ht="15.75" thickBot="1" x14ac:dyDescent="0.3">
      <c r="A232" s="5" t="s">
        <v>22</v>
      </c>
      <c r="B232" s="152" t="s">
        <v>23</v>
      </c>
      <c r="C232" s="11" t="e">
        <f t="shared" ref="C232:E234" si="8">C229/B229-1</f>
        <v>#DIV/0!</v>
      </c>
      <c r="D232" s="11" t="e">
        <f t="shared" si="8"/>
        <v>#DIV/0!</v>
      </c>
      <c r="E232" s="11">
        <f t="shared" si="8"/>
        <v>-0.236185251302648</v>
      </c>
    </row>
    <row r="233" spans="1:5" ht="15.75" thickBot="1" x14ac:dyDescent="0.3">
      <c r="A233" s="5" t="s">
        <v>24</v>
      </c>
      <c r="B233" s="152" t="s">
        <v>23</v>
      </c>
      <c r="C233" s="11" t="e">
        <f t="shared" si="8"/>
        <v>#DIV/0!</v>
      </c>
      <c r="D233" s="11" t="e">
        <f t="shared" si="8"/>
        <v>#DIV/0!</v>
      </c>
      <c r="E233" s="11">
        <f t="shared" si="8"/>
        <v>-0.23598564534092314</v>
      </c>
    </row>
    <row r="234" spans="1:5" ht="23.25" thickBot="1" x14ac:dyDescent="0.3">
      <c r="A234" s="5" t="s">
        <v>25</v>
      </c>
      <c r="B234" s="152" t="s">
        <v>23</v>
      </c>
      <c r="C234" s="11" t="e">
        <f t="shared" si="8"/>
        <v>#DIV/0!</v>
      </c>
      <c r="D234" s="11" t="e">
        <f t="shared" si="8"/>
        <v>#DIV/0!</v>
      </c>
      <c r="E234" s="11">
        <f t="shared" si="8"/>
        <v>2.6132771338249761E-4</v>
      </c>
    </row>
    <row r="235" spans="1:5" ht="15.75" thickBot="1" x14ac:dyDescent="0.3">
      <c r="A235" s="1252" t="s">
        <v>633</v>
      </c>
      <c r="B235" s="1253"/>
      <c r="C235" s="1253"/>
      <c r="D235" s="1253"/>
      <c r="E235" s="1300"/>
    </row>
    <row r="236" spans="1:5" ht="17.25" customHeight="1" x14ac:dyDescent="0.25">
      <c r="A236" s="1250"/>
      <c r="B236" s="8">
        <v>2018</v>
      </c>
      <c r="C236" s="8">
        <v>2019</v>
      </c>
      <c r="D236" s="8">
        <v>2020</v>
      </c>
      <c r="E236" s="8">
        <v>2021</v>
      </c>
    </row>
    <row r="237" spans="1:5" ht="15.75" thickBot="1" x14ac:dyDescent="0.3">
      <c r="A237" s="1251"/>
      <c r="B237" s="9" t="s">
        <v>10</v>
      </c>
      <c r="C237" s="9" t="s">
        <v>11</v>
      </c>
      <c r="D237" s="9" t="s">
        <v>11</v>
      </c>
      <c r="E237" s="9" t="s">
        <v>11</v>
      </c>
    </row>
    <row r="238" spans="1:5" ht="26.25" customHeight="1" thickBot="1" x14ac:dyDescent="0.3">
      <c r="A238" s="13" t="s">
        <v>58</v>
      </c>
      <c r="B238" s="14"/>
      <c r="C238" s="14"/>
      <c r="D238" s="14"/>
      <c r="E238" s="14"/>
    </row>
    <row r="239" spans="1:5" ht="23.25" customHeight="1" thickBot="1" x14ac:dyDescent="0.3">
      <c r="A239" s="13" t="s">
        <v>59</v>
      </c>
      <c r="B239" s="15"/>
      <c r="C239" s="14"/>
      <c r="D239" s="14">
        <f>D230</f>
        <v>80810</v>
      </c>
      <c r="E239" s="14">
        <f>E230</f>
        <v>61740</v>
      </c>
    </row>
    <row r="240" spans="1:5" ht="15.75" thickBot="1" x14ac:dyDescent="0.3">
      <c r="A240" s="16" t="s">
        <v>40</v>
      </c>
      <c r="B240" s="15">
        <f>B239+B238</f>
        <v>0</v>
      </c>
      <c r="C240" s="15">
        <f>C239+C238</f>
        <v>0</v>
      </c>
      <c r="D240" s="15">
        <f>D239+D238</f>
        <v>80810</v>
      </c>
      <c r="E240" s="15">
        <f>E239+E238</f>
        <v>61740</v>
      </c>
    </row>
    <row r="241" spans="1:5" ht="15.75" thickBot="1" x14ac:dyDescent="0.3">
      <c r="A241" s="242" t="s">
        <v>252</v>
      </c>
      <c r="B241" s="1244" t="s">
        <v>253</v>
      </c>
      <c r="C241" s="1244"/>
      <c r="D241" s="1244"/>
      <c r="E241" s="1315"/>
    </row>
    <row r="242" spans="1:5" ht="15.75" thickBot="1" x14ac:dyDescent="0.3">
      <c r="A242" s="7" t="s">
        <v>131</v>
      </c>
      <c r="B242" s="1243" t="s">
        <v>253</v>
      </c>
      <c r="C242" s="1244"/>
      <c r="D242" s="1244"/>
      <c r="E242" s="1315"/>
    </row>
    <row r="243" spans="1:5" ht="15.75" thickBot="1" x14ac:dyDescent="0.3">
      <c r="A243" s="5" t="s">
        <v>17</v>
      </c>
      <c r="B243" s="1245" t="s">
        <v>254</v>
      </c>
      <c r="C243" s="1246"/>
      <c r="D243" s="1246"/>
      <c r="E243" s="1298"/>
    </row>
    <row r="244" spans="1:5" ht="15.75" thickBot="1" x14ac:dyDescent="0.3">
      <c r="A244" s="5" t="s">
        <v>18</v>
      </c>
      <c r="B244" s="1248" t="s">
        <v>255</v>
      </c>
      <c r="C244" s="1249"/>
      <c r="D244" s="1249"/>
      <c r="E244" s="1316"/>
    </row>
    <row r="245" spans="1:5" x14ac:dyDescent="0.25">
      <c r="A245" s="1250"/>
      <c r="B245" s="8">
        <v>2018</v>
      </c>
      <c r="C245" s="8">
        <v>2019</v>
      </c>
      <c r="D245" s="8">
        <v>2020</v>
      </c>
      <c r="E245" s="8">
        <v>2021</v>
      </c>
    </row>
    <row r="246" spans="1:5" ht="15.75" thickBot="1" x14ac:dyDescent="0.3">
      <c r="A246" s="1251"/>
      <c r="B246" s="9" t="s">
        <v>10</v>
      </c>
      <c r="C246" s="9" t="s">
        <v>11</v>
      </c>
      <c r="D246" s="9" t="s">
        <v>11</v>
      </c>
      <c r="E246" s="9" t="s">
        <v>11</v>
      </c>
    </row>
    <row r="247" spans="1:5" ht="12.75" customHeight="1" thickBot="1" x14ac:dyDescent="0.3">
      <c r="A247" s="5" t="s">
        <v>19</v>
      </c>
      <c r="B247" s="10">
        <v>0</v>
      </c>
      <c r="C247" s="10">
        <v>4</v>
      </c>
      <c r="D247" s="10">
        <v>0</v>
      </c>
      <c r="E247" s="10">
        <v>0</v>
      </c>
    </row>
    <row r="248" spans="1:5" ht="15.75" customHeight="1" thickBot="1" x14ac:dyDescent="0.3">
      <c r="A248" s="5" t="s">
        <v>20</v>
      </c>
      <c r="B248" s="10">
        <v>0</v>
      </c>
      <c r="C248" s="10">
        <v>4510</v>
      </c>
      <c r="D248" s="10">
        <v>0</v>
      </c>
      <c r="E248" s="10">
        <v>0</v>
      </c>
    </row>
    <row r="249" spans="1:5" ht="15.75" thickBot="1" x14ac:dyDescent="0.3">
      <c r="A249" s="5" t="s">
        <v>21</v>
      </c>
      <c r="B249" s="10" t="e">
        <f>B248/B247</f>
        <v>#DIV/0!</v>
      </c>
      <c r="C249" s="10">
        <f>C248/C247</f>
        <v>1127.5</v>
      </c>
      <c r="D249" s="10" t="e">
        <f>D248/D247</f>
        <v>#DIV/0!</v>
      </c>
      <c r="E249" s="10" t="e">
        <f>E248/E247</f>
        <v>#DIV/0!</v>
      </c>
    </row>
    <row r="250" spans="1:5" ht="15.75" thickBot="1" x14ac:dyDescent="0.3">
      <c r="A250" s="5" t="s">
        <v>22</v>
      </c>
      <c r="B250" s="152" t="s">
        <v>23</v>
      </c>
      <c r="C250" s="11" t="e">
        <f t="shared" ref="C250:E252" si="9">C247/B247-1</f>
        <v>#DIV/0!</v>
      </c>
      <c r="D250" s="11">
        <f t="shared" si="9"/>
        <v>-1</v>
      </c>
      <c r="E250" s="11" t="e">
        <f t="shared" si="9"/>
        <v>#DIV/0!</v>
      </c>
    </row>
    <row r="251" spans="1:5" ht="15.75" thickBot="1" x14ac:dyDescent="0.3">
      <c r="A251" s="5" t="s">
        <v>24</v>
      </c>
      <c r="B251" s="152" t="s">
        <v>23</v>
      </c>
      <c r="C251" s="11" t="e">
        <f t="shared" si="9"/>
        <v>#DIV/0!</v>
      </c>
      <c r="D251" s="11">
        <f t="shared" si="9"/>
        <v>-1</v>
      </c>
      <c r="E251" s="11" t="e">
        <f t="shared" si="9"/>
        <v>#DIV/0!</v>
      </c>
    </row>
    <row r="252" spans="1:5" ht="23.25" thickBot="1" x14ac:dyDescent="0.3">
      <c r="A252" s="5" t="s">
        <v>25</v>
      </c>
      <c r="B252" s="152" t="s">
        <v>23</v>
      </c>
      <c r="C252" s="11" t="e">
        <f t="shared" si="9"/>
        <v>#DIV/0!</v>
      </c>
      <c r="D252" s="11" t="e">
        <f t="shared" si="9"/>
        <v>#DIV/0!</v>
      </c>
      <c r="E252" s="11" t="e">
        <f t="shared" si="9"/>
        <v>#DIV/0!</v>
      </c>
    </row>
    <row r="253" spans="1:5" ht="15.75" thickBot="1" x14ac:dyDescent="0.3">
      <c r="A253" s="1252" t="s">
        <v>635</v>
      </c>
      <c r="B253" s="1253"/>
      <c r="C253" s="1253"/>
      <c r="D253" s="1253"/>
      <c r="E253" s="1300"/>
    </row>
    <row r="254" spans="1:5" x14ac:dyDescent="0.25">
      <c r="A254" s="1250"/>
      <c r="B254" s="8">
        <v>2018</v>
      </c>
      <c r="C254" s="8">
        <v>2019</v>
      </c>
      <c r="D254" s="8">
        <v>2020</v>
      </c>
      <c r="E254" s="8">
        <v>2021</v>
      </c>
    </row>
    <row r="255" spans="1:5" ht="15.75" thickBot="1" x14ac:dyDescent="0.3">
      <c r="A255" s="1251"/>
      <c r="B255" s="9" t="s">
        <v>10</v>
      </c>
      <c r="C255" s="9" t="s">
        <v>11</v>
      </c>
      <c r="D255" s="9" t="s">
        <v>11</v>
      </c>
      <c r="E255" s="9" t="s">
        <v>11</v>
      </c>
    </row>
    <row r="256" spans="1:5" ht="17.25" customHeight="1" thickBot="1" x14ac:dyDescent="0.3">
      <c r="A256" s="13" t="s">
        <v>58</v>
      </c>
      <c r="B256" s="14">
        <f>B248</f>
        <v>0</v>
      </c>
      <c r="C256" s="14">
        <f>C248</f>
        <v>4510</v>
      </c>
      <c r="D256" s="14">
        <f>D248</f>
        <v>0</v>
      </c>
      <c r="E256" s="14">
        <f>E248</f>
        <v>0</v>
      </c>
    </row>
    <row r="257" spans="1:5" ht="15.75" thickBot="1" x14ac:dyDescent="0.3">
      <c r="A257" s="13" t="s">
        <v>59</v>
      </c>
      <c r="B257" s="15"/>
      <c r="C257" s="14"/>
      <c r="D257" s="14"/>
      <c r="E257" s="14"/>
    </row>
    <row r="258" spans="1:5" ht="12.75" customHeight="1" thickBot="1" x14ac:dyDescent="0.3">
      <c r="A258" s="16" t="s">
        <v>74</v>
      </c>
      <c r="B258" s="15">
        <f>B257+B256</f>
        <v>0</v>
      </c>
      <c r="C258" s="15">
        <f>C257+C256</f>
        <v>4510</v>
      </c>
      <c r="D258" s="15">
        <f>D257+D256</f>
        <v>0</v>
      </c>
      <c r="E258" s="15">
        <f>E257+E256</f>
        <v>0</v>
      </c>
    </row>
    <row r="259" spans="1:5" ht="38.25" customHeight="1" thickBot="1" x14ac:dyDescent="0.3">
      <c r="A259" s="21" t="s">
        <v>67</v>
      </c>
      <c r="B259" s="1359" t="s">
        <v>963</v>
      </c>
      <c r="C259" s="1360"/>
      <c r="D259" s="1360"/>
      <c r="E259" s="1361"/>
    </row>
    <row r="260" spans="1:5" ht="15.75" customHeight="1" thickBot="1" x14ac:dyDescent="0.3">
      <c r="A260" s="1245" t="s">
        <v>68</v>
      </c>
      <c r="B260" s="1246"/>
      <c r="C260" s="1246"/>
      <c r="D260" s="1246"/>
      <c r="E260" s="1298"/>
    </row>
    <row r="261" spans="1:5" ht="23.25" thickBot="1" x14ac:dyDescent="0.3">
      <c r="A261" s="153" t="s">
        <v>962</v>
      </c>
      <c r="B261" s="241">
        <v>0.94</v>
      </c>
      <c r="C261" s="241">
        <v>0.95</v>
      </c>
      <c r="D261" s="241">
        <v>0.96</v>
      </c>
      <c r="E261" s="241">
        <v>0.97</v>
      </c>
    </row>
    <row r="262" spans="1:5" ht="15.75" hidden="1" thickBot="1" x14ac:dyDescent="0.3">
      <c r="A262" s="5" t="s">
        <v>165</v>
      </c>
      <c r="B262" s="4" t="s">
        <v>112</v>
      </c>
      <c r="C262" s="4" t="s">
        <v>113</v>
      </c>
      <c r="D262" s="4" t="s">
        <v>113</v>
      </c>
      <c r="E262" s="4" t="s">
        <v>113</v>
      </c>
    </row>
    <row r="263" spans="1:5" ht="23.25" hidden="1" thickBot="1" x14ac:dyDescent="0.3">
      <c r="A263" s="5" t="s">
        <v>111</v>
      </c>
      <c r="B263" s="4" t="s">
        <v>112</v>
      </c>
      <c r="C263" s="4" t="s">
        <v>113</v>
      </c>
      <c r="D263" s="4" t="s">
        <v>113</v>
      </c>
      <c r="E263" s="4" t="s">
        <v>113</v>
      </c>
    </row>
    <row r="264" spans="1:5" ht="15.75" thickBot="1" x14ac:dyDescent="0.3">
      <c r="A264" s="1278" t="s">
        <v>69</v>
      </c>
      <c r="B264" s="1279"/>
      <c r="C264" s="1279"/>
      <c r="D264" s="1279"/>
      <c r="E264" s="1355"/>
    </row>
    <row r="265" spans="1:5" ht="15.75" hidden="1" thickBot="1" x14ac:dyDescent="0.3">
      <c r="A265" s="1280" t="s">
        <v>70</v>
      </c>
      <c r="B265" s="1281"/>
      <c r="C265" s="1281"/>
      <c r="D265" s="1281"/>
      <c r="E265" s="1354"/>
    </row>
    <row r="266" spans="1:5" ht="15.75" hidden="1" customHeight="1" x14ac:dyDescent="0.25">
      <c r="A266" s="1250"/>
      <c r="B266" s="8">
        <v>2018</v>
      </c>
      <c r="C266" s="8">
        <v>2019</v>
      </c>
      <c r="D266" s="8">
        <v>2020</v>
      </c>
      <c r="E266" s="8">
        <v>2021</v>
      </c>
    </row>
    <row r="267" spans="1:5" ht="12.75" hidden="1" customHeight="1" thickBot="1" x14ac:dyDescent="0.3">
      <c r="A267" s="1251"/>
      <c r="B267" s="9" t="s">
        <v>10</v>
      </c>
      <c r="C267" s="9" t="s">
        <v>11</v>
      </c>
      <c r="D267" s="9" t="s">
        <v>11</v>
      </c>
      <c r="E267" s="9" t="s">
        <v>11</v>
      </c>
    </row>
    <row r="268" spans="1:5" ht="24" hidden="1" customHeight="1" thickBot="1" x14ac:dyDescent="0.3">
      <c r="A268" s="7" t="s">
        <v>16</v>
      </c>
      <c r="B268" s="1243" t="s">
        <v>106</v>
      </c>
      <c r="C268" s="1244"/>
      <c r="D268" s="1244"/>
      <c r="E268" s="1315"/>
    </row>
    <row r="269" spans="1:5" ht="15.75" hidden="1" thickBot="1" x14ac:dyDescent="0.3">
      <c r="A269" s="5" t="s">
        <v>17</v>
      </c>
      <c r="B269" s="1245" t="s">
        <v>106</v>
      </c>
      <c r="C269" s="1246"/>
      <c r="D269" s="1246"/>
      <c r="E269" s="1298"/>
    </row>
    <row r="270" spans="1:5" ht="15.75" hidden="1" thickBot="1" x14ac:dyDescent="0.3">
      <c r="A270" s="5" t="s">
        <v>18</v>
      </c>
      <c r="B270" s="1248" t="s">
        <v>106</v>
      </c>
      <c r="C270" s="1249"/>
      <c r="D270" s="1249"/>
      <c r="E270" s="1316"/>
    </row>
    <row r="271" spans="1:5" ht="15.75" hidden="1" thickBot="1" x14ac:dyDescent="0.3">
      <c r="A271" s="1250"/>
      <c r="B271" s="8">
        <v>2018</v>
      </c>
      <c r="C271" s="8">
        <v>2019</v>
      </c>
      <c r="D271" s="8">
        <v>2020</v>
      </c>
      <c r="E271" s="8">
        <v>2021</v>
      </c>
    </row>
    <row r="272" spans="1:5" ht="15.75" hidden="1" thickBot="1" x14ac:dyDescent="0.3">
      <c r="A272" s="1251"/>
      <c r="B272" s="9" t="s">
        <v>10</v>
      </c>
      <c r="C272" s="9" t="s">
        <v>11</v>
      </c>
      <c r="D272" s="9" t="s">
        <v>11</v>
      </c>
      <c r="E272" s="9" t="s">
        <v>11</v>
      </c>
    </row>
    <row r="273" spans="1:5" ht="15.75" hidden="1" thickBot="1" x14ac:dyDescent="0.3">
      <c r="A273" s="5" t="s">
        <v>19</v>
      </c>
      <c r="B273" s="10"/>
      <c r="C273" s="60"/>
      <c r="D273" s="60"/>
      <c r="E273" s="60"/>
    </row>
    <row r="274" spans="1:5" ht="17.25" hidden="1" customHeight="1" thickBot="1" x14ac:dyDescent="0.3">
      <c r="A274" s="5" t="s">
        <v>20</v>
      </c>
      <c r="B274" s="10"/>
      <c r="C274" s="10"/>
      <c r="D274" s="10"/>
      <c r="E274" s="10"/>
    </row>
    <row r="275" spans="1:5" ht="15.75" hidden="1" thickBot="1" x14ac:dyDescent="0.3">
      <c r="A275" s="5" t="s">
        <v>21</v>
      </c>
      <c r="B275" s="10" t="e">
        <f>B274/B273</f>
        <v>#DIV/0!</v>
      </c>
      <c r="C275" s="10" t="e">
        <f>C274/C273</f>
        <v>#DIV/0!</v>
      </c>
      <c r="D275" s="10" t="e">
        <f>D274/D273</f>
        <v>#DIV/0!</v>
      </c>
      <c r="E275" s="10" t="e">
        <f>E274/E273</f>
        <v>#DIV/0!</v>
      </c>
    </row>
    <row r="276" spans="1:5" ht="12.75" hidden="1" customHeight="1" thickBot="1" x14ac:dyDescent="0.3">
      <c r="A276" s="5" t="s">
        <v>22</v>
      </c>
      <c r="B276" s="152"/>
      <c r="C276" s="11" t="e">
        <f t="shared" ref="C276:E278" si="10">C273/B273-1</f>
        <v>#DIV/0!</v>
      </c>
      <c r="D276" s="11" t="e">
        <f t="shared" si="10"/>
        <v>#DIV/0!</v>
      </c>
      <c r="E276" s="11" t="e">
        <f t="shared" si="10"/>
        <v>#DIV/0!</v>
      </c>
    </row>
    <row r="277" spans="1:5" ht="9" hidden="1" customHeight="1" thickBot="1" x14ac:dyDescent="0.3">
      <c r="A277" s="5" t="s">
        <v>24</v>
      </c>
      <c r="B277" s="152"/>
      <c r="C277" s="11" t="e">
        <f t="shared" si="10"/>
        <v>#DIV/0!</v>
      </c>
      <c r="D277" s="11" t="e">
        <f t="shared" si="10"/>
        <v>#DIV/0!</v>
      </c>
      <c r="E277" s="11" t="e">
        <f t="shared" si="10"/>
        <v>#DIV/0!</v>
      </c>
    </row>
    <row r="278" spans="1:5" ht="23.25" hidden="1" thickBot="1" x14ac:dyDescent="0.3">
      <c r="A278" s="5" t="s">
        <v>25</v>
      </c>
      <c r="B278" s="152"/>
      <c r="C278" s="11" t="e">
        <f t="shared" si="10"/>
        <v>#DIV/0!</v>
      </c>
      <c r="D278" s="11" t="e">
        <f t="shared" si="10"/>
        <v>#DIV/0!</v>
      </c>
      <c r="E278" s="11" t="e">
        <f t="shared" si="10"/>
        <v>#DIV/0!</v>
      </c>
    </row>
    <row r="279" spans="1:5" ht="15.75" hidden="1" thickBot="1" x14ac:dyDescent="0.3">
      <c r="A279" s="1250"/>
      <c r="B279" s="8">
        <v>2018</v>
      </c>
      <c r="C279" s="8">
        <v>2019</v>
      </c>
      <c r="D279" s="8">
        <v>2020</v>
      </c>
      <c r="E279" s="8">
        <v>2021</v>
      </c>
    </row>
    <row r="280" spans="1:5" ht="15.75" hidden="1" thickBot="1" x14ac:dyDescent="0.3">
      <c r="A280" s="1251"/>
      <c r="B280" s="9" t="s">
        <v>10</v>
      </c>
      <c r="C280" s="9" t="s">
        <v>11</v>
      </c>
      <c r="D280" s="9" t="s">
        <v>11</v>
      </c>
      <c r="E280" s="9" t="s">
        <v>11</v>
      </c>
    </row>
    <row r="281" spans="1:5" ht="15.75" hidden="1" thickBot="1" x14ac:dyDescent="0.3">
      <c r="A281" s="1252" t="s">
        <v>636</v>
      </c>
      <c r="B281" s="1253"/>
      <c r="C281" s="1253"/>
      <c r="D281" s="1253"/>
      <c r="E281" s="1300"/>
    </row>
    <row r="282" spans="1:5" ht="15.75" hidden="1" thickBot="1" x14ac:dyDescent="0.3">
      <c r="A282" s="1250"/>
      <c r="B282" s="8">
        <v>2018</v>
      </c>
      <c r="C282" s="8">
        <v>2019</v>
      </c>
      <c r="D282" s="8">
        <v>2020</v>
      </c>
      <c r="E282" s="8">
        <v>2021</v>
      </c>
    </row>
    <row r="283" spans="1:5" ht="15.75" hidden="1" thickBot="1" x14ac:dyDescent="0.3">
      <c r="A283" s="1251"/>
      <c r="B283" s="9" t="s">
        <v>10</v>
      </c>
      <c r="C283" s="9" t="s">
        <v>11</v>
      </c>
      <c r="D283" s="9" t="s">
        <v>11</v>
      </c>
      <c r="E283" s="9" t="s">
        <v>11</v>
      </c>
    </row>
    <row r="284" spans="1:5" ht="15.75" hidden="1" thickBot="1" x14ac:dyDescent="0.3">
      <c r="A284" s="13" t="s">
        <v>26</v>
      </c>
      <c r="B284" s="14"/>
      <c r="C284" s="14"/>
      <c r="D284" s="14"/>
      <c r="E284" s="14"/>
    </row>
    <row r="285" spans="1:5" ht="12.75" hidden="1" customHeight="1" thickBot="1" x14ac:dyDescent="0.3">
      <c r="A285" s="13" t="s">
        <v>28</v>
      </c>
      <c r="B285" s="14"/>
      <c r="C285" s="14"/>
      <c r="D285" s="14"/>
      <c r="E285" s="14"/>
    </row>
    <row r="286" spans="1:5" ht="9" hidden="1" customHeight="1" thickBot="1" x14ac:dyDescent="0.3">
      <c r="A286" s="13" t="s">
        <v>30</v>
      </c>
      <c r="B286" s="15"/>
      <c r="C286" s="14"/>
      <c r="D286" s="14"/>
      <c r="E286" s="14"/>
    </row>
    <row r="287" spans="1:5" ht="15.75" hidden="1" thickBot="1" x14ac:dyDescent="0.3">
      <c r="A287" s="13" t="s">
        <v>32</v>
      </c>
      <c r="B287" s="15"/>
      <c r="C287" s="14"/>
      <c r="D287" s="14"/>
      <c r="E287" s="14"/>
    </row>
    <row r="288" spans="1:5" ht="24.75" hidden="1" thickBot="1" x14ac:dyDescent="0.3">
      <c r="A288" s="13" t="s">
        <v>34</v>
      </c>
      <c r="B288" s="15"/>
      <c r="C288" s="14"/>
      <c r="D288" s="14"/>
      <c r="E288" s="14"/>
    </row>
    <row r="289" spans="1:5" ht="15.75" hidden="1" thickBot="1" x14ac:dyDescent="0.3">
      <c r="A289" s="13" t="s">
        <v>36</v>
      </c>
      <c r="B289" s="15"/>
      <c r="C289" s="14"/>
      <c r="D289" s="14"/>
      <c r="E289" s="14"/>
    </row>
    <row r="290" spans="1:5" ht="24.75" hidden="1" thickBot="1" x14ac:dyDescent="0.3">
      <c r="A290" s="13" t="s">
        <v>38</v>
      </c>
      <c r="B290" s="15"/>
      <c r="C290" s="14"/>
      <c r="D290" s="14"/>
      <c r="E290" s="14"/>
    </row>
    <row r="291" spans="1:5" ht="27" hidden="1" customHeight="1" thickBot="1" x14ac:dyDescent="0.3">
      <c r="A291" s="137" t="s">
        <v>71</v>
      </c>
      <c r="B291" s="138">
        <f>B290+B289+B288+B287+B286+B285+B284</f>
        <v>0</v>
      </c>
      <c r="C291" s="138">
        <f>C290+C289+C288+C287+C286+C285+C284</f>
        <v>0</v>
      </c>
      <c r="D291" s="138">
        <f>D290+D289+D288+D287+D286+D285+D284</f>
        <v>0</v>
      </c>
      <c r="E291" s="138">
        <f>E290+E289+E288+E287+E286+E285+E284</f>
        <v>0</v>
      </c>
    </row>
    <row r="292" spans="1:5" ht="15.75" hidden="1" thickBot="1" x14ac:dyDescent="0.3">
      <c r="A292" s="17" t="s">
        <v>41</v>
      </c>
      <c r="B292" s="18">
        <f>IF(B291-B274=0,0,"Error")</f>
        <v>0</v>
      </c>
      <c r="C292" s="18">
        <f>IF(C291-C274=0,0,"Error")</f>
        <v>0</v>
      </c>
      <c r="D292" s="18">
        <f>IF(D291-D274=0,0,"Error")</f>
        <v>0</v>
      </c>
      <c r="E292" s="18">
        <f>IF(E291-E274=0,0,"Error")</f>
        <v>0</v>
      </c>
    </row>
    <row r="293" spans="1:5" ht="23.25" hidden="1" thickBot="1" x14ac:dyDescent="0.3">
      <c r="A293" s="139" t="s">
        <v>637</v>
      </c>
      <c r="B293" s="1243" t="s">
        <v>106</v>
      </c>
      <c r="C293" s="1244"/>
      <c r="D293" s="1244"/>
      <c r="E293" s="1315"/>
    </row>
    <row r="294" spans="1:5" ht="15.75" hidden="1" thickBot="1" x14ac:dyDescent="0.3">
      <c r="A294" s="5" t="s">
        <v>17</v>
      </c>
      <c r="B294" s="1245" t="s">
        <v>106</v>
      </c>
      <c r="C294" s="1246"/>
      <c r="D294" s="1246"/>
      <c r="E294" s="1298"/>
    </row>
    <row r="295" spans="1:5" ht="15.75" hidden="1" thickBot="1" x14ac:dyDescent="0.3">
      <c r="A295" s="5" t="s">
        <v>18</v>
      </c>
      <c r="B295" s="1248" t="s">
        <v>106</v>
      </c>
      <c r="C295" s="1249"/>
      <c r="D295" s="1249"/>
      <c r="E295" s="1316"/>
    </row>
    <row r="296" spans="1:5" ht="15.75" hidden="1" thickBot="1" x14ac:dyDescent="0.3">
      <c r="A296" s="1250"/>
      <c r="B296" s="8">
        <v>2018</v>
      </c>
      <c r="C296" s="8">
        <v>2019</v>
      </c>
      <c r="D296" s="8">
        <v>2020</v>
      </c>
      <c r="E296" s="8">
        <v>2021</v>
      </c>
    </row>
    <row r="297" spans="1:5" ht="15.75" hidden="1" thickBot="1" x14ac:dyDescent="0.3">
      <c r="A297" s="1251"/>
      <c r="B297" s="9" t="s">
        <v>10</v>
      </c>
      <c r="C297" s="9" t="s">
        <v>11</v>
      </c>
      <c r="D297" s="9" t="s">
        <v>11</v>
      </c>
      <c r="E297" s="9" t="s">
        <v>11</v>
      </c>
    </row>
    <row r="298" spans="1:5" ht="15.75" hidden="1" thickBot="1" x14ac:dyDescent="0.3">
      <c r="A298" s="5" t="s">
        <v>19</v>
      </c>
      <c r="B298" s="10"/>
      <c r="C298" s="10"/>
      <c r="D298" s="10"/>
      <c r="E298" s="10"/>
    </row>
    <row r="299" spans="1:5" ht="15.75" hidden="1" thickBot="1" x14ac:dyDescent="0.3">
      <c r="A299" s="5" t="s">
        <v>20</v>
      </c>
      <c r="B299" s="10"/>
      <c r="C299" s="10"/>
      <c r="D299" s="10"/>
      <c r="E299" s="10"/>
    </row>
    <row r="300" spans="1:5" ht="15.75" hidden="1" thickBot="1" x14ac:dyDescent="0.3">
      <c r="A300" s="5" t="s">
        <v>21</v>
      </c>
      <c r="B300" s="10" t="e">
        <f>B299/B298</f>
        <v>#DIV/0!</v>
      </c>
      <c r="C300" s="10" t="e">
        <f>C299/C298</f>
        <v>#DIV/0!</v>
      </c>
      <c r="D300" s="10" t="e">
        <f>D299/D298</f>
        <v>#DIV/0!</v>
      </c>
      <c r="E300" s="10" t="e">
        <f>E299/E298</f>
        <v>#DIV/0!</v>
      </c>
    </row>
    <row r="301" spans="1:5" ht="15.75" hidden="1" thickBot="1" x14ac:dyDescent="0.3">
      <c r="A301" s="5" t="s">
        <v>22</v>
      </c>
      <c r="B301" s="152"/>
      <c r="C301" s="11" t="e">
        <f t="shared" ref="C301:E303" si="11">C298/B298-1</f>
        <v>#DIV/0!</v>
      </c>
      <c r="D301" s="11" t="e">
        <f t="shared" si="11"/>
        <v>#DIV/0!</v>
      </c>
      <c r="E301" s="11" t="e">
        <f t="shared" si="11"/>
        <v>#DIV/0!</v>
      </c>
    </row>
    <row r="302" spans="1:5" ht="15.75" hidden="1" thickBot="1" x14ac:dyDescent="0.3">
      <c r="A302" s="5" t="s">
        <v>24</v>
      </c>
      <c r="B302" s="152"/>
      <c r="C302" s="11" t="e">
        <f t="shared" si="11"/>
        <v>#DIV/0!</v>
      </c>
      <c r="D302" s="11" t="e">
        <f t="shared" si="11"/>
        <v>#DIV/0!</v>
      </c>
      <c r="E302" s="11" t="e">
        <f t="shared" si="11"/>
        <v>#DIV/0!</v>
      </c>
    </row>
    <row r="303" spans="1:5" ht="23.25" hidden="1" thickBot="1" x14ac:dyDescent="0.3">
      <c r="A303" s="5" t="s">
        <v>25</v>
      </c>
      <c r="B303" s="152"/>
      <c r="C303" s="11" t="e">
        <f t="shared" si="11"/>
        <v>#DIV/0!</v>
      </c>
      <c r="D303" s="11" t="e">
        <f t="shared" si="11"/>
        <v>#DIV/0!</v>
      </c>
      <c r="E303" s="11" t="e">
        <f t="shared" si="11"/>
        <v>#DIV/0!</v>
      </c>
    </row>
    <row r="304" spans="1:5" ht="15.75" hidden="1" thickBot="1" x14ac:dyDescent="0.3">
      <c r="A304" s="1252" t="s">
        <v>635</v>
      </c>
      <c r="B304" s="1253"/>
      <c r="C304" s="1253"/>
      <c r="D304" s="1253"/>
      <c r="E304" s="1300"/>
    </row>
    <row r="305" spans="1:5" ht="15.75" hidden="1" thickBot="1" x14ac:dyDescent="0.3">
      <c r="A305" s="1250"/>
      <c r="B305" s="8">
        <v>2018</v>
      </c>
      <c r="C305" s="8">
        <v>2019</v>
      </c>
      <c r="D305" s="8">
        <v>2020</v>
      </c>
      <c r="E305" s="8">
        <v>2021</v>
      </c>
    </row>
    <row r="306" spans="1:5" ht="15.75" hidden="1" thickBot="1" x14ac:dyDescent="0.3">
      <c r="A306" s="1251"/>
      <c r="B306" s="9" t="s">
        <v>10</v>
      </c>
      <c r="C306" s="9" t="s">
        <v>11</v>
      </c>
      <c r="D306" s="9" t="s">
        <v>11</v>
      </c>
      <c r="E306" s="9" t="s">
        <v>11</v>
      </c>
    </row>
    <row r="307" spans="1:5" ht="15.75" hidden="1" thickBot="1" x14ac:dyDescent="0.3">
      <c r="A307" s="13" t="s">
        <v>26</v>
      </c>
      <c r="B307" s="14"/>
      <c r="C307" s="14"/>
      <c r="D307" s="14"/>
      <c r="E307" s="14"/>
    </row>
    <row r="308" spans="1:5" ht="24.75" hidden="1" thickBot="1" x14ac:dyDescent="0.3">
      <c r="A308" s="13" t="s">
        <v>28</v>
      </c>
      <c r="B308" s="14"/>
      <c r="C308" s="14"/>
      <c r="D308" s="14"/>
      <c r="E308" s="14"/>
    </row>
    <row r="309" spans="1:5" ht="15.75" hidden="1" thickBot="1" x14ac:dyDescent="0.3">
      <c r="A309" s="13" t="s">
        <v>30</v>
      </c>
      <c r="B309" s="15"/>
      <c r="C309" s="14"/>
      <c r="D309" s="14"/>
      <c r="E309" s="14"/>
    </row>
    <row r="310" spans="1:5" ht="15.75" hidden="1" thickBot="1" x14ac:dyDescent="0.3">
      <c r="A310" s="13" t="s">
        <v>32</v>
      </c>
      <c r="B310" s="15"/>
      <c r="C310" s="14"/>
      <c r="D310" s="14"/>
      <c r="E310" s="14"/>
    </row>
    <row r="311" spans="1:5" ht="24.75" hidden="1" thickBot="1" x14ac:dyDescent="0.3">
      <c r="A311" s="13" t="s">
        <v>34</v>
      </c>
      <c r="B311" s="15"/>
      <c r="C311" s="14"/>
      <c r="D311" s="14"/>
      <c r="E311" s="14"/>
    </row>
    <row r="312" spans="1:5" ht="15.75" hidden="1" thickBot="1" x14ac:dyDescent="0.3">
      <c r="A312" s="13" t="s">
        <v>36</v>
      </c>
      <c r="B312" s="15"/>
      <c r="C312" s="14"/>
      <c r="D312" s="14"/>
      <c r="E312" s="14"/>
    </row>
    <row r="313" spans="1:5" ht="24.75" hidden="1" thickBot="1" x14ac:dyDescent="0.3">
      <c r="A313" s="13" t="s">
        <v>38</v>
      </c>
      <c r="B313" s="15"/>
      <c r="C313" s="14"/>
      <c r="D313" s="14"/>
      <c r="E313" s="14"/>
    </row>
    <row r="314" spans="1:5" ht="36.75" hidden="1" thickBot="1" x14ac:dyDescent="0.3">
      <c r="A314" s="137" t="s">
        <v>71</v>
      </c>
      <c r="B314" s="140">
        <f>B313+B311+B312+B310+B309+B308+B307</f>
        <v>0</v>
      </c>
      <c r="C314" s="140">
        <f>C313+C311+C312+C310+C309+C308+C307</f>
        <v>0</v>
      </c>
      <c r="D314" s="140">
        <f>D313+D311+D312+D310+D309+D308+D307</f>
        <v>0</v>
      </c>
      <c r="E314" s="140">
        <f>E313+E311+E312+E310+E309+E308+E307</f>
        <v>0</v>
      </c>
    </row>
    <row r="315" spans="1:5" ht="15.75" hidden="1" thickBot="1" x14ac:dyDescent="0.3">
      <c r="A315" s="17" t="s">
        <v>41</v>
      </c>
      <c r="B315" s="18">
        <f>IF(B314-B299=0,0,"Error")</f>
        <v>0</v>
      </c>
      <c r="C315" s="18">
        <f>IF(C314-C299=0,0,"Error")</f>
        <v>0</v>
      </c>
      <c r="D315" s="18">
        <f>IF(D314-D299=0,0,"Error")</f>
        <v>0</v>
      </c>
      <c r="E315" s="18">
        <f>IF(E314-E299=0,0,"Error")</f>
        <v>0</v>
      </c>
    </row>
    <row r="316" spans="1:5" ht="15" customHeight="1" thickBot="1" x14ac:dyDescent="0.3">
      <c r="A316" s="1275" t="s">
        <v>63</v>
      </c>
      <c r="B316" s="1276"/>
      <c r="C316" s="1276"/>
      <c r="D316" s="1276"/>
      <c r="E316" s="1317"/>
    </row>
    <row r="317" spans="1:5" ht="15.75" thickBot="1" x14ac:dyDescent="0.3">
      <c r="A317" s="1275" t="s">
        <v>56</v>
      </c>
      <c r="B317" s="1276"/>
      <c r="C317" s="1276"/>
      <c r="D317" s="1276"/>
      <c r="E317" s="1317"/>
    </row>
    <row r="318" spans="1:5" ht="19.5" customHeight="1" thickBot="1" x14ac:dyDescent="0.3">
      <c r="A318" s="240" t="s">
        <v>213</v>
      </c>
      <c r="B318" s="1356" t="s">
        <v>141</v>
      </c>
      <c r="C318" s="1357"/>
      <c r="D318" s="1357"/>
      <c r="E318" s="1358"/>
    </row>
    <row r="319" spans="1:5" ht="15.75" thickBot="1" x14ac:dyDescent="0.3">
      <c r="A319" s="7" t="s">
        <v>214</v>
      </c>
      <c r="B319" s="1243" t="s">
        <v>256</v>
      </c>
      <c r="C319" s="1244"/>
      <c r="D319" s="1244"/>
      <c r="E319" s="1315"/>
    </row>
    <row r="320" spans="1:5" ht="15.75" thickBot="1" x14ac:dyDescent="0.3">
      <c r="A320" s="5" t="s">
        <v>17</v>
      </c>
      <c r="B320" s="1245" t="s">
        <v>257</v>
      </c>
      <c r="C320" s="1246"/>
      <c r="D320" s="1246"/>
      <c r="E320" s="1298"/>
    </row>
    <row r="321" spans="1:5" ht="39.75" customHeight="1" thickBot="1" x14ac:dyDescent="0.3">
      <c r="A321" s="5" t="s">
        <v>18</v>
      </c>
      <c r="B321" s="1248" t="s">
        <v>212</v>
      </c>
      <c r="C321" s="1249"/>
      <c r="D321" s="1249"/>
      <c r="E321" s="1316"/>
    </row>
    <row r="322" spans="1:5" ht="40.5" customHeight="1" x14ac:dyDescent="0.25">
      <c r="A322" s="1250"/>
      <c r="B322" s="8">
        <v>2018</v>
      </c>
      <c r="C322" s="8">
        <v>2019</v>
      </c>
      <c r="D322" s="8">
        <v>2020</v>
      </c>
      <c r="E322" s="8">
        <v>2021</v>
      </c>
    </row>
    <row r="323" spans="1:5" ht="28.5" customHeight="1" thickBot="1" x14ac:dyDescent="0.3">
      <c r="A323" s="1251"/>
      <c r="B323" s="9" t="s">
        <v>10</v>
      </c>
      <c r="C323" s="9" t="s">
        <v>11</v>
      </c>
      <c r="D323" s="9" t="s">
        <v>11</v>
      </c>
      <c r="E323" s="9" t="s">
        <v>11</v>
      </c>
    </row>
    <row r="324" spans="1:5" ht="18" customHeight="1" thickBot="1" x14ac:dyDescent="0.3">
      <c r="A324" s="5" t="s">
        <v>19</v>
      </c>
      <c r="B324" s="10">
        <v>36</v>
      </c>
      <c r="C324" s="10">
        <v>35</v>
      </c>
      <c r="D324" s="10">
        <v>31</v>
      </c>
      <c r="E324" s="10">
        <v>36</v>
      </c>
    </row>
    <row r="325" spans="1:5" ht="36" customHeight="1" thickBot="1" x14ac:dyDescent="0.3">
      <c r="A325" s="5" t="s">
        <v>20</v>
      </c>
      <c r="B325" s="10">
        <v>41228</v>
      </c>
      <c r="C325" s="10">
        <v>56280</v>
      </c>
      <c r="D325" s="10">
        <v>25770</v>
      </c>
      <c r="E325" s="10">
        <v>25760</v>
      </c>
    </row>
    <row r="326" spans="1:5" ht="27" customHeight="1" thickBot="1" x14ac:dyDescent="0.3">
      <c r="A326" s="5" t="s">
        <v>21</v>
      </c>
      <c r="B326" s="10">
        <f>B325/B324</f>
        <v>1145.2222222222222</v>
      </c>
      <c r="C326" s="10">
        <f>C325/C324</f>
        <v>1608</v>
      </c>
      <c r="D326" s="10">
        <f>D325/D324</f>
        <v>831.29032258064512</v>
      </c>
      <c r="E326" s="10">
        <f>E325/E324</f>
        <v>715.55555555555554</v>
      </c>
    </row>
    <row r="327" spans="1:5" ht="47.25" customHeight="1" thickBot="1" x14ac:dyDescent="0.3">
      <c r="A327" s="5" t="s">
        <v>22</v>
      </c>
      <c r="B327" s="152" t="s">
        <v>23</v>
      </c>
      <c r="C327" s="11">
        <f t="shared" ref="C327:E329" si="12">C324/B324-1</f>
        <v>-2.777777777777779E-2</v>
      </c>
      <c r="D327" s="11">
        <f t="shared" si="12"/>
        <v>-0.11428571428571432</v>
      </c>
      <c r="E327" s="11">
        <f t="shared" si="12"/>
        <v>0.16129032258064524</v>
      </c>
    </row>
    <row r="328" spans="1:5" ht="15.75" thickBot="1" x14ac:dyDescent="0.3">
      <c r="A328" s="5" t="s">
        <v>24</v>
      </c>
      <c r="B328" s="152" t="s">
        <v>23</v>
      </c>
      <c r="C328" s="11">
        <f t="shared" si="12"/>
        <v>0.36509168526244307</v>
      </c>
      <c r="D328" s="11">
        <f t="shared" si="12"/>
        <v>-0.54211087420042636</v>
      </c>
      <c r="E328" s="11">
        <f t="shared" si="12"/>
        <v>-3.8804811796666616E-4</v>
      </c>
    </row>
    <row r="329" spans="1:5" ht="23.25" thickBot="1" x14ac:dyDescent="0.3">
      <c r="A329" s="5" t="s">
        <v>25</v>
      </c>
      <c r="B329" s="152" t="s">
        <v>23</v>
      </c>
      <c r="C329" s="11">
        <f t="shared" si="12"/>
        <v>0.4040943048413701</v>
      </c>
      <c r="D329" s="11">
        <f t="shared" si="12"/>
        <v>-0.48302840635532018</v>
      </c>
      <c r="E329" s="11">
        <f t="shared" si="12"/>
        <v>-0.13922304143491571</v>
      </c>
    </row>
    <row r="330" spans="1:5" ht="15.75" thickBot="1" x14ac:dyDescent="0.3">
      <c r="A330" s="1252" t="s">
        <v>633</v>
      </c>
      <c r="B330" s="1253"/>
      <c r="C330" s="1253"/>
      <c r="D330" s="1253"/>
      <c r="E330" s="1300"/>
    </row>
    <row r="331" spans="1:5" x14ac:dyDescent="0.25">
      <c r="A331" s="1250"/>
      <c r="B331" s="8">
        <v>2018</v>
      </c>
      <c r="C331" s="8">
        <v>2019</v>
      </c>
      <c r="D331" s="8">
        <v>2020</v>
      </c>
      <c r="E331" s="8">
        <v>2021</v>
      </c>
    </row>
    <row r="332" spans="1:5" ht="15.75" thickBot="1" x14ac:dyDescent="0.3">
      <c r="A332" s="1251"/>
      <c r="B332" s="9" t="s">
        <v>10</v>
      </c>
      <c r="C332" s="9" t="s">
        <v>11</v>
      </c>
      <c r="D332" s="9" t="s">
        <v>11</v>
      </c>
      <c r="E332" s="9" t="s">
        <v>11</v>
      </c>
    </row>
    <row r="333" spans="1:5" ht="15.75" thickBot="1" x14ac:dyDescent="0.3">
      <c r="A333" s="13" t="s">
        <v>58</v>
      </c>
      <c r="B333" s="14"/>
      <c r="C333" s="14"/>
      <c r="D333" s="14"/>
      <c r="E333" s="14"/>
    </row>
    <row r="334" spans="1:5" ht="15.75" thickBot="1" x14ac:dyDescent="0.3">
      <c r="A334" s="13" t="s">
        <v>59</v>
      </c>
      <c r="B334" s="15">
        <f>B325</f>
        <v>41228</v>
      </c>
      <c r="C334" s="15">
        <f>C325</f>
        <v>56280</v>
      </c>
      <c r="D334" s="15">
        <f>D325</f>
        <v>25770</v>
      </c>
      <c r="E334" s="15">
        <f>E325</f>
        <v>25760</v>
      </c>
    </row>
    <row r="335" spans="1:5" ht="15.75" thickBot="1" x14ac:dyDescent="0.3">
      <c r="A335" s="16" t="s">
        <v>40</v>
      </c>
      <c r="B335" s="15">
        <f>B334+B333</f>
        <v>41228</v>
      </c>
      <c r="C335" s="15">
        <f>C334+C333</f>
        <v>56280</v>
      </c>
      <c r="D335" s="15">
        <f>D334+D333</f>
        <v>25770</v>
      </c>
      <c r="E335" s="15">
        <f>E334+E333</f>
        <v>25760</v>
      </c>
    </row>
    <row r="336" spans="1:5" ht="15.75" hidden="1" thickBot="1" x14ac:dyDescent="0.3">
      <c r="A336" s="20" t="s">
        <v>61</v>
      </c>
      <c r="B336" s="1241" t="s">
        <v>124</v>
      </c>
      <c r="C336" s="1242"/>
      <c r="D336" s="1242"/>
      <c r="E336" s="1318"/>
    </row>
    <row r="337" spans="1:5" ht="23.25" hidden="1" thickBot="1" x14ac:dyDescent="0.3">
      <c r="A337" s="7" t="s">
        <v>123</v>
      </c>
      <c r="B337" s="1243" t="s">
        <v>106</v>
      </c>
      <c r="C337" s="1244"/>
      <c r="D337" s="1244"/>
      <c r="E337" s="1315"/>
    </row>
    <row r="338" spans="1:5" ht="15.75" hidden="1" thickBot="1" x14ac:dyDescent="0.3">
      <c r="A338" s="5" t="s">
        <v>17</v>
      </c>
      <c r="B338" s="1245" t="s">
        <v>106</v>
      </c>
      <c r="C338" s="1246"/>
      <c r="D338" s="1246"/>
      <c r="E338" s="1298"/>
    </row>
    <row r="339" spans="1:5" ht="15.75" hidden="1" thickBot="1" x14ac:dyDescent="0.3">
      <c r="A339" s="5" t="s">
        <v>18</v>
      </c>
      <c r="B339" s="1248" t="s">
        <v>106</v>
      </c>
      <c r="C339" s="1249"/>
      <c r="D339" s="1249"/>
      <c r="E339" s="1316"/>
    </row>
    <row r="340" spans="1:5" hidden="1" x14ac:dyDescent="0.25">
      <c r="A340" s="1250"/>
      <c r="B340" s="8">
        <v>2018</v>
      </c>
      <c r="C340" s="8">
        <v>2019</v>
      </c>
      <c r="D340" s="8">
        <v>2020</v>
      </c>
      <c r="E340" s="8">
        <v>2021</v>
      </c>
    </row>
    <row r="341" spans="1:5" ht="15.75" hidden="1" thickBot="1" x14ac:dyDescent="0.3">
      <c r="A341" s="1251"/>
      <c r="B341" s="9" t="s">
        <v>10</v>
      </c>
      <c r="C341" s="9" t="s">
        <v>11</v>
      </c>
      <c r="D341" s="9" t="s">
        <v>11</v>
      </c>
      <c r="E341" s="9" t="s">
        <v>11</v>
      </c>
    </row>
    <row r="342" spans="1:5" ht="15.75" hidden="1" thickBot="1" x14ac:dyDescent="0.3">
      <c r="A342" s="5" t="s">
        <v>19</v>
      </c>
      <c r="B342" s="10"/>
      <c r="C342" s="10"/>
      <c r="D342" s="10"/>
      <c r="E342" s="10"/>
    </row>
    <row r="343" spans="1:5" ht="15.75" hidden="1" thickBot="1" x14ac:dyDescent="0.3">
      <c r="A343" s="5" t="s">
        <v>20</v>
      </c>
      <c r="B343" s="10"/>
      <c r="C343" s="10"/>
      <c r="D343" s="10"/>
      <c r="E343" s="10"/>
    </row>
    <row r="344" spans="1:5" ht="15.75" hidden="1" thickBot="1" x14ac:dyDescent="0.3">
      <c r="A344" s="5" t="s">
        <v>21</v>
      </c>
      <c r="B344" s="10" t="e">
        <f>B343/B342</f>
        <v>#DIV/0!</v>
      </c>
      <c r="C344" s="10" t="e">
        <f>C343/C342</f>
        <v>#DIV/0!</v>
      </c>
      <c r="D344" s="10" t="e">
        <f>D343/D342</f>
        <v>#DIV/0!</v>
      </c>
      <c r="E344" s="10" t="e">
        <f>E343/E342</f>
        <v>#DIV/0!</v>
      </c>
    </row>
    <row r="345" spans="1:5" ht="15.75" hidden="1" thickBot="1" x14ac:dyDescent="0.3">
      <c r="A345" s="5" t="s">
        <v>22</v>
      </c>
      <c r="B345" s="152" t="s">
        <v>23</v>
      </c>
      <c r="C345" s="11" t="e">
        <f t="shared" ref="C345:E347" si="13">C342/B342-1</f>
        <v>#DIV/0!</v>
      </c>
      <c r="D345" s="11" t="e">
        <f t="shared" si="13"/>
        <v>#DIV/0!</v>
      </c>
      <c r="E345" s="11" t="e">
        <f t="shared" si="13"/>
        <v>#DIV/0!</v>
      </c>
    </row>
    <row r="346" spans="1:5" ht="15.75" hidden="1" thickBot="1" x14ac:dyDescent="0.3">
      <c r="A346" s="5" t="s">
        <v>24</v>
      </c>
      <c r="B346" s="152" t="s">
        <v>23</v>
      </c>
      <c r="C346" s="11" t="e">
        <f t="shared" si="13"/>
        <v>#DIV/0!</v>
      </c>
      <c r="D346" s="11" t="e">
        <f t="shared" si="13"/>
        <v>#DIV/0!</v>
      </c>
      <c r="E346" s="11" t="e">
        <f t="shared" si="13"/>
        <v>#DIV/0!</v>
      </c>
    </row>
    <row r="347" spans="1:5" ht="23.25" hidden="1" thickBot="1" x14ac:dyDescent="0.3">
      <c r="A347" s="5" t="s">
        <v>25</v>
      </c>
      <c r="B347" s="152" t="s">
        <v>23</v>
      </c>
      <c r="C347" s="11" t="e">
        <f t="shared" si="13"/>
        <v>#DIV/0!</v>
      </c>
      <c r="D347" s="11" t="e">
        <f t="shared" si="13"/>
        <v>#DIV/0!</v>
      </c>
      <c r="E347" s="11" t="e">
        <f t="shared" si="13"/>
        <v>#DIV/0!</v>
      </c>
    </row>
    <row r="348" spans="1:5" ht="15.75" hidden="1" thickBot="1" x14ac:dyDescent="0.3">
      <c r="A348" s="1252" t="s">
        <v>635</v>
      </c>
      <c r="B348" s="1253"/>
      <c r="C348" s="1253"/>
      <c r="D348" s="1253"/>
      <c r="E348" s="1300"/>
    </row>
    <row r="349" spans="1:5" hidden="1" x14ac:dyDescent="0.25">
      <c r="A349" s="1250"/>
      <c r="B349" s="8">
        <v>2018</v>
      </c>
      <c r="C349" s="8">
        <v>2019</v>
      </c>
      <c r="D349" s="8">
        <v>2020</v>
      </c>
      <c r="E349" s="8">
        <v>2021</v>
      </c>
    </row>
    <row r="350" spans="1:5" ht="15.75" hidden="1" thickBot="1" x14ac:dyDescent="0.3">
      <c r="A350" s="1251"/>
      <c r="B350" s="9" t="s">
        <v>10</v>
      </c>
      <c r="C350" s="9" t="s">
        <v>11</v>
      </c>
      <c r="D350" s="9" t="s">
        <v>11</v>
      </c>
      <c r="E350" s="9" t="s">
        <v>11</v>
      </c>
    </row>
    <row r="351" spans="1:5" ht="15.75" hidden="1" thickBot="1" x14ac:dyDescent="0.3">
      <c r="A351" s="13" t="s">
        <v>58</v>
      </c>
      <c r="B351" s="14"/>
      <c r="C351" s="14"/>
      <c r="D351" s="14"/>
      <c r="E351" s="14"/>
    </row>
    <row r="352" spans="1:5" ht="15.75" hidden="1" thickBot="1" x14ac:dyDescent="0.3">
      <c r="A352" s="13" t="s">
        <v>59</v>
      </c>
      <c r="B352" s="15"/>
      <c r="C352" s="14"/>
      <c r="D352" s="14"/>
      <c r="E352" s="14"/>
    </row>
    <row r="353" spans="1:5" ht="24.75" hidden="1" thickBot="1" x14ac:dyDescent="0.3">
      <c r="A353" s="16" t="s">
        <v>74</v>
      </c>
      <c r="B353" s="15">
        <f>B352+B351</f>
        <v>0</v>
      </c>
      <c r="C353" s="15">
        <f>C352+C351</f>
        <v>0</v>
      </c>
      <c r="D353" s="15">
        <f>D352+D351</f>
        <v>0</v>
      </c>
      <c r="E353" s="15">
        <f>E352+E351</f>
        <v>0</v>
      </c>
    </row>
    <row r="354" spans="1:5" ht="15.75" hidden="1" thickBot="1" x14ac:dyDescent="0.3">
      <c r="A354" s="1275" t="s">
        <v>63</v>
      </c>
      <c r="B354" s="1276"/>
      <c r="C354" s="1276"/>
      <c r="D354" s="1276"/>
      <c r="E354" s="1317"/>
    </row>
    <row r="355" spans="1:5" ht="15.75" hidden="1" thickBot="1" x14ac:dyDescent="0.3">
      <c r="A355" s="1275" t="s">
        <v>64</v>
      </c>
      <c r="B355" s="1276"/>
      <c r="C355" s="1276"/>
      <c r="D355" s="1276"/>
      <c r="E355" s="1317"/>
    </row>
    <row r="356" spans="1:5" ht="15.75" hidden="1" thickBot="1" x14ac:dyDescent="0.3">
      <c r="A356" s="20" t="s">
        <v>61</v>
      </c>
      <c r="B356" s="1241" t="s">
        <v>124</v>
      </c>
      <c r="C356" s="1242"/>
      <c r="D356" s="1242"/>
      <c r="E356" s="1318"/>
    </row>
    <row r="357" spans="1:5" ht="15.75" hidden="1" thickBot="1" x14ac:dyDescent="0.3">
      <c r="A357" s="7" t="s">
        <v>16</v>
      </c>
      <c r="B357" s="1243" t="s">
        <v>106</v>
      </c>
      <c r="C357" s="1244"/>
      <c r="D357" s="1244"/>
      <c r="E357" s="1315"/>
    </row>
    <row r="358" spans="1:5" ht="15.75" hidden="1" thickBot="1" x14ac:dyDescent="0.3">
      <c r="A358" s="5" t="s">
        <v>17</v>
      </c>
      <c r="B358" s="1245" t="s">
        <v>106</v>
      </c>
      <c r="C358" s="1246"/>
      <c r="D358" s="1246"/>
      <c r="E358" s="1298"/>
    </row>
    <row r="359" spans="1:5" ht="15.75" hidden="1" thickBot="1" x14ac:dyDescent="0.3">
      <c r="A359" s="5" t="s">
        <v>18</v>
      </c>
      <c r="B359" s="1248" t="s">
        <v>106</v>
      </c>
      <c r="C359" s="1249"/>
      <c r="D359" s="1249"/>
      <c r="E359" s="1316"/>
    </row>
    <row r="360" spans="1:5" hidden="1" x14ac:dyDescent="0.25">
      <c r="A360" s="1250"/>
      <c r="B360" s="8">
        <v>2018</v>
      </c>
      <c r="C360" s="8">
        <v>2019</v>
      </c>
      <c r="D360" s="8">
        <v>2020</v>
      </c>
      <c r="E360" s="8">
        <v>2021</v>
      </c>
    </row>
    <row r="361" spans="1:5" ht="15.75" hidden="1" thickBot="1" x14ac:dyDescent="0.3">
      <c r="A361" s="1251"/>
      <c r="B361" s="9" t="s">
        <v>10</v>
      </c>
      <c r="C361" s="9" t="s">
        <v>11</v>
      </c>
      <c r="D361" s="9" t="s">
        <v>11</v>
      </c>
      <c r="E361" s="9" t="s">
        <v>11</v>
      </c>
    </row>
    <row r="362" spans="1:5" ht="15.75" hidden="1" thickBot="1" x14ac:dyDescent="0.3">
      <c r="A362" s="5" t="s">
        <v>19</v>
      </c>
      <c r="B362" s="10"/>
      <c r="C362" s="10"/>
      <c r="D362" s="10"/>
      <c r="E362" s="10"/>
    </row>
    <row r="363" spans="1:5" ht="15.75" hidden="1" thickBot="1" x14ac:dyDescent="0.3">
      <c r="A363" s="5" t="s">
        <v>20</v>
      </c>
      <c r="B363" s="10"/>
      <c r="C363" s="10"/>
      <c r="D363" s="10"/>
      <c r="E363" s="10"/>
    </row>
    <row r="364" spans="1:5" ht="15.75" hidden="1" thickBot="1" x14ac:dyDescent="0.3">
      <c r="A364" s="5" t="s">
        <v>21</v>
      </c>
      <c r="B364" s="10" t="e">
        <f>B363/B362</f>
        <v>#DIV/0!</v>
      </c>
      <c r="C364" s="10" t="e">
        <f>C363/C362</f>
        <v>#DIV/0!</v>
      </c>
      <c r="D364" s="10" t="e">
        <f>D363/D362</f>
        <v>#DIV/0!</v>
      </c>
      <c r="E364" s="10" t="e">
        <f>E363/E362</f>
        <v>#DIV/0!</v>
      </c>
    </row>
    <row r="365" spans="1:5" ht="15.75" hidden="1" thickBot="1" x14ac:dyDescent="0.3">
      <c r="A365" s="5" t="s">
        <v>22</v>
      </c>
      <c r="B365" s="152" t="s">
        <v>23</v>
      </c>
      <c r="C365" s="11" t="e">
        <f t="shared" ref="C365:E367" si="14">C362/B362-1</f>
        <v>#DIV/0!</v>
      </c>
      <c r="D365" s="11" t="e">
        <f t="shared" si="14"/>
        <v>#DIV/0!</v>
      </c>
      <c r="E365" s="11" t="e">
        <f t="shared" si="14"/>
        <v>#DIV/0!</v>
      </c>
    </row>
    <row r="366" spans="1:5" ht="15.75" hidden="1" thickBot="1" x14ac:dyDescent="0.3">
      <c r="A366" s="5" t="s">
        <v>24</v>
      </c>
      <c r="B366" s="152" t="s">
        <v>23</v>
      </c>
      <c r="C366" s="11" t="e">
        <f t="shared" si="14"/>
        <v>#DIV/0!</v>
      </c>
      <c r="D366" s="11" t="e">
        <f t="shared" si="14"/>
        <v>#DIV/0!</v>
      </c>
      <c r="E366" s="11" t="e">
        <f t="shared" si="14"/>
        <v>#DIV/0!</v>
      </c>
    </row>
    <row r="367" spans="1:5" ht="23.25" hidden="1" thickBot="1" x14ac:dyDescent="0.3">
      <c r="A367" s="5" t="s">
        <v>25</v>
      </c>
      <c r="B367" s="152" t="s">
        <v>23</v>
      </c>
      <c r="C367" s="11" t="e">
        <f t="shared" si="14"/>
        <v>#DIV/0!</v>
      </c>
      <c r="D367" s="11" t="e">
        <f t="shared" si="14"/>
        <v>#DIV/0!</v>
      </c>
      <c r="E367" s="11" t="e">
        <f t="shared" si="14"/>
        <v>#DIV/0!</v>
      </c>
    </row>
    <row r="368" spans="1:5" ht="15.75" hidden="1" thickBot="1" x14ac:dyDescent="0.3">
      <c r="A368" s="1252" t="s">
        <v>633</v>
      </c>
      <c r="B368" s="1253"/>
      <c r="C368" s="1253"/>
      <c r="D368" s="1253"/>
      <c r="E368" s="1300"/>
    </row>
    <row r="369" spans="1:5" hidden="1" x14ac:dyDescent="0.25">
      <c r="A369" s="1250"/>
      <c r="B369" s="8">
        <v>2018</v>
      </c>
      <c r="C369" s="8">
        <v>2019</v>
      </c>
      <c r="D369" s="8">
        <v>2020</v>
      </c>
      <c r="E369" s="8">
        <v>2021</v>
      </c>
    </row>
    <row r="370" spans="1:5" ht="15.75" hidden="1" thickBot="1" x14ac:dyDescent="0.3">
      <c r="A370" s="1251"/>
      <c r="B370" s="9" t="s">
        <v>10</v>
      </c>
      <c r="C370" s="9" t="s">
        <v>11</v>
      </c>
      <c r="D370" s="9" t="s">
        <v>11</v>
      </c>
      <c r="E370" s="9" t="s">
        <v>11</v>
      </c>
    </row>
    <row r="371" spans="1:5" ht="15.75" hidden="1" thickBot="1" x14ac:dyDescent="0.3">
      <c r="A371" s="13" t="s">
        <v>58</v>
      </c>
      <c r="B371" s="14"/>
      <c r="C371" s="14"/>
      <c r="D371" s="14"/>
      <c r="E371" s="14"/>
    </row>
    <row r="372" spans="1:5" ht="15.75" hidden="1" thickBot="1" x14ac:dyDescent="0.3">
      <c r="A372" s="13" t="s">
        <v>59</v>
      </c>
      <c r="B372" s="15"/>
      <c r="C372" s="14"/>
      <c r="D372" s="14"/>
      <c r="E372" s="14"/>
    </row>
    <row r="373" spans="1:5" ht="15.75" hidden="1" thickBot="1" x14ac:dyDescent="0.3">
      <c r="A373" s="16" t="s">
        <v>40</v>
      </c>
      <c r="B373" s="15">
        <f>B372+B371</f>
        <v>0</v>
      </c>
      <c r="C373" s="15">
        <f>C372+C371</f>
        <v>0</v>
      </c>
      <c r="D373" s="15">
        <f>D372+D371</f>
        <v>0</v>
      </c>
      <c r="E373" s="15">
        <f>E372+E371</f>
        <v>0</v>
      </c>
    </row>
    <row r="374" spans="1:5" ht="15.75" hidden="1" thickBot="1" x14ac:dyDescent="0.3">
      <c r="A374" s="20" t="s">
        <v>61</v>
      </c>
      <c r="B374" s="1241" t="s">
        <v>124</v>
      </c>
      <c r="C374" s="1242"/>
      <c r="D374" s="1242"/>
      <c r="E374" s="1318"/>
    </row>
    <row r="375" spans="1:5" ht="23.25" hidden="1" thickBot="1" x14ac:dyDescent="0.3">
      <c r="A375" s="7" t="s">
        <v>123</v>
      </c>
      <c r="B375" s="1243" t="s">
        <v>106</v>
      </c>
      <c r="C375" s="1244"/>
      <c r="D375" s="1244"/>
      <c r="E375" s="1315"/>
    </row>
    <row r="376" spans="1:5" ht="15.75" hidden="1" thickBot="1" x14ac:dyDescent="0.3">
      <c r="A376" s="5" t="s">
        <v>17</v>
      </c>
      <c r="B376" s="1245" t="s">
        <v>106</v>
      </c>
      <c r="C376" s="1246"/>
      <c r="D376" s="1246"/>
      <c r="E376" s="1298"/>
    </row>
    <row r="377" spans="1:5" ht="15.75" hidden="1" thickBot="1" x14ac:dyDescent="0.3">
      <c r="A377" s="5" t="s">
        <v>18</v>
      </c>
      <c r="B377" s="1248" t="s">
        <v>106</v>
      </c>
      <c r="C377" s="1249"/>
      <c r="D377" s="1249"/>
      <c r="E377" s="1316"/>
    </row>
    <row r="378" spans="1:5" hidden="1" x14ac:dyDescent="0.25">
      <c r="A378" s="1250"/>
      <c r="B378" s="8">
        <v>2018</v>
      </c>
      <c r="C378" s="8">
        <v>2019</v>
      </c>
      <c r="D378" s="8">
        <v>2020</v>
      </c>
      <c r="E378" s="8">
        <v>2021</v>
      </c>
    </row>
    <row r="379" spans="1:5" ht="15.75" hidden="1" thickBot="1" x14ac:dyDescent="0.3">
      <c r="A379" s="1251"/>
      <c r="B379" s="9" t="s">
        <v>10</v>
      </c>
      <c r="C379" s="9" t="s">
        <v>11</v>
      </c>
      <c r="D379" s="9" t="s">
        <v>11</v>
      </c>
      <c r="E379" s="9" t="s">
        <v>11</v>
      </c>
    </row>
    <row r="380" spans="1:5" ht="15.75" hidden="1" thickBot="1" x14ac:dyDescent="0.3">
      <c r="A380" s="5" t="s">
        <v>19</v>
      </c>
      <c r="B380" s="10"/>
      <c r="C380" s="10"/>
      <c r="D380" s="10"/>
      <c r="E380" s="10"/>
    </row>
    <row r="381" spans="1:5" ht="15.75" hidden="1" thickBot="1" x14ac:dyDescent="0.3">
      <c r="A381" s="5" t="s">
        <v>20</v>
      </c>
      <c r="B381" s="10"/>
      <c r="C381" s="10"/>
      <c r="D381" s="10"/>
      <c r="E381" s="10"/>
    </row>
    <row r="382" spans="1:5" ht="15.75" hidden="1" thickBot="1" x14ac:dyDescent="0.3">
      <c r="A382" s="5" t="s">
        <v>21</v>
      </c>
      <c r="B382" s="10" t="e">
        <f>B381/B380</f>
        <v>#DIV/0!</v>
      </c>
      <c r="C382" s="10" t="e">
        <f>C381/C380</f>
        <v>#DIV/0!</v>
      </c>
      <c r="D382" s="10" t="e">
        <f>D381/D380</f>
        <v>#DIV/0!</v>
      </c>
      <c r="E382" s="10" t="e">
        <f>E381/E380</f>
        <v>#DIV/0!</v>
      </c>
    </row>
    <row r="383" spans="1:5" ht="15.75" hidden="1" thickBot="1" x14ac:dyDescent="0.3">
      <c r="A383" s="5" t="s">
        <v>22</v>
      </c>
      <c r="B383" s="152" t="s">
        <v>23</v>
      </c>
      <c r="C383" s="11" t="e">
        <f t="shared" ref="C383:E385" si="15">C380/B380-1</f>
        <v>#DIV/0!</v>
      </c>
      <c r="D383" s="11" t="e">
        <f t="shared" si="15"/>
        <v>#DIV/0!</v>
      </c>
      <c r="E383" s="11" t="e">
        <f t="shared" si="15"/>
        <v>#DIV/0!</v>
      </c>
    </row>
    <row r="384" spans="1:5" ht="15.75" hidden="1" thickBot="1" x14ac:dyDescent="0.3">
      <c r="A384" s="5" t="s">
        <v>24</v>
      </c>
      <c r="B384" s="152" t="s">
        <v>23</v>
      </c>
      <c r="C384" s="11" t="e">
        <f t="shared" si="15"/>
        <v>#DIV/0!</v>
      </c>
      <c r="D384" s="11" t="e">
        <f t="shared" si="15"/>
        <v>#DIV/0!</v>
      </c>
      <c r="E384" s="11" t="e">
        <f t="shared" si="15"/>
        <v>#DIV/0!</v>
      </c>
    </row>
    <row r="385" spans="1:7" ht="23.25" hidden="1" thickBot="1" x14ac:dyDescent="0.3">
      <c r="A385" s="5" t="s">
        <v>25</v>
      </c>
      <c r="B385" s="152" t="s">
        <v>23</v>
      </c>
      <c r="C385" s="11" t="e">
        <f t="shared" si="15"/>
        <v>#DIV/0!</v>
      </c>
      <c r="D385" s="11" t="e">
        <f t="shared" si="15"/>
        <v>#DIV/0!</v>
      </c>
      <c r="E385" s="11" t="e">
        <f t="shared" si="15"/>
        <v>#DIV/0!</v>
      </c>
    </row>
    <row r="386" spans="1:7" ht="15.75" hidden="1" thickBot="1" x14ac:dyDescent="0.3">
      <c r="A386" s="1252" t="s">
        <v>635</v>
      </c>
      <c r="B386" s="1253"/>
      <c r="C386" s="1253"/>
      <c r="D386" s="1253"/>
      <c r="E386" s="1300"/>
    </row>
    <row r="387" spans="1:7" hidden="1" x14ac:dyDescent="0.25">
      <c r="A387" s="1250"/>
      <c r="B387" s="8">
        <v>2018</v>
      </c>
      <c r="C387" s="8">
        <v>2019</v>
      </c>
      <c r="D387" s="8">
        <v>2020</v>
      </c>
      <c r="E387" s="8">
        <v>2021</v>
      </c>
    </row>
    <row r="388" spans="1:7" ht="15.75" hidden="1" thickBot="1" x14ac:dyDescent="0.3">
      <c r="A388" s="1251"/>
      <c r="B388" s="9" t="s">
        <v>10</v>
      </c>
      <c r="C388" s="9" t="s">
        <v>11</v>
      </c>
      <c r="D388" s="9" t="s">
        <v>11</v>
      </c>
      <c r="E388" s="9" t="s">
        <v>11</v>
      </c>
    </row>
    <row r="389" spans="1:7" ht="15.75" hidden="1" thickBot="1" x14ac:dyDescent="0.3">
      <c r="A389" s="13" t="s">
        <v>58</v>
      </c>
      <c r="B389" s="14"/>
      <c r="C389" s="14"/>
      <c r="D389" s="14"/>
      <c r="E389" s="14"/>
    </row>
    <row r="390" spans="1:7" ht="15.75" hidden="1" thickBot="1" x14ac:dyDescent="0.3">
      <c r="A390" s="13" t="s">
        <v>59</v>
      </c>
      <c r="B390" s="15"/>
      <c r="C390" s="14"/>
      <c r="D390" s="14"/>
      <c r="E390" s="14"/>
    </row>
    <row r="391" spans="1:7" ht="24.75" hidden="1" thickBot="1" x14ac:dyDescent="0.3">
      <c r="A391" s="16" t="s">
        <v>74</v>
      </c>
      <c r="B391" s="15">
        <f>B390+B389</f>
        <v>0</v>
      </c>
      <c r="C391" s="15">
        <f>C390+C389</f>
        <v>0</v>
      </c>
      <c r="D391" s="15">
        <f>D390+D389</f>
        <v>0</v>
      </c>
      <c r="E391" s="15">
        <f>E390+E389</f>
        <v>0</v>
      </c>
    </row>
    <row r="392" spans="1:7" ht="15.75" thickBot="1" x14ac:dyDescent="0.3">
      <c r="A392" s="239"/>
      <c r="B392" s="23"/>
      <c r="C392" s="23"/>
      <c r="D392" s="23"/>
      <c r="E392" s="23"/>
    </row>
    <row r="393" spans="1:7" ht="36.75" thickBot="1" x14ac:dyDescent="0.3">
      <c r="A393" s="6" t="s">
        <v>82</v>
      </c>
      <c r="B393" s="238">
        <f>B381+B363+B343+B325+B299+B274+B248+B230+B207+B189+B168+B147+B126+B108+B87+B61+B38</f>
        <v>2211000</v>
      </c>
      <c r="C393" s="238">
        <f>C381+C363+C343+C325+C299+C274+C248+C230+C207+C189+C168+C147+C126+C108+C87+C61+C38</f>
        <v>2267380</v>
      </c>
      <c r="D393" s="238">
        <f>D381+D363+D343+D325+D299+D274+D248+D230+D207+D189+D168+D147+D126+D108+D87+D61+D38</f>
        <v>2307250</v>
      </c>
      <c r="E393" s="238">
        <f>E381+E363+E343+E325+E299+E274+E248+E230+E207+E189+E168+E147+E126+E108+E87+E61+E38</f>
        <v>2307250</v>
      </c>
      <c r="F393" s="70"/>
      <c r="G393" s="70"/>
    </row>
    <row r="394" spans="1:7" ht="36.75" thickBot="1" x14ac:dyDescent="0.3">
      <c r="A394" s="6" t="s">
        <v>83</v>
      </c>
      <c r="B394" s="238">
        <f>B396+B398+B400+B402+B404+B406+B408+B410+B412</f>
        <v>2211000</v>
      </c>
      <c r="C394" s="238">
        <f>C396+C398+C400+C402+C404+C406+C408+C410+C412</f>
        <v>2267380</v>
      </c>
      <c r="D394" s="238">
        <f>D396+D398+D400+D402+D404+D406+D408+D410+D412</f>
        <v>2307250</v>
      </c>
      <c r="E394" s="238">
        <f>E396+E398+E400+E402+E404+E406+E408+E410+E412</f>
        <v>2307250</v>
      </c>
    </row>
    <row r="395" spans="1:7" ht="36.75" thickBot="1" x14ac:dyDescent="0.3">
      <c r="A395" s="25" t="s">
        <v>84</v>
      </c>
      <c r="B395" s="26"/>
      <c r="C395" s="27">
        <f>C394/B394-1</f>
        <v>2.5499773857982744E-2</v>
      </c>
      <c r="D395" s="27">
        <f>D394/C394-1</f>
        <v>1.7584172039975643E-2</v>
      </c>
      <c r="E395" s="27">
        <f>E394/D394-1</f>
        <v>0</v>
      </c>
    </row>
    <row r="396" spans="1:7" s="235" customFormat="1" ht="15.75" thickBot="1" x14ac:dyDescent="0.3">
      <c r="A396" s="237" t="s">
        <v>26</v>
      </c>
      <c r="B396" s="60">
        <f>B307+B284+B69+B46</f>
        <v>1371000</v>
      </c>
      <c r="C396" s="60">
        <f>C307+C284+C69+C46</f>
        <v>1500000</v>
      </c>
      <c r="D396" s="60">
        <f>D307+D284+D69+D46</f>
        <v>1500000</v>
      </c>
      <c r="E396" s="60">
        <f>E307+E284+E69+E46</f>
        <v>1500000</v>
      </c>
      <c r="F396" s="236"/>
      <c r="G396" s="236"/>
    </row>
    <row r="397" spans="1:7" ht="15.75" thickBot="1" x14ac:dyDescent="0.3">
      <c r="A397" s="28" t="s">
        <v>85</v>
      </c>
      <c r="B397" s="191"/>
      <c r="C397" s="234">
        <f>C396/B396-1</f>
        <v>9.4091903719912384E-2</v>
      </c>
      <c r="D397" s="234">
        <f>D396/C396-1</f>
        <v>0</v>
      </c>
      <c r="E397" s="234">
        <f>E396/D396-1</f>
        <v>0</v>
      </c>
    </row>
    <row r="398" spans="1:7" ht="24.75" thickBot="1" x14ac:dyDescent="0.3">
      <c r="A398" s="13" t="s">
        <v>28</v>
      </c>
      <c r="B398" s="60">
        <f>B308+B285+B70+B47</f>
        <v>265000</v>
      </c>
      <c r="C398" s="60">
        <f>C308+C285+C70+C47</f>
        <v>240000</v>
      </c>
      <c r="D398" s="60">
        <f>D308+D285+D70+D47</f>
        <v>240000</v>
      </c>
      <c r="E398" s="60">
        <f>E308+E285+E70+E47</f>
        <v>240000</v>
      </c>
      <c r="F398" s="12"/>
    </row>
    <row r="399" spans="1:7" ht="24.75" thickBot="1" x14ac:dyDescent="0.3">
      <c r="A399" s="28" t="s">
        <v>86</v>
      </c>
      <c r="B399" s="191"/>
      <c r="C399" s="234">
        <f>C398/B398-1</f>
        <v>-9.4339622641509413E-2</v>
      </c>
      <c r="D399" s="234">
        <f>D398/C398-1</f>
        <v>0</v>
      </c>
      <c r="E399" s="234">
        <f>E398/D398-1</f>
        <v>0</v>
      </c>
    </row>
    <row r="400" spans="1:7" ht="15.75" thickBot="1" x14ac:dyDescent="0.3">
      <c r="A400" s="13" t="s">
        <v>30</v>
      </c>
      <c r="B400" s="60">
        <f>B309+B286+B71+B48</f>
        <v>415000</v>
      </c>
      <c r="C400" s="60">
        <f>C309+C286+C71+C48</f>
        <v>368000</v>
      </c>
      <c r="D400" s="60">
        <f>D309+D286+D71+D48</f>
        <v>368000</v>
      </c>
      <c r="E400" s="60">
        <f>E309+E286+E71+E48</f>
        <v>368000</v>
      </c>
    </row>
    <row r="401" spans="1:6" ht="24.75" thickBot="1" x14ac:dyDescent="0.3">
      <c r="A401" s="28" t="s">
        <v>87</v>
      </c>
      <c r="B401" s="15"/>
      <c r="C401" s="29">
        <f>C400/B400-1</f>
        <v>-0.11325301204819282</v>
      </c>
      <c r="D401" s="29">
        <f>D400/C400-1</f>
        <v>0</v>
      </c>
      <c r="E401" s="29">
        <f>E400/D400-1</f>
        <v>0</v>
      </c>
    </row>
    <row r="402" spans="1:6" ht="15.75" thickBot="1" x14ac:dyDescent="0.3">
      <c r="A402" s="13" t="s">
        <v>32</v>
      </c>
      <c r="B402" s="14">
        <f>B310+B287+B72+B49</f>
        <v>0</v>
      </c>
      <c r="C402" s="14">
        <f>C310+C287+C72+C49</f>
        <v>0</v>
      </c>
      <c r="D402" s="14">
        <f>D310+D287+D72+D49</f>
        <v>0</v>
      </c>
      <c r="E402" s="14">
        <f>E310+E287+E72+E49</f>
        <v>0</v>
      </c>
    </row>
    <row r="403" spans="1:6" ht="24.75" thickBot="1" x14ac:dyDescent="0.3">
      <c r="A403" s="28" t="s">
        <v>88</v>
      </c>
      <c r="B403" s="15"/>
      <c r="C403" s="29" t="e">
        <f>C402/B402-1</f>
        <v>#DIV/0!</v>
      </c>
      <c r="D403" s="29" t="e">
        <f>D402/C402-1</f>
        <v>#DIV/0!</v>
      </c>
      <c r="E403" s="29" t="e">
        <f>E402/D402-1</f>
        <v>#DIV/0!</v>
      </c>
    </row>
    <row r="404" spans="1:6" ht="24.75" thickBot="1" x14ac:dyDescent="0.3">
      <c r="A404" s="13" t="s">
        <v>34</v>
      </c>
      <c r="B404" s="14">
        <f>B311+B288+B73+B50</f>
        <v>0</v>
      </c>
      <c r="C404" s="14">
        <f>C311+C288+C73+C50</f>
        <v>0</v>
      </c>
      <c r="D404" s="14">
        <f>D311+D288+D73+D50</f>
        <v>0</v>
      </c>
      <c r="E404" s="14">
        <f>E311+E288+E73+E50</f>
        <v>0</v>
      </c>
    </row>
    <row r="405" spans="1:6" ht="24.75" thickBot="1" x14ac:dyDescent="0.3">
      <c r="A405" s="28" t="s">
        <v>89</v>
      </c>
      <c r="B405" s="15"/>
      <c r="C405" s="29" t="e">
        <f>C404/B404-1</f>
        <v>#DIV/0!</v>
      </c>
      <c r="D405" s="29" t="e">
        <f>D404/C404-1</f>
        <v>#DIV/0!</v>
      </c>
      <c r="E405" s="29" t="e">
        <f>E404/D404-1</f>
        <v>#DIV/0!</v>
      </c>
    </row>
    <row r="406" spans="1:6" ht="15.75" thickBot="1" x14ac:dyDescent="0.3">
      <c r="A406" s="13" t="s">
        <v>36</v>
      </c>
      <c r="B406" s="14">
        <f>B312+B289+B74+B51</f>
        <v>0</v>
      </c>
      <c r="C406" s="14">
        <f>C312+C289+C74+C51</f>
        <v>0</v>
      </c>
      <c r="D406" s="14">
        <f>D312+D289+D74+D51</f>
        <v>0</v>
      </c>
      <c r="E406" s="14">
        <f>E312+E289+E74+E51</f>
        <v>0</v>
      </c>
    </row>
    <row r="407" spans="1:6" ht="24.75" thickBot="1" x14ac:dyDescent="0.3">
      <c r="A407" s="28" t="s">
        <v>90</v>
      </c>
      <c r="B407" s="15"/>
      <c r="C407" s="29" t="e">
        <f>C406/B406-1</f>
        <v>#DIV/0!</v>
      </c>
      <c r="D407" s="29" t="e">
        <f>D406/C406-1</f>
        <v>#DIV/0!</v>
      </c>
      <c r="E407" s="29" t="e">
        <f>E406/D406-1</f>
        <v>#DIV/0!</v>
      </c>
    </row>
    <row r="408" spans="1:6" ht="24.75" thickBot="1" x14ac:dyDescent="0.3">
      <c r="A408" s="13" t="s">
        <v>38</v>
      </c>
      <c r="B408" s="14">
        <f>B313+B290+B75+B52</f>
        <v>0</v>
      </c>
      <c r="C408" s="14">
        <f>C313+C290+C75+C52</f>
        <v>0</v>
      </c>
      <c r="D408" s="14">
        <f>D313+D290+D75+D52</f>
        <v>0</v>
      </c>
      <c r="E408" s="14">
        <f>E313+E290+E75+E52</f>
        <v>0</v>
      </c>
    </row>
    <row r="409" spans="1:6" ht="24.75" thickBot="1" x14ac:dyDescent="0.3">
      <c r="A409" s="28" t="s">
        <v>91</v>
      </c>
      <c r="B409" s="15"/>
      <c r="C409" s="29" t="e">
        <f>C408/B408-1</f>
        <v>#DIV/0!</v>
      </c>
      <c r="D409" s="29" t="e">
        <f>D408/C408-1</f>
        <v>#DIV/0!</v>
      </c>
      <c r="E409" s="29" t="e">
        <f>E408/D408-1</f>
        <v>#DIV/0!</v>
      </c>
    </row>
    <row r="410" spans="1:6" ht="15.75" thickBot="1" x14ac:dyDescent="0.3">
      <c r="A410" s="13" t="s">
        <v>92</v>
      </c>
      <c r="B410" s="14">
        <f>B95+B116+B134+B155+B176+B197+B215+B238+B256+B333+B351+B371+B389</f>
        <v>0</v>
      </c>
      <c r="C410" s="14">
        <f>C95+C116+C134+C155+C176+C197+C215+C238+C256+C333+C351+C371+C389</f>
        <v>4510</v>
      </c>
      <c r="D410" s="14">
        <f>D95+D116+D134+D155+D176+D197+D215+D238+D256+D333+D351+D371+D389</f>
        <v>0</v>
      </c>
      <c r="E410" s="14">
        <f>E95+E116+E134+E155+E176+E197+E215+E238+E256+E333+E351+E371+E389</f>
        <v>0</v>
      </c>
    </row>
    <row r="411" spans="1:6" ht="24.75" thickBot="1" x14ac:dyDescent="0.3">
      <c r="A411" s="28" t="s">
        <v>93</v>
      </c>
      <c r="B411" s="15"/>
      <c r="C411" s="29" t="e">
        <f>C410/B410-1</f>
        <v>#DIV/0!</v>
      </c>
      <c r="D411" s="29">
        <f>D410/C410-1</f>
        <v>-1</v>
      </c>
      <c r="E411" s="29" t="e">
        <f>E410/D410-1</f>
        <v>#DIV/0!</v>
      </c>
    </row>
    <row r="412" spans="1:6" ht="15.75" thickBot="1" x14ac:dyDescent="0.3">
      <c r="A412" s="13" t="s">
        <v>94</v>
      </c>
      <c r="B412" s="14">
        <f>B96+B117+B135+B156+B177+B198+B216+B239+B257+B334+B352+B372+B390</f>
        <v>160000</v>
      </c>
      <c r="C412" s="14">
        <f>C96+C117+C135+C156+C177+C198+C216+C239+C257+C334+C352+C372+C390</f>
        <v>154870</v>
      </c>
      <c r="D412" s="14">
        <f>D96+D117+D135+D156+D177+D198+D216+D239+D257+D334+D352+D372+D390</f>
        <v>199250</v>
      </c>
      <c r="E412" s="14">
        <f>E96+E117+E135+E156+E177+E198+E216+E239+E257+E334+E352+E372+E390</f>
        <v>199250</v>
      </c>
    </row>
    <row r="413" spans="1:6" ht="24.75" thickBot="1" x14ac:dyDescent="0.3">
      <c r="A413" s="28" t="s">
        <v>95</v>
      </c>
      <c r="B413" s="15"/>
      <c r="C413" s="29">
        <f>C412/B412-1</f>
        <v>-3.2062499999999994E-2</v>
      </c>
      <c r="D413" s="29">
        <f>D412/C412-1</f>
        <v>0.28656292374249381</v>
      </c>
      <c r="E413" s="29">
        <f>E412/D412-1</f>
        <v>0</v>
      </c>
    </row>
    <row r="414" spans="1:6" ht="15.75" thickBot="1" x14ac:dyDescent="0.3">
      <c r="A414" s="17" t="s">
        <v>41</v>
      </c>
      <c r="B414" s="18">
        <f>IF(B394-B393=0,0,"Error")</f>
        <v>0</v>
      </c>
      <c r="C414" s="18">
        <f>IF(C394-C393=0,0,"Error")</f>
        <v>0</v>
      </c>
      <c r="D414" s="18">
        <f>IF(D394-D393=0,0,"Error")</f>
        <v>0</v>
      </c>
      <c r="E414" s="18">
        <f>IF(E394-E393=0,0,"Error")</f>
        <v>0</v>
      </c>
    </row>
    <row r="415" spans="1:6" ht="36.75" thickBot="1" x14ac:dyDescent="0.3">
      <c r="A415" s="30" t="s">
        <v>96</v>
      </c>
      <c r="B415" s="14">
        <v>1348</v>
      </c>
      <c r="C415" s="14">
        <v>1431</v>
      </c>
      <c r="D415" s="14">
        <v>1431</v>
      </c>
      <c r="E415" s="14">
        <v>1431</v>
      </c>
    </row>
    <row r="416" spans="1:6" ht="36.75" thickBot="1" x14ac:dyDescent="0.3">
      <c r="A416" s="30" t="s">
        <v>97</v>
      </c>
      <c r="B416" s="14">
        <v>72</v>
      </c>
      <c r="C416" s="14">
        <v>38</v>
      </c>
      <c r="D416" s="14" t="s">
        <v>23</v>
      </c>
      <c r="E416" s="14" t="s">
        <v>23</v>
      </c>
      <c r="F416" s="233"/>
    </row>
  </sheetData>
  <mergeCells count="158">
    <mergeCell ref="B4:E4"/>
    <mergeCell ref="B5:E5"/>
    <mergeCell ref="B6:E6"/>
    <mergeCell ref="C7:E7"/>
    <mergeCell ref="C8:E8"/>
    <mergeCell ref="C9:E9"/>
    <mergeCell ref="B241:E241"/>
    <mergeCell ref="A221:E221"/>
    <mergeCell ref="A222:E222"/>
    <mergeCell ref="B223:E223"/>
    <mergeCell ref="B224:E224"/>
    <mergeCell ref="B225:E225"/>
    <mergeCell ref="B226:E226"/>
    <mergeCell ref="B202:E202"/>
    <mergeCell ref="B203:E203"/>
    <mergeCell ref="A204:A205"/>
    <mergeCell ref="A212:E212"/>
    <mergeCell ref="A213:A214"/>
    <mergeCell ref="A218:A220"/>
    <mergeCell ref="B218:E220"/>
    <mergeCell ref="B119:E119"/>
    <mergeCell ref="B120:E120"/>
    <mergeCell ref="B121:E121"/>
    <mergeCell ref="B122:E122"/>
    <mergeCell ref="A123:A124"/>
    <mergeCell ref="A131:E131"/>
    <mergeCell ref="A227:A228"/>
    <mergeCell ref="A235:E235"/>
    <mergeCell ref="A236:A237"/>
    <mergeCell ref="B143:E143"/>
    <mergeCell ref="A144:A145"/>
    <mergeCell ref="A152:E152"/>
    <mergeCell ref="A153:A154"/>
    <mergeCell ref="A158:A160"/>
    <mergeCell ref="B182:E182"/>
    <mergeCell ref="B158:E160"/>
    <mergeCell ref="A165:A166"/>
    <mergeCell ref="A132:A133"/>
    <mergeCell ref="A137:A139"/>
    <mergeCell ref="B137:E139"/>
    <mergeCell ref="B140:E140"/>
    <mergeCell ref="B141:E141"/>
    <mergeCell ref="B142:E142"/>
    <mergeCell ref="B200:E200"/>
    <mergeCell ref="B201:E201"/>
    <mergeCell ref="B161:E161"/>
    <mergeCell ref="B162:E162"/>
    <mergeCell ref="B163:E163"/>
    <mergeCell ref="B164:E164"/>
    <mergeCell ref="A173:E173"/>
    <mergeCell ref="A174:A175"/>
    <mergeCell ref="A179:A181"/>
    <mergeCell ref="B179:E181"/>
    <mergeCell ref="B183:E183"/>
    <mergeCell ref="B184:E184"/>
    <mergeCell ref="B185:E185"/>
    <mergeCell ref="A186:A187"/>
    <mergeCell ref="A194:E194"/>
    <mergeCell ref="A195:A196"/>
    <mergeCell ref="A16:E18"/>
    <mergeCell ref="B19:E19"/>
    <mergeCell ref="A20:A21"/>
    <mergeCell ref="A30:E30"/>
    <mergeCell ref="B12:E12"/>
    <mergeCell ref="B13:E13"/>
    <mergeCell ref="B14:E14"/>
    <mergeCell ref="A15:E15"/>
    <mergeCell ref="B23:E23"/>
    <mergeCell ref="A24:E24"/>
    <mergeCell ref="A29:E29"/>
    <mergeCell ref="B31:E31"/>
    <mergeCell ref="A79:E79"/>
    <mergeCell ref="B80:E80"/>
    <mergeCell ref="B81:E81"/>
    <mergeCell ref="B82:E82"/>
    <mergeCell ref="A44:A45"/>
    <mergeCell ref="B55:E55"/>
    <mergeCell ref="B56:E56"/>
    <mergeCell ref="B57:E57"/>
    <mergeCell ref="B32:E32"/>
    <mergeCell ref="B33:E33"/>
    <mergeCell ref="B34:E34"/>
    <mergeCell ref="A35:A36"/>
    <mergeCell ref="A43:E43"/>
    <mergeCell ref="B103:E103"/>
    <mergeCell ref="B83:E83"/>
    <mergeCell ref="A84:A85"/>
    <mergeCell ref="A59:A60"/>
    <mergeCell ref="A66:E66"/>
    <mergeCell ref="A67:A68"/>
    <mergeCell ref="A78:E78"/>
    <mergeCell ref="B104:E104"/>
    <mergeCell ref="A105:A106"/>
    <mergeCell ref="A113:E113"/>
    <mergeCell ref="A114:A115"/>
    <mergeCell ref="A92:E92"/>
    <mergeCell ref="A93:A94"/>
    <mergeCell ref="A98:A100"/>
    <mergeCell ref="B98:E100"/>
    <mergeCell ref="B101:E101"/>
    <mergeCell ref="B102:E102"/>
    <mergeCell ref="A305:A306"/>
    <mergeCell ref="A281:E281"/>
    <mergeCell ref="A282:A283"/>
    <mergeCell ref="B293:E293"/>
    <mergeCell ref="B294:E294"/>
    <mergeCell ref="B242:E242"/>
    <mergeCell ref="B243:E243"/>
    <mergeCell ref="B244:E244"/>
    <mergeCell ref="A245:A246"/>
    <mergeCell ref="A253:E253"/>
    <mergeCell ref="A254:A255"/>
    <mergeCell ref="B259:E259"/>
    <mergeCell ref="A260:E260"/>
    <mergeCell ref="A264:E264"/>
    <mergeCell ref="A265:E265"/>
    <mergeCell ref="A266:A267"/>
    <mergeCell ref="B268:E268"/>
    <mergeCell ref="B269:E269"/>
    <mergeCell ref="B270:E270"/>
    <mergeCell ref="A271:A272"/>
    <mergeCell ref="A279:A280"/>
    <mergeCell ref="B295:E295"/>
    <mergeCell ref="A296:A297"/>
    <mergeCell ref="A304:E304"/>
    <mergeCell ref="A378:A379"/>
    <mergeCell ref="A386:E386"/>
    <mergeCell ref="B357:E357"/>
    <mergeCell ref="B337:E337"/>
    <mergeCell ref="B338:E338"/>
    <mergeCell ref="B339:E339"/>
    <mergeCell ref="A340:A341"/>
    <mergeCell ref="A348:E348"/>
    <mergeCell ref="A349:A350"/>
    <mergeCell ref="A10:E10"/>
    <mergeCell ref="A387:A388"/>
    <mergeCell ref="B358:E358"/>
    <mergeCell ref="B359:E359"/>
    <mergeCell ref="A360:A361"/>
    <mergeCell ref="A368:E368"/>
    <mergeCell ref="A369:A370"/>
    <mergeCell ref="A354:E354"/>
    <mergeCell ref="A355:E355"/>
    <mergeCell ref="B356:E356"/>
    <mergeCell ref="A330:E330"/>
    <mergeCell ref="A331:A332"/>
    <mergeCell ref="B336:E336"/>
    <mergeCell ref="A316:E316"/>
    <mergeCell ref="A317:E317"/>
    <mergeCell ref="B318:E318"/>
    <mergeCell ref="B319:E319"/>
    <mergeCell ref="B320:E320"/>
    <mergeCell ref="B321:E321"/>
    <mergeCell ref="A322:A323"/>
    <mergeCell ref="B374:E374"/>
    <mergeCell ref="B375:E375"/>
    <mergeCell ref="B376:E376"/>
    <mergeCell ref="B377:E377"/>
  </mergeCells>
  <printOptions horizontalCentered="1" verticalCentered="1"/>
  <pageMargins left="0.7" right="0.7" top="0.75" bottom="0.75" header="0.3" footer="0.3"/>
  <pageSetup scale="57" orientation="portrait" r:id="rId1"/>
  <rowBreaks count="4" manualBreakCount="4">
    <brk id="77" max="16383" man="1"/>
    <brk id="132" max="16383" man="1"/>
    <brk id="201" max="16383" man="1"/>
    <brk id="271" max="16383"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G260"/>
  <sheetViews>
    <sheetView view="pageBreakPreview" topLeftCell="A233" zoomScaleNormal="120" zoomScaleSheetLayoutView="100" workbookViewId="0">
      <selection activeCell="D252" sqref="D252"/>
    </sheetView>
  </sheetViews>
  <sheetFormatPr defaultRowHeight="15" x14ac:dyDescent="0.25"/>
  <cols>
    <col min="1" max="1" width="37.28515625" customWidth="1"/>
    <col min="2" max="2" width="14.7109375" customWidth="1"/>
    <col min="3" max="3" width="15.42578125" customWidth="1"/>
    <col min="4" max="4" width="15.7109375" customWidth="1"/>
    <col min="5" max="5" width="18.28515625" customWidth="1"/>
  </cols>
  <sheetData>
    <row r="1" spans="1:5" x14ac:dyDescent="0.25">
      <c r="A1" s="189" t="s">
        <v>898</v>
      </c>
      <c r="B1" s="188"/>
      <c r="C1" s="188"/>
      <c r="D1" s="188"/>
    </row>
    <row r="2" spans="1:5" ht="15.75" thickBot="1" x14ac:dyDescent="0.3"/>
    <row r="3" spans="1:5" ht="32.25" thickBot="1" x14ac:dyDescent="0.3">
      <c r="A3" s="168" t="s">
        <v>897</v>
      </c>
      <c r="B3" s="1430" t="s">
        <v>1023</v>
      </c>
      <c r="C3" s="1431"/>
      <c r="D3" s="1431"/>
      <c r="E3" s="1431"/>
    </row>
    <row r="4" spans="1:5" ht="32.25" thickBot="1" x14ac:dyDescent="0.3">
      <c r="A4" s="36" t="s">
        <v>895</v>
      </c>
      <c r="B4" s="1432" t="s">
        <v>1022</v>
      </c>
      <c r="C4" s="1433"/>
      <c r="D4" s="1433"/>
      <c r="E4" s="1433"/>
    </row>
    <row r="5" spans="1:5" ht="32.25" customHeight="1" thickBot="1" x14ac:dyDescent="0.3">
      <c r="A5" s="36" t="s">
        <v>914</v>
      </c>
      <c r="B5" s="1434" t="s">
        <v>148</v>
      </c>
      <c r="C5" s="1420"/>
      <c r="D5" s="1420"/>
      <c r="E5" s="1420"/>
    </row>
    <row r="6" spans="1:5" ht="32.25" thickBot="1" x14ac:dyDescent="0.3">
      <c r="A6" s="36" t="s">
        <v>891</v>
      </c>
      <c r="B6" s="167" t="s">
        <v>912</v>
      </c>
      <c r="C6" s="1093" t="s">
        <v>7</v>
      </c>
      <c r="D6" s="1093"/>
      <c r="E6" s="1093"/>
    </row>
    <row r="7" spans="1:5" ht="16.5" customHeight="1" thickBot="1" x14ac:dyDescent="0.3">
      <c r="A7" s="314" t="s">
        <v>145</v>
      </c>
      <c r="B7" s="313" t="s">
        <v>146</v>
      </c>
      <c r="C7" s="1419" t="s">
        <v>147</v>
      </c>
      <c r="D7" s="1420"/>
      <c r="E7" s="1420"/>
    </row>
    <row r="8" spans="1:5" ht="16.5" customHeight="1" x14ac:dyDescent="0.25">
      <c r="A8" s="312"/>
      <c r="B8" s="311"/>
      <c r="C8" s="310"/>
      <c r="D8" s="310"/>
      <c r="E8" s="310"/>
    </row>
    <row r="9" spans="1:5" ht="18" customHeight="1" x14ac:dyDescent="0.25">
      <c r="A9" s="1492" t="s">
        <v>926</v>
      </c>
      <c r="B9" s="1492"/>
      <c r="C9" s="1492"/>
      <c r="D9" s="1492"/>
      <c r="E9" s="1492"/>
    </row>
    <row r="10" spans="1:5" ht="18" customHeight="1" x14ac:dyDescent="0.25">
      <c r="A10" s="1493" t="s">
        <v>1021</v>
      </c>
      <c r="B10" s="1493"/>
      <c r="C10" s="1493"/>
      <c r="D10" s="1493"/>
      <c r="E10" s="1493"/>
    </row>
    <row r="11" spans="1:5" ht="15.75" thickBot="1" x14ac:dyDescent="0.3"/>
    <row r="12" spans="1:5" ht="16.5" thickBot="1" x14ac:dyDescent="0.3">
      <c r="A12" s="309" t="s">
        <v>2</v>
      </c>
      <c r="B12" s="1483" t="s">
        <v>145</v>
      </c>
      <c r="C12" s="1483"/>
      <c r="D12" s="1483"/>
      <c r="E12" s="1484"/>
    </row>
    <row r="13" spans="1:5" ht="16.5" thickBot="1" x14ac:dyDescent="0.3">
      <c r="A13" s="308" t="s">
        <v>3</v>
      </c>
      <c r="B13" s="1432" t="s">
        <v>146</v>
      </c>
      <c r="C13" s="1433"/>
      <c r="D13" s="1433"/>
      <c r="E13" s="1485"/>
    </row>
    <row r="14" spans="1:5" ht="16.5" thickBot="1" x14ac:dyDescent="0.3">
      <c r="A14" s="308" t="s">
        <v>5</v>
      </c>
      <c r="B14" s="1419" t="s">
        <v>6</v>
      </c>
      <c r="C14" s="1420"/>
      <c r="D14" s="1420"/>
      <c r="E14" s="1467"/>
    </row>
    <row r="15" spans="1:5" ht="16.5" thickBot="1" x14ac:dyDescent="0.3">
      <c r="A15" s="1486" t="s">
        <v>7</v>
      </c>
      <c r="B15" s="1487"/>
      <c r="C15" s="1487"/>
      <c r="D15" s="1487"/>
      <c r="E15" s="1488"/>
    </row>
    <row r="16" spans="1:5" ht="14.45" customHeight="1" x14ac:dyDescent="0.25">
      <c r="A16" s="1495" t="s">
        <v>147</v>
      </c>
      <c r="B16" s="1496"/>
      <c r="C16" s="1496"/>
      <c r="D16" s="1496"/>
      <c r="E16" s="1497"/>
    </row>
    <row r="17" spans="1:6" ht="36.75" customHeight="1" x14ac:dyDescent="0.25">
      <c r="A17" s="1498"/>
      <c r="B17" s="1499"/>
      <c r="C17" s="1499"/>
      <c r="D17" s="1499"/>
      <c r="E17" s="1500"/>
    </row>
    <row r="18" spans="1:6" ht="13.15" customHeight="1" thickBot="1" x14ac:dyDescent="0.3">
      <c r="A18" s="1501"/>
      <c r="B18" s="1502"/>
      <c r="C18" s="1502"/>
      <c r="D18" s="1502"/>
      <c r="E18" s="1503"/>
    </row>
    <row r="19" spans="1:6" ht="45" customHeight="1" thickBot="1" x14ac:dyDescent="0.3">
      <c r="A19" s="307" t="s">
        <v>8</v>
      </c>
      <c r="B19" s="1413" t="s">
        <v>1020</v>
      </c>
      <c r="C19" s="1474"/>
      <c r="D19" s="1474"/>
      <c r="E19" s="1475"/>
    </row>
    <row r="20" spans="1:6" ht="23.25" customHeight="1" x14ac:dyDescent="0.25">
      <c r="A20" s="1468" t="s">
        <v>102</v>
      </c>
      <c r="B20" s="38">
        <v>2018</v>
      </c>
      <c r="C20" s="38">
        <v>2019</v>
      </c>
      <c r="D20" s="38">
        <v>2020</v>
      </c>
      <c r="E20" s="306">
        <v>2021</v>
      </c>
    </row>
    <row r="21" spans="1:6" ht="23.45" customHeight="1" thickBot="1" x14ac:dyDescent="0.3">
      <c r="A21" s="1469"/>
      <c r="B21" s="39" t="s">
        <v>10</v>
      </c>
      <c r="C21" s="39" t="s">
        <v>11</v>
      </c>
      <c r="D21" s="39" t="s">
        <v>11</v>
      </c>
      <c r="E21" s="305" t="s">
        <v>11</v>
      </c>
    </row>
    <row r="22" spans="1:6" ht="47.25" customHeight="1" thickBot="1" x14ac:dyDescent="0.3">
      <c r="A22" s="293" t="s">
        <v>1019</v>
      </c>
      <c r="B22" s="40">
        <v>0.9</v>
      </c>
      <c r="C22" s="40">
        <v>0.95</v>
      </c>
      <c r="D22" s="40">
        <v>0.98</v>
      </c>
      <c r="E22" s="292">
        <v>0.98</v>
      </c>
    </row>
    <row r="23" spans="1:6" ht="79.5" thickBot="1" x14ac:dyDescent="0.3">
      <c r="A23" s="304" t="s">
        <v>1018</v>
      </c>
      <c r="B23" s="40">
        <v>0.95</v>
      </c>
      <c r="C23" s="40">
        <v>0.99</v>
      </c>
      <c r="D23" s="40">
        <v>0.99</v>
      </c>
      <c r="E23" s="292">
        <v>1</v>
      </c>
    </row>
    <row r="24" spans="1:6" ht="28.5" customHeight="1" thickBot="1" x14ac:dyDescent="0.3">
      <c r="A24" s="294" t="s">
        <v>12</v>
      </c>
      <c r="B24" s="1413" t="s">
        <v>1017</v>
      </c>
      <c r="C24" s="1414"/>
      <c r="D24" s="1414"/>
      <c r="E24" s="1450"/>
      <c r="F24" s="35"/>
    </row>
    <row r="25" spans="1:6" ht="16.5" thickBot="1" x14ac:dyDescent="0.3">
      <c r="A25" s="1476" t="s">
        <v>103</v>
      </c>
      <c r="B25" s="1420"/>
      <c r="C25" s="1420"/>
      <c r="D25" s="1420"/>
      <c r="E25" s="1467"/>
    </row>
    <row r="26" spans="1:6" ht="16.5" thickBot="1" x14ac:dyDescent="0.3">
      <c r="A26" s="303"/>
      <c r="B26" s="302">
        <v>0.9</v>
      </c>
      <c r="C26" s="301">
        <v>0.98</v>
      </c>
      <c r="D26" s="301">
        <v>1</v>
      </c>
      <c r="E26" s="300">
        <v>1</v>
      </c>
    </row>
    <row r="27" spans="1:6" ht="16.5" thickBot="1" x14ac:dyDescent="0.3">
      <c r="A27" s="1504" t="s">
        <v>14</v>
      </c>
      <c r="B27" s="1505"/>
      <c r="C27" s="1505"/>
      <c r="D27" s="1505"/>
      <c r="E27" s="1506"/>
    </row>
    <row r="28" spans="1:6" ht="16.5" thickBot="1" x14ac:dyDescent="0.3">
      <c r="A28" s="1470" t="s">
        <v>104</v>
      </c>
      <c r="B28" s="1471"/>
      <c r="C28" s="1471"/>
      <c r="D28" s="1471"/>
      <c r="E28" s="1472"/>
    </row>
    <row r="29" spans="1:6" ht="32.450000000000003" customHeight="1" thickBot="1" x14ac:dyDescent="0.3">
      <c r="A29" s="278" t="s">
        <v>126</v>
      </c>
      <c r="B29" s="1494" t="s">
        <v>188</v>
      </c>
      <c r="C29" s="1471"/>
      <c r="D29" s="1471"/>
      <c r="E29" s="1472"/>
    </row>
    <row r="30" spans="1:6" ht="34.9" customHeight="1" thickBot="1" x14ac:dyDescent="0.3">
      <c r="A30" s="273" t="s">
        <v>17</v>
      </c>
      <c r="B30" s="1419" t="s">
        <v>149</v>
      </c>
      <c r="C30" s="1420"/>
      <c r="D30" s="1420"/>
      <c r="E30" s="1467"/>
    </row>
    <row r="31" spans="1:6" ht="14.45" customHeight="1" thickBot="1" x14ac:dyDescent="0.3">
      <c r="A31" s="273" t="s">
        <v>18</v>
      </c>
      <c r="B31" s="1422" t="s">
        <v>150</v>
      </c>
      <c r="C31" s="1423"/>
      <c r="D31" s="1423"/>
      <c r="E31" s="1451"/>
    </row>
    <row r="32" spans="1:6" ht="15.6" customHeight="1" x14ac:dyDescent="0.25">
      <c r="A32" s="1437"/>
      <c r="B32" s="43">
        <v>2018</v>
      </c>
      <c r="C32" s="43">
        <v>2019</v>
      </c>
      <c r="D32" s="43">
        <v>2020</v>
      </c>
      <c r="E32" s="286">
        <v>2021</v>
      </c>
    </row>
    <row r="33" spans="1:7" ht="15" customHeight="1" thickBot="1" x14ac:dyDescent="0.3">
      <c r="A33" s="1438"/>
      <c r="B33" s="44" t="s">
        <v>10</v>
      </c>
      <c r="C33" s="44" t="s">
        <v>11</v>
      </c>
      <c r="D33" s="44" t="s">
        <v>11</v>
      </c>
      <c r="E33" s="285" t="s">
        <v>11</v>
      </c>
    </row>
    <row r="34" spans="1:7" ht="16.5" thickBot="1" x14ac:dyDescent="0.3">
      <c r="A34" s="273" t="s">
        <v>19</v>
      </c>
      <c r="B34" s="47">
        <v>250</v>
      </c>
      <c r="C34" s="47">
        <v>300</v>
      </c>
      <c r="D34" s="47">
        <v>350</v>
      </c>
      <c r="E34" s="277">
        <v>350</v>
      </c>
    </row>
    <row r="35" spans="1:7" ht="20.45" customHeight="1" thickBot="1" x14ac:dyDescent="0.3">
      <c r="A35" s="273" t="s">
        <v>20</v>
      </c>
      <c r="B35" s="47">
        <v>54919</v>
      </c>
      <c r="C35" s="47">
        <v>54500</v>
      </c>
      <c r="D35" s="47">
        <v>54500</v>
      </c>
      <c r="E35" s="277">
        <v>54500</v>
      </c>
    </row>
    <row r="36" spans="1:7" ht="18.600000000000001" customHeight="1" thickBot="1" x14ac:dyDescent="0.3">
      <c r="A36" s="273" t="s">
        <v>21</v>
      </c>
      <c r="B36" s="47">
        <f>B35/B34</f>
        <v>219.67599999999999</v>
      </c>
      <c r="C36" s="47">
        <f>C35/C34</f>
        <v>181.66666666666666</v>
      </c>
      <c r="D36" s="47">
        <f>D35/D34</f>
        <v>155.71428571428572</v>
      </c>
      <c r="E36" s="277">
        <f>E35/E34</f>
        <v>155.71428571428572</v>
      </c>
      <c r="F36" s="12"/>
      <c r="G36" s="12"/>
    </row>
    <row r="37" spans="1:7" ht="18.600000000000001" customHeight="1" thickBot="1" x14ac:dyDescent="0.3">
      <c r="A37" s="273" t="s">
        <v>22</v>
      </c>
      <c r="B37" s="228" t="s">
        <v>23</v>
      </c>
      <c r="C37" s="48">
        <f t="shared" ref="C37:E39" si="0">C34/B34-1</f>
        <v>0.19999999999999996</v>
      </c>
      <c r="D37" s="48">
        <f t="shared" si="0"/>
        <v>0.16666666666666674</v>
      </c>
      <c r="E37" s="272">
        <f t="shared" si="0"/>
        <v>0</v>
      </c>
    </row>
    <row r="38" spans="1:7" ht="16.5" thickBot="1" x14ac:dyDescent="0.3">
      <c r="A38" s="273" t="s">
        <v>24</v>
      </c>
      <c r="B38" s="228" t="s">
        <v>23</v>
      </c>
      <c r="C38" s="48">
        <f t="shared" si="0"/>
        <v>-7.6294178699539694E-3</v>
      </c>
      <c r="D38" s="48">
        <f t="shared" si="0"/>
        <v>0</v>
      </c>
      <c r="E38" s="272">
        <f t="shared" si="0"/>
        <v>0</v>
      </c>
    </row>
    <row r="39" spans="1:7" ht="20.45" customHeight="1" thickBot="1" x14ac:dyDescent="0.3">
      <c r="A39" s="273" t="s">
        <v>25</v>
      </c>
      <c r="B39" s="228" t="s">
        <v>23</v>
      </c>
      <c r="C39" s="48">
        <f t="shared" si="0"/>
        <v>-0.17302451489162829</v>
      </c>
      <c r="D39" s="48">
        <f t="shared" si="0"/>
        <v>-0.14285714285714279</v>
      </c>
      <c r="E39" s="272">
        <f t="shared" si="0"/>
        <v>0</v>
      </c>
    </row>
    <row r="40" spans="1:7" ht="17.45" customHeight="1" thickBot="1" x14ac:dyDescent="0.3">
      <c r="A40" s="1435" t="s">
        <v>1016</v>
      </c>
      <c r="B40" s="1428"/>
      <c r="C40" s="1428"/>
      <c r="D40" s="1428"/>
      <c r="E40" s="1436"/>
    </row>
    <row r="41" spans="1:7" ht="17.45" customHeight="1" x14ac:dyDescent="0.25">
      <c r="A41" s="1437"/>
      <c r="B41" s="43">
        <v>2018</v>
      </c>
      <c r="C41" s="43">
        <v>2019</v>
      </c>
      <c r="D41" s="43">
        <v>2020</v>
      </c>
      <c r="E41" s="286">
        <v>2021</v>
      </c>
    </row>
    <row r="42" spans="1:7" ht="16.5" thickBot="1" x14ac:dyDescent="0.3">
      <c r="A42" s="1438"/>
      <c r="B42" s="44" t="s">
        <v>10</v>
      </c>
      <c r="C42" s="44" t="s">
        <v>11</v>
      </c>
      <c r="D42" s="44" t="s">
        <v>11</v>
      </c>
      <c r="E42" s="285" t="s">
        <v>11</v>
      </c>
    </row>
    <row r="43" spans="1:7" ht="16.5" thickBot="1" x14ac:dyDescent="0.3">
      <c r="A43" s="284" t="s">
        <v>26</v>
      </c>
      <c r="B43" s="50">
        <v>48300</v>
      </c>
      <c r="C43" s="50">
        <v>48300</v>
      </c>
      <c r="D43" s="50">
        <v>48300</v>
      </c>
      <c r="E43" s="268">
        <v>48300</v>
      </c>
    </row>
    <row r="44" spans="1:7" ht="16.5" thickBot="1" x14ac:dyDescent="0.3">
      <c r="A44" s="284" t="s">
        <v>28</v>
      </c>
      <c r="B44" s="50">
        <v>5700</v>
      </c>
      <c r="C44" s="50">
        <v>5700</v>
      </c>
      <c r="D44" s="50">
        <v>5700</v>
      </c>
      <c r="E44" s="268">
        <v>5700</v>
      </c>
    </row>
    <row r="45" spans="1:7" ht="16.5" thickBot="1" x14ac:dyDescent="0.3">
      <c r="A45" s="284" t="s">
        <v>30</v>
      </c>
      <c r="B45" s="52"/>
      <c r="C45" s="50"/>
      <c r="D45" s="50"/>
      <c r="E45" s="268"/>
    </row>
    <row r="46" spans="1:7" ht="16.5" thickBot="1" x14ac:dyDescent="0.3">
      <c r="A46" s="284" t="s">
        <v>32</v>
      </c>
      <c r="B46" s="52"/>
      <c r="C46" s="50"/>
      <c r="D46" s="50"/>
      <c r="E46" s="268"/>
    </row>
    <row r="47" spans="1:7" ht="16.5" thickBot="1" x14ac:dyDescent="0.3">
      <c r="A47" s="284" t="s">
        <v>34</v>
      </c>
      <c r="B47" s="52"/>
      <c r="C47" s="50"/>
      <c r="D47" s="50"/>
      <c r="E47" s="268"/>
    </row>
    <row r="48" spans="1:7" ht="16.5" thickBot="1" x14ac:dyDescent="0.3">
      <c r="A48" s="284" t="s">
        <v>36</v>
      </c>
      <c r="B48" s="52">
        <v>500</v>
      </c>
      <c r="C48" s="50">
        <v>500</v>
      </c>
      <c r="D48" s="50">
        <v>500</v>
      </c>
      <c r="E48" s="268">
        <v>500</v>
      </c>
    </row>
    <row r="49" spans="1:5" ht="16.5" thickBot="1" x14ac:dyDescent="0.3">
      <c r="A49" s="284" t="s">
        <v>38</v>
      </c>
      <c r="B49" s="52">
        <v>419</v>
      </c>
      <c r="C49" s="50"/>
      <c r="D49" s="50"/>
      <c r="E49" s="268"/>
    </row>
    <row r="50" spans="1:5" ht="16.5" thickBot="1" x14ac:dyDescent="0.3">
      <c r="A50" s="298" t="s">
        <v>127</v>
      </c>
      <c r="B50" s="52">
        <f>B49+B48+B47+B46+B45+B44+B43</f>
        <v>54919</v>
      </c>
      <c r="C50" s="52">
        <f>C49+C48+C47+C46+C45+C44+C43</f>
        <v>54500</v>
      </c>
      <c r="D50" s="52">
        <f>D49+D48+D47+D46+D45+D44+D43</f>
        <v>54500</v>
      </c>
      <c r="E50" s="266">
        <f>E49+E48+E47+E46+E45+E44+E43</f>
        <v>54500</v>
      </c>
    </row>
    <row r="51" spans="1:5" ht="16.5" thickBot="1" x14ac:dyDescent="0.3">
      <c r="A51" s="290" t="s">
        <v>41</v>
      </c>
      <c r="B51" s="289">
        <f>IF(B50-B35=0,0,"Error")</f>
        <v>0</v>
      </c>
      <c r="C51" s="289">
        <f>IF(C50-C35=0,0,"Error")</f>
        <v>0</v>
      </c>
      <c r="D51" s="289">
        <f>IF(D50-D35=0,0,"Error")</f>
        <v>0</v>
      </c>
      <c r="E51" s="288">
        <f>IF(E50-E35=0,0,"Error")</f>
        <v>0</v>
      </c>
    </row>
    <row r="52" spans="1:5" ht="16.5" thickBot="1" x14ac:dyDescent="0.3">
      <c r="A52" s="299" t="s">
        <v>128</v>
      </c>
      <c r="B52" s="1489" t="s">
        <v>1015</v>
      </c>
      <c r="C52" s="1490"/>
      <c r="D52" s="1490"/>
      <c r="E52" s="1491"/>
    </row>
    <row r="53" spans="1:5" ht="31.5" customHeight="1" thickBot="1" x14ac:dyDescent="0.3">
      <c r="A53" s="273" t="s">
        <v>17</v>
      </c>
      <c r="B53" s="1419" t="s">
        <v>1014</v>
      </c>
      <c r="C53" s="1420"/>
      <c r="D53" s="1420"/>
      <c r="E53" s="1467"/>
    </row>
    <row r="54" spans="1:5" ht="16.5" thickBot="1" x14ac:dyDescent="0.3">
      <c r="A54" s="273" t="s">
        <v>18</v>
      </c>
      <c r="B54" s="1422" t="s">
        <v>161</v>
      </c>
      <c r="C54" s="1423"/>
      <c r="D54" s="1423"/>
      <c r="E54" s="1451"/>
    </row>
    <row r="55" spans="1:5" ht="15.75" x14ac:dyDescent="0.25">
      <c r="A55" s="1437"/>
      <c r="B55" s="43">
        <v>2018</v>
      </c>
      <c r="C55" s="43">
        <v>2019</v>
      </c>
      <c r="D55" s="43">
        <v>2020</v>
      </c>
      <c r="E55" s="286">
        <v>2021</v>
      </c>
    </row>
    <row r="56" spans="1:5" ht="16.5" thickBot="1" x14ac:dyDescent="0.3">
      <c r="A56" s="1438"/>
      <c r="B56" s="44" t="s">
        <v>10</v>
      </c>
      <c r="C56" s="44" t="s">
        <v>11</v>
      </c>
      <c r="D56" s="44" t="s">
        <v>11</v>
      </c>
      <c r="E56" s="285" t="s">
        <v>11</v>
      </c>
    </row>
    <row r="57" spans="1:5" ht="16.5" thickBot="1" x14ac:dyDescent="0.3">
      <c r="A57" s="273" t="s">
        <v>19</v>
      </c>
      <c r="B57" s="47">
        <v>50</v>
      </c>
      <c r="C57" s="47">
        <v>60</v>
      </c>
      <c r="D57" s="47">
        <v>60</v>
      </c>
      <c r="E57" s="277">
        <v>60</v>
      </c>
    </row>
    <row r="58" spans="1:5" ht="16.5" thickBot="1" x14ac:dyDescent="0.3">
      <c r="A58" s="273" t="s">
        <v>20</v>
      </c>
      <c r="B58" s="47">
        <v>7400</v>
      </c>
      <c r="C58" s="47">
        <v>8200</v>
      </c>
      <c r="D58" s="47">
        <v>8200</v>
      </c>
      <c r="E58" s="277">
        <v>8200</v>
      </c>
    </row>
    <row r="59" spans="1:5" ht="16.5" thickBot="1" x14ac:dyDescent="0.3">
      <c r="A59" s="273" t="s">
        <v>21</v>
      </c>
      <c r="B59" s="47">
        <f>B58/B57</f>
        <v>148</v>
      </c>
      <c r="C59" s="47">
        <f>C58/C57</f>
        <v>136.66666666666666</v>
      </c>
      <c r="D59" s="47">
        <f>D58/D57</f>
        <v>136.66666666666666</v>
      </c>
      <c r="E59" s="277">
        <f>E58/E57</f>
        <v>136.66666666666666</v>
      </c>
    </row>
    <row r="60" spans="1:5" ht="16.5" thickBot="1" x14ac:dyDescent="0.3">
      <c r="A60" s="273" t="s">
        <v>22</v>
      </c>
      <c r="B60" s="228" t="s">
        <v>23</v>
      </c>
      <c r="C60" s="48">
        <f t="shared" ref="C60:E62" si="1">C57/B57-1</f>
        <v>0.19999999999999996</v>
      </c>
      <c r="D60" s="48">
        <f t="shared" si="1"/>
        <v>0</v>
      </c>
      <c r="E60" s="272">
        <f t="shared" si="1"/>
        <v>0</v>
      </c>
    </row>
    <row r="61" spans="1:5" ht="16.5" thickBot="1" x14ac:dyDescent="0.3">
      <c r="A61" s="273" t="s">
        <v>24</v>
      </c>
      <c r="B61" s="228" t="s">
        <v>23</v>
      </c>
      <c r="C61" s="48">
        <f t="shared" si="1"/>
        <v>0.10810810810810811</v>
      </c>
      <c r="D61" s="48">
        <f t="shared" si="1"/>
        <v>0</v>
      </c>
      <c r="E61" s="272">
        <f t="shared" si="1"/>
        <v>0</v>
      </c>
    </row>
    <row r="62" spans="1:5" ht="16.5" thickBot="1" x14ac:dyDescent="0.3">
      <c r="A62" s="273" t="s">
        <v>25</v>
      </c>
      <c r="B62" s="228" t="s">
        <v>23</v>
      </c>
      <c r="C62" s="48">
        <f t="shared" si="1"/>
        <v>-7.6576576576576683E-2</v>
      </c>
      <c r="D62" s="48">
        <f t="shared" si="1"/>
        <v>0</v>
      </c>
      <c r="E62" s="272">
        <f t="shared" si="1"/>
        <v>0</v>
      </c>
    </row>
    <row r="63" spans="1:5" ht="36.75" customHeight="1" thickBot="1" x14ac:dyDescent="0.3">
      <c r="A63" s="1479" t="s">
        <v>1013</v>
      </c>
      <c r="B63" s="1125"/>
      <c r="C63" s="1125"/>
      <c r="D63" s="1125"/>
      <c r="E63" s="1480"/>
    </row>
    <row r="64" spans="1:5" ht="15.75" x14ac:dyDescent="0.25">
      <c r="A64" s="1437"/>
      <c r="B64" s="43">
        <v>2018</v>
      </c>
      <c r="C64" s="43">
        <v>2019</v>
      </c>
      <c r="D64" s="43">
        <v>2020</v>
      </c>
      <c r="E64" s="286">
        <v>2021</v>
      </c>
    </row>
    <row r="65" spans="1:5" ht="16.5" thickBot="1" x14ac:dyDescent="0.3">
      <c r="A65" s="1438"/>
      <c r="B65" s="44" t="s">
        <v>10</v>
      </c>
      <c r="C65" s="44" t="s">
        <v>11</v>
      </c>
      <c r="D65" s="44" t="s">
        <v>11</v>
      </c>
      <c r="E65" s="285" t="s">
        <v>11</v>
      </c>
    </row>
    <row r="66" spans="1:5" ht="16.5" thickBot="1" x14ac:dyDescent="0.3">
      <c r="A66" s="284" t="s">
        <v>26</v>
      </c>
      <c r="B66" s="50"/>
      <c r="C66" s="50"/>
      <c r="D66" s="50"/>
      <c r="E66" s="268"/>
    </row>
    <row r="67" spans="1:5" ht="16.5" thickBot="1" x14ac:dyDescent="0.3">
      <c r="A67" s="284" t="s">
        <v>28</v>
      </c>
      <c r="B67" s="50"/>
      <c r="C67" s="50"/>
      <c r="D67" s="50"/>
      <c r="E67" s="268"/>
    </row>
    <row r="68" spans="1:5" ht="16.5" thickBot="1" x14ac:dyDescent="0.3">
      <c r="A68" s="284" t="s">
        <v>30</v>
      </c>
      <c r="B68" s="52">
        <v>7400</v>
      </c>
      <c r="C68" s="50">
        <v>8200</v>
      </c>
      <c r="D68" s="50">
        <v>8200</v>
      </c>
      <c r="E68" s="268">
        <v>8200</v>
      </c>
    </row>
    <row r="69" spans="1:5" ht="16.5" thickBot="1" x14ac:dyDescent="0.3">
      <c r="A69" s="284" t="s">
        <v>32</v>
      </c>
      <c r="B69" s="52"/>
      <c r="C69" s="50"/>
      <c r="D69" s="50"/>
      <c r="E69" s="268"/>
    </row>
    <row r="70" spans="1:5" ht="16.5" thickBot="1" x14ac:dyDescent="0.3">
      <c r="A70" s="284" t="s">
        <v>34</v>
      </c>
      <c r="B70" s="52"/>
      <c r="C70" s="50"/>
      <c r="D70" s="50"/>
      <c r="E70" s="268"/>
    </row>
    <row r="71" spans="1:5" ht="16.5" thickBot="1" x14ac:dyDescent="0.3">
      <c r="A71" s="284" t="s">
        <v>36</v>
      </c>
      <c r="B71" s="52"/>
      <c r="C71" s="50"/>
      <c r="D71" s="50"/>
      <c r="E71" s="268"/>
    </row>
    <row r="72" spans="1:5" ht="16.5" thickBot="1" x14ac:dyDescent="0.3">
      <c r="A72" s="284" t="s">
        <v>38</v>
      </c>
      <c r="B72" s="52"/>
      <c r="C72" s="50"/>
      <c r="D72" s="50"/>
      <c r="E72" s="268"/>
    </row>
    <row r="73" spans="1:5" ht="16.5" thickBot="1" x14ac:dyDescent="0.3">
      <c r="A73" s="298" t="s">
        <v>129</v>
      </c>
      <c r="B73" s="52">
        <f>B72+B71+B70+B69+B68+B67+B66</f>
        <v>7400</v>
      </c>
      <c r="C73" s="52">
        <f>C72+C71+C70+C69+C68+C67+C66</f>
        <v>8200</v>
      </c>
      <c r="D73" s="52">
        <f>D72+D71+D70+D69+D68+D67+D66</f>
        <v>8200</v>
      </c>
      <c r="E73" s="266">
        <f>E72+E71+E70+E69+E68+E67+E66</f>
        <v>8200</v>
      </c>
    </row>
    <row r="74" spans="1:5" ht="16.5" thickBot="1" x14ac:dyDescent="0.3">
      <c r="A74" s="282" t="s">
        <v>41</v>
      </c>
      <c r="B74" s="46">
        <f>IF(B73-B58=0,0,"Error")</f>
        <v>0</v>
      </c>
      <c r="C74" s="46">
        <f>IF(C73-C58=0,0,"Error")</f>
        <v>0</v>
      </c>
      <c r="D74" s="46">
        <f>IF(D73-D58=0,0,"Error")</f>
        <v>0</v>
      </c>
      <c r="E74" s="281">
        <f>IF(E73-E58=0,0,"Error")</f>
        <v>0</v>
      </c>
    </row>
    <row r="75" spans="1:5" ht="17.25" customHeight="1" thickBot="1" x14ac:dyDescent="0.3">
      <c r="A75" s="1470" t="s">
        <v>63</v>
      </c>
      <c r="B75" s="1471"/>
      <c r="C75" s="1471"/>
      <c r="D75" s="1471"/>
      <c r="E75" s="1472"/>
    </row>
    <row r="76" spans="1:5" ht="16.5" thickBot="1" x14ac:dyDescent="0.3">
      <c r="A76" s="1470" t="s">
        <v>64</v>
      </c>
      <c r="B76" s="1471"/>
      <c r="C76" s="1471"/>
      <c r="D76" s="1471"/>
      <c r="E76" s="1472"/>
    </row>
    <row r="77" spans="1:5" ht="15.75" customHeight="1" thickBot="1" x14ac:dyDescent="0.3">
      <c r="A77" s="280" t="s">
        <v>61</v>
      </c>
      <c r="B77" s="1241" t="s">
        <v>124</v>
      </c>
      <c r="C77" s="1242"/>
      <c r="D77" s="1242"/>
      <c r="E77" s="1449"/>
    </row>
    <row r="78" spans="1:5" ht="15" customHeight="1" thickBot="1" x14ac:dyDescent="0.3">
      <c r="A78" s="279" t="s">
        <v>1012</v>
      </c>
      <c r="B78" s="1413" t="s">
        <v>151</v>
      </c>
      <c r="C78" s="1414"/>
      <c r="D78" s="1414"/>
      <c r="E78" s="1450"/>
    </row>
    <row r="79" spans="1:5" ht="17.25" customHeight="1" thickBot="1" x14ac:dyDescent="0.3">
      <c r="A79" s="278" t="s">
        <v>131</v>
      </c>
      <c r="B79" s="1413" t="s">
        <v>1011</v>
      </c>
      <c r="C79" s="1414"/>
      <c r="D79" s="1414"/>
      <c r="E79" s="1450"/>
    </row>
    <row r="80" spans="1:5" ht="36.75" customHeight="1" thickBot="1" x14ac:dyDescent="0.3">
      <c r="A80" s="273" t="s">
        <v>17</v>
      </c>
      <c r="B80" s="1419" t="s">
        <v>152</v>
      </c>
      <c r="C80" s="1420"/>
      <c r="D80" s="1420"/>
      <c r="E80" s="1467"/>
    </row>
    <row r="81" spans="1:7" ht="16.5" thickBot="1" x14ac:dyDescent="0.3">
      <c r="A81" s="273" t="s">
        <v>18</v>
      </c>
      <c r="B81" s="1422" t="s">
        <v>153</v>
      </c>
      <c r="C81" s="1423"/>
      <c r="D81" s="1423"/>
      <c r="E81" s="1451"/>
    </row>
    <row r="82" spans="1:7" ht="18" customHeight="1" x14ac:dyDescent="0.25">
      <c r="A82" s="1437"/>
      <c r="B82" s="62">
        <v>2018</v>
      </c>
      <c r="C82" s="62">
        <v>2019</v>
      </c>
      <c r="D82" s="62">
        <v>2020</v>
      </c>
      <c r="E82" s="271">
        <v>2021</v>
      </c>
      <c r="F82" s="12"/>
      <c r="G82" s="12"/>
    </row>
    <row r="83" spans="1:7" ht="18" customHeight="1" thickBot="1" x14ac:dyDescent="0.3">
      <c r="A83" s="1438"/>
      <c r="B83" s="63" t="s">
        <v>10</v>
      </c>
      <c r="C83" s="63" t="s">
        <v>11</v>
      </c>
      <c r="D83" s="63" t="s">
        <v>11</v>
      </c>
      <c r="E83" s="270" t="s">
        <v>11</v>
      </c>
    </row>
    <row r="84" spans="1:7" ht="16.5" thickBot="1" x14ac:dyDescent="0.3">
      <c r="A84" s="273" t="s">
        <v>19</v>
      </c>
      <c r="B84" s="47">
        <v>10</v>
      </c>
      <c r="C84" s="47">
        <v>12</v>
      </c>
      <c r="D84" s="47">
        <v>12</v>
      </c>
      <c r="E84" s="277">
        <v>12</v>
      </c>
    </row>
    <row r="85" spans="1:7" ht="24" customHeight="1" thickBot="1" x14ac:dyDescent="0.3">
      <c r="A85" s="273" t="s">
        <v>20</v>
      </c>
      <c r="B85" s="47">
        <v>1000</v>
      </c>
      <c r="C85" s="47">
        <v>1500</v>
      </c>
      <c r="D85" s="47">
        <v>1500</v>
      </c>
      <c r="E85" s="277">
        <v>1500</v>
      </c>
    </row>
    <row r="86" spans="1:7" ht="32.450000000000003" customHeight="1" thickBot="1" x14ac:dyDescent="0.3">
      <c r="A86" s="273" t="s">
        <v>21</v>
      </c>
      <c r="B86" s="47">
        <f>B85/B84</f>
        <v>100</v>
      </c>
      <c r="C86" s="47">
        <f>C85/C84</f>
        <v>125</v>
      </c>
      <c r="D86" s="47">
        <f>D85/D84</f>
        <v>125</v>
      </c>
      <c r="E86" s="277">
        <f>E85/E84</f>
        <v>125</v>
      </c>
    </row>
    <row r="87" spans="1:7" ht="28.15" customHeight="1" thickBot="1" x14ac:dyDescent="0.3">
      <c r="A87" s="273" t="s">
        <v>22</v>
      </c>
      <c r="B87" s="228" t="s">
        <v>23</v>
      </c>
      <c r="C87" s="48">
        <f t="shared" ref="C87:E89" si="2">C84/B84-1</f>
        <v>0.19999999999999996</v>
      </c>
      <c r="D87" s="48">
        <f t="shared" si="2"/>
        <v>0</v>
      </c>
      <c r="E87" s="272">
        <f t="shared" si="2"/>
        <v>0</v>
      </c>
    </row>
    <row r="88" spans="1:7" ht="16.5" thickBot="1" x14ac:dyDescent="0.3">
      <c r="A88" s="273" t="s">
        <v>24</v>
      </c>
      <c r="B88" s="228" t="s">
        <v>23</v>
      </c>
      <c r="C88" s="48">
        <f t="shared" si="2"/>
        <v>0.5</v>
      </c>
      <c r="D88" s="48">
        <f t="shared" si="2"/>
        <v>0</v>
      </c>
      <c r="E88" s="272">
        <f t="shared" si="2"/>
        <v>0</v>
      </c>
    </row>
    <row r="89" spans="1:7" ht="22.9" customHeight="1" thickBot="1" x14ac:dyDescent="0.3">
      <c r="A89" s="273" t="s">
        <v>25</v>
      </c>
      <c r="B89" s="228" t="s">
        <v>23</v>
      </c>
      <c r="C89" s="48">
        <f t="shared" si="2"/>
        <v>0.25</v>
      </c>
      <c r="D89" s="48">
        <f t="shared" si="2"/>
        <v>0</v>
      </c>
      <c r="E89" s="272">
        <f t="shared" si="2"/>
        <v>0</v>
      </c>
    </row>
    <row r="90" spans="1:7" ht="16.5" customHeight="1" thickBot="1" x14ac:dyDescent="0.3">
      <c r="A90" s="1435" t="s">
        <v>157</v>
      </c>
      <c r="B90" s="1428"/>
      <c r="C90" s="1428"/>
      <c r="D90" s="1428"/>
      <c r="E90" s="1436"/>
    </row>
    <row r="91" spans="1:7" x14ac:dyDescent="0.25">
      <c r="A91" s="1437"/>
      <c r="B91" s="62">
        <v>2018</v>
      </c>
      <c r="C91" s="62">
        <v>2019</v>
      </c>
      <c r="D91" s="62">
        <v>2020</v>
      </c>
      <c r="E91" s="271">
        <v>2021</v>
      </c>
    </row>
    <row r="92" spans="1:7" ht="27" customHeight="1" thickBot="1" x14ac:dyDescent="0.3">
      <c r="A92" s="1438"/>
      <c r="B92" s="63" t="s">
        <v>10</v>
      </c>
      <c r="C92" s="63" t="s">
        <v>11</v>
      </c>
      <c r="D92" s="63" t="s">
        <v>11</v>
      </c>
      <c r="E92" s="270" t="s">
        <v>11</v>
      </c>
    </row>
    <row r="93" spans="1:7" ht="16.5" thickBot="1" x14ac:dyDescent="0.3">
      <c r="A93" s="269" t="s">
        <v>58</v>
      </c>
      <c r="B93" s="50"/>
      <c r="C93" s="50"/>
      <c r="D93" s="50"/>
      <c r="E93" s="268"/>
    </row>
    <row r="94" spans="1:7" ht="16.5" thickBot="1" x14ac:dyDescent="0.3">
      <c r="A94" s="269" t="s">
        <v>59</v>
      </c>
      <c r="B94" s="52">
        <v>1000</v>
      </c>
      <c r="C94" s="50">
        <v>1500</v>
      </c>
      <c r="D94" s="50">
        <v>1500</v>
      </c>
      <c r="E94" s="268">
        <v>1500</v>
      </c>
    </row>
    <row r="95" spans="1:7" ht="15" customHeight="1" thickBot="1" x14ac:dyDescent="0.3">
      <c r="A95" s="267" t="s">
        <v>132</v>
      </c>
      <c r="B95" s="264">
        <f>B94+B93</f>
        <v>1000</v>
      </c>
      <c r="C95" s="264">
        <f>C94+C93</f>
        <v>1500</v>
      </c>
      <c r="D95" s="264">
        <f>D94+D93</f>
        <v>1500</v>
      </c>
      <c r="E95" s="295">
        <f>E94+E93</f>
        <v>1500</v>
      </c>
    </row>
    <row r="96" spans="1:7" ht="15" customHeight="1" x14ac:dyDescent="0.25">
      <c r="A96" s="1441" t="s">
        <v>1010</v>
      </c>
      <c r="B96" s="1322"/>
      <c r="C96" s="1289"/>
      <c r="D96" s="1289"/>
      <c r="E96" s="1444"/>
    </row>
    <row r="97" spans="1:5" ht="15" customHeight="1" x14ac:dyDescent="0.25">
      <c r="A97" s="1442"/>
      <c r="B97" s="1291"/>
      <c r="C97" s="1292"/>
      <c r="D97" s="1292"/>
      <c r="E97" s="1445"/>
    </row>
    <row r="98" spans="1:5" ht="8.25" customHeight="1" thickBot="1" x14ac:dyDescent="0.3">
      <c r="A98" s="1443"/>
      <c r="B98" s="1446"/>
      <c r="C98" s="1447"/>
      <c r="D98" s="1447"/>
      <c r="E98" s="1448"/>
    </row>
    <row r="99" spans="1:5" ht="15" customHeight="1" thickBot="1" x14ac:dyDescent="0.3">
      <c r="A99" s="297" t="s">
        <v>61</v>
      </c>
      <c r="B99" s="1458" t="s">
        <v>124</v>
      </c>
      <c r="C99" s="1459"/>
      <c r="D99" s="1459"/>
      <c r="E99" s="1460"/>
    </row>
    <row r="100" spans="1:5" ht="15" customHeight="1" thickBot="1" x14ac:dyDescent="0.3">
      <c r="A100" s="296" t="s">
        <v>1009</v>
      </c>
      <c r="B100" s="1461" t="s">
        <v>1008</v>
      </c>
      <c r="C100" s="1462"/>
      <c r="D100" s="1462"/>
      <c r="E100" s="1463"/>
    </row>
    <row r="101" spans="1:5" ht="15" customHeight="1" thickBot="1" x14ac:dyDescent="0.3">
      <c r="A101" s="278" t="s">
        <v>240</v>
      </c>
      <c r="B101" s="1464" t="s">
        <v>1007</v>
      </c>
      <c r="C101" s="1465"/>
      <c r="D101" s="1465"/>
      <c r="E101" s="1466"/>
    </row>
    <row r="102" spans="1:5" ht="30" customHeight="1" thickBot="1" x14ac:dyDescent="0.3">
      <c r="A102" s="273" t="s">
        <v>17</v>
      </c>
      <c r="B102" s="1413" t="s">
        <v>1006</v>
      </c>
      <c r="C102" s="1414"/>
      <c r="D102" s="1414"/>
      <c r="E102" s="1450"/>
    </row>
    <row r="103" spans="1:5" ht="15" customHeight="1" thickBot="1" x14ac:dyDescent="0.3">
      <c r="A103" s="273" t="s">
        <v>18</v>
      </c>
      <c r="B103" s="1422" t="s">
        <v>1005</v>
      </c>
      <c r="C103" s="1423"/>
      <c r="D103" s="1423"/>
      <c r="E103" s="1451"/>
    </row>
    <row r="104" spans="1:5" ht="15" customHeight="1" x14ac:dyDescent="0.25">
      <c r="A104" s="1437"/>
      <c r="B104" s="62">
        <v>2018</v>
      </c>
      <c r="C104" s="62">
        <v>2019</v>
      </c>
      <c r="D104" s="62">
        <v>2020</v>
      </c>
      <c r="E104" s="271">
        <v>2021</v>
      </c>
    </row>
    <row r="105" spans="1:5" ht="15" customHeight="1" thickBot="1" x14ac:dyDescent="0.3">
      <c r="A105" s="1438"/>
      <c r="B105" s="63" t="s">
        <v>10</v>
      </c>
      <c r="C105" s="63" t="s">
        <v>11</v>
      </c>
      <c r="D105" s="63" t="s">
        <v>11</v>
      </c>
      <c r="E105" s="270" t="s">
        <v>11</v>
      </c>
    </row>
    <row r="106" spans="1:5" ht="15" customHeight="1" thickBot="1" x14ac:dyDescent="0.3">
      <c r="A106" s="273" t="s">
        <v>19</v>
      </c>
      <c r="B106" s="47">
        <v>20</v>
      </c>
      <c r="C106" s="47">
        <v>20</v>
      </c>
      <c r="D106" s="47">
        <v>20</v>
      </c>
      <c r="E106" s="277">
        <v>20</v>
      </c>
    </row>
    <row r="107" spans="1:5" ht="15" customHeight="1" thickBot="1" x14ac:dyDescent="0.3">
      <c r="A107" s="273" t="s">
        <v>20</v>
      </c>
      <c r="B107" s="47">
        <v>960</v>
      </c>
      <c r="C107" s="47">
        <v>960</v>
      </c>
      <c r="D107" s="47">
        <v>960</v>
      </c>
      <c r="E107" s="277">
        <v>960</v>
      </c>
    </row>
    <row r="108" spans="1:5" ht="15" customHeight="1" thickBot="1" x14ac:dyDescent="0.3">
      <c r="A108" s="273" t="s">
        <v>21</v>
      </c>
      <c r="B108" s="47">
        <f>B107/B106</f>
        <v>48</v>
      </c>
      <c r="C108" s="47">
        <f>C107/C106</f>
        <v>48</v>
      </c>
      <c r="D108" s="47">
        <f>D107/D106</f>
        <v>48</v>
      </c>
      <c r="E108" s="277">
        <f>E107/E106</f>
        <v>48</v>
      </c>
    </row>
    <row r="109" spans="1:5" ht="15" customHeight="1" thickBot="1" x14ac:dyDescent="0.3">
      <c r="A109" s="273" t="s">
        <v>22</v>
      </c>
      <c r="B109" s="228" t="s">
        <v>23</v>
      </c>
      <c r="C109" s="48">
        <f t="shared" ref="C109:E111" si="3">C106/B106-1</f>
        <v>0</v>
      </c>
      <c r="D109" s="48">
        <f t="shared" si="3"/>
        <v>0</v>
      </c>
      <c r="E109" s="272">
        <f t="shared" si="3"/>
        <v>0</v>
      </c>
    </row>
    <row r="110" spans="1:5" ht="15" customHeight="1" thickBot="1" x14ac:dyDescent="0.3">
      <c r="A110" s="273" t="s">
        <v>24</v>
      </c>
      <c r="B110" s="228" t="s">
        <v>23</v>
      </c>
      <c r="C110" s="48">
        <f t="shared" si="3"/>
        <v>0</v>
      </c>
      <c r="D110" s="48">
        <f t="shared" si="3"/>
        <v>0</v>
      </c>
      <c r="E110" s="272">
        <f t="shared" si="3"/>
        <v>0</v>
      </c>
    </row>
    <row r="111" spans="1:5" ht="15" customHeight="1" thickBot="1" x14ac:dyDescent="0.3">
      <c r="A111" s="273" t="s">
        <v>25</v>
      </c>
      <c r="B111" s="228" t="s">
        <v>23</v>
      </c>
      <c r="C111" s="48">
        <f t="shared" si="3"/>
        <v>0</v>
      </c>
      <c r="D111" s="48">
        <f t="shared" si="3"/>
        <v>0</v>
      </c>
      <c r="E111" s="272">
        <f t="shared" si="3"/>
        <v>0</v>
      </c>
    </row>
    <row r="112" spans="1:5" ht="15" customHeight="1" thickBot="1" x14ac:dyDescent="0.3">
      <c r="A112" s="1435" t="s">
        <v>1004</v>
      </c>
      <c r="B112" s="1428"/>
      <c r="C112" s="1428"/>
      <c r="D112" s="1428"/>
      <c r="E112" s="1436"/>
    </row>
    <row r="113" spans="1:5" ht="15" customHeight="1" x14ac:dyDescent="0.25">
      <c r="A113" s="1437"/>
      <c r="B113" s="62">
        <v>2018</v>
      </c>
      <c r="C113" s="62">
        <v>2019</v>
      </c>
      <c r="D113" s="62">
        <v>2020</v>
      </c>
      <c r="E113" s="271">
        <v>2021</v>
      </c>
    </row>
    <row r="114" spans="1:5" ht="15" customHeight="1" thickBot="1" x14ac:dyDescent="0.3">
      <c r="A114" s="1438"/>
      <c r="B114" s="63" t="s">
        <v>10</v>
      </c>
      <c r="C114" s="63" t="s">
        <v>11</v>
      </c>
      <c r="D114" s="63" t="s">
        <v>11</v>
      </c>
      <c r="E114" s="270" t="s">
        <v>11</v>
      </c>
    </row>
    <row r="115" spans="1:5" ht="15" customHeight="1" thickBot="1" x14ac:dyDescent="0.3">
      <c r="A115" s="269" t="s">
        <v>58</v>
      </c>
      <c r="B115" s="50"/>
      <c r="C115" s="50"/>
      <c r="D115" s="50"/>
      <c r="E115" s="268"/>
    </row>
    <row r="116" spans="1:5" ht="15" customHeight="1" thickBot="1" x14ac:dyDescent="0.3">
      <c r="A116" s="269" t="s">
        <v>59</v>
      </c>
      <c r="B116" s="52">
        <v>960</v>
      </c>
      <c r="C116" s="50">
        <v>960</v>
      </c>
      <c r="D116" s="50">
        <v>960</v>
      </c>
      <c r="E116" s="268">
        <v>960</v>
      </c>
    </row>
    <row r="117" spans="1:5" ht="15" customHeight="1" thickBot="1" x14ac:dyDescent="0.3">
      <c r="A117" s="267" t="s">
        <v>137</v>
      </c>
      <c r="B117" s="264">
        <f>B116+B115</f>
        <v>960</v>
      </c>
      <c r="C117" s="264">
        <f>C116+C115</f>
        <v>960</v>
      </c>
      <c r="D117" s="264">
        <f>D116+D115</f>
        <v>960</v>
      </c>
      <c r="E117" s="295">
        <f>E116+E115</f>
        <v>960</v>
      </c>
    </row>
    <row r="118" spans="1:5" ht="15" customHeight="1" x14ac:dyDescent="0.25">
      <c r="A118" s="1441" t="s">
        <v>1003</v>
      </c>
      <c r="B118" s="1322"/>
      <c r="C118" s="1289"/>
      <c r="D118" s="1289"/>
      <c r="E118" s="1444"/>
    </row>
    <row r="119" spans="1:5" ht="15" customHeight="1" x14ac:dyDescent="0.25">
      <c r="A119" s="1442"/>
      <c r="B119" s="1291"/>
      <c r="C119" s="1292"/>
      <c r="D119" s="1292"/>
      <c r="E119" s="1445"/>
    </row>
    <row r="120" spans="1:5" ht="9" customHeight="1" thickBot="1" x14ac:dyDescent="0.3">
      <c r="A120" s="1477"/>
      <c r="B120" s="1294"/>
      <c r="C120" s="1295"/>
      <c r="D120" s="1295"/>
      <c r="E120" s="1478"/>
    </row>
    <row r="121" spans="1:5" ht="48.75" customHeight="1" thickBot="1" x14ac:dyDescent="0.3">
      <c r="A121" s="294" t="s">
        <v>67</v>
      </c>
      <c r="B121" s="1413" t="s">
        <v>1002</v>
      </c>
      <c r="C121" s="1414"/>
      <c r="D121" s="1414"/>
      <c r="E121" s="1450"/>
    </row>
    <row r="122" spans="1:5" ht="18" customHeight="1" thickBot="1" x14ac:dyDescent="0.3">
      <c r="A122" s="1476" t="s">
        <v>134</v>
      </c>
      <c r="B122" s="1420"/>
      <c r="C122" s="1420"/>
      <c r="D122" s="1420"/>
      <c r="E122" s="1467"/>
    </row>
    <row r="123" spans="1:5" ht="18" customHeight="1" thickBot="1" x14ac:dyDescent="0.3">
      <c r="A123" s="293"/>
      <c r="B123" s="40">
        <v>0.95</v>
      </c>
      <c r="C123" s="40">
        <v>0.99</v>
      </c>
      <c r="D123" s="40">
        <v>0.99</v>
      </c>
      <c r="E123" s="292">
        <v>1</v>
      </c>
    </row>
    <row r="124" spans="1:5" ht="18" customHeight="1" thickBot="1" x14ac:dyDescent="0.3">
      <c r="A124" s="1470" t="s">
        <v>69</v>
      </c>
      <c r="B124" s="1471"/>
      <c r="C124" s="1471"/>
      <c r="D124" s="1471"/>
      <c r="E124" s="1472"/>
    </row>
    <row r="125" spans="1:5" ht="18" customHeight="1" thickBot="1" x14ac:dyDescent="0.3">
      <c r="A125" s="1470" t="s">
        <v>104</v>
      </c>
      <c r="B125" s="1471"/>
      <c r="C125" s="1471"/>
      <c r="D125" s="1471"/>
      <c r="E125" s="1472"/>
    </row>
    <row r="126" spans="1:5" ht="18" customHeight="1" thickBot="1" x14ac:dyDescent="0.3">
      <c r="A126" s="291" t="s">
        <v>135</v>
      </c>
      <c r="B126" s="1473" t="s">
        <v>154</v>
      </c>
      <c r="C126" s="1474"/>
      <c r="D126" s="1474"/>
      <c r="E126" s="1475"/>
    </row>
    <row r="127" spans="1:5" ht="29.25" customHeight="1" thickBot="1" x14ac:dyDescent="0.3">
      <c r="A127" s="273" t="s">
        <v>17</v>
      </c>
      <c r="B127" s="1419" t="s">
        <v>1001</v>
      </c>
      <c r="C127" s="1420"/>
      <c r="D127" s="1420"/>
      <c r="E127" s="1467"/>
    </row>
    <row r="128" spans="1:5" ht="18" customHeight="1" thickBot="1" x14ac:dyDescent="0.3">
      <c r="A128" s="273" t="s">
        <v>18</v>
      </c>
      <c r="B128" s="1422" t="s">
        <v>155</v>
      </c>
      <c r="C128" s="1423"/>
      <c r="D128" s="1423"/>
      <c r="E128" s="1451"/>
    </row>
    <row r="129" spans="1:5" ht="18" customHeight="1" thickBot="1" x14ac:dyDescent="0.3">
      <c r="A129" s="273" t="s">
        <v>19</v>
      </c>
      <c r="B129" s="47">
        <v>15</v>
      </c>
      <c r="C129" s="47">
        <v>15</v>
      </c>
      <c r="D129" s="47">
        <v>15</v>
      </c>
      <c r="E129" s="277">
        <v>15</v>
      </c>
    </row>
    <row r="130" spans="1:5" ht="18" customHeight="1" x14ac:dyDescent="0.25">
      <c r="A130" s="1437"/>
      <c r="B130" s="43">
        <v>2018</v>
      </c>
      <c r="C130" s="43">
        <v>2019</v>
      </c>
      <c r="D130" s="43">
        <v>2020</v>
      </c>
      <c r="E130" s="286">
        <v>2021</v>
      </c>
    </row>
    <row r="131" spans="1:5" ht="18" customHeight="1" thickBot="1" x14ac:dyDescent="0.3">
      <c r="A131" s="1438"/>
      <c r="B131" s="44" t="s">
        <v>10</v>
      </c>
      <c r="C131" s="44" t="s">
        <v>11</v>
      </c>
      <c r="D131" s="44" t="s">
        <v>11</v>
      </c>
      <c r="E131" s="285" t="s">
        <v>11</v>
      </c>
    </row>
    <row r="132" spans="1:5" ht="18" customHeight="1" thickBot="1" x14ac:dyDescent="0.3">
      <c r="A132" s="273" t="s">
        <v>20</v>
      </c>
      <c r="B132" s="47">
        <v>11700</v>
      </c>
      <c r="C132" s="47">
        <v>11700</v>
      </c>
      <c r="D132" s="47">
        <v>11700</v>
      </c>
      <c r="E132" s="277">
        <v>11700</v>
      </c>
    </row>
    <row r="133" spans="1:5" ht="18" customHeight="1" thickBot="1" x14ac:dyDescent="0.3">
      <c r="A133" s="273" t="s">
        <v>21</v>
      </c>
      <c r="B133" s="47">
        <f>B132/B129</f>
        <v>780</v>
      </c>
      <c r="C133" s="47">
        <f>C132/C129</f>
        <v>780</v>
      </c>
      <c r="D133" s="47">
        <f>D132/D129</f>
        <v>780</v>
      </c>
      <c r="E133" s="277">
        <f>E132/E129</f>
        <v>780</v>
      </c>
    </row>
    <row r="134" spans="1:5" ht="18" customHeight="1" thickBot="1" x14ac:dyDescent="0.3">
      <c r="A134" s="273" t="s">
        <v>22</v>
      </c>
      <c r="B134" s="228"/>
      <c r="C134" s="48">
        <f>C129/B129-1</f>
        <v>0</v>
      </c>
      <c r="D134" s="48">
        <f>D129/C129-1</f>
        <v>0</v>
      </c>
      <c r="E134" s="272">
        <f>E129/D129-1</f>
        <v>0</v>
      </c>
    </row>
    <row r="135" spans="1:5" ht="18" customHeight="1" thickBot="1" x14ac:dyDescent="0.3">
      <c r="A135" s="273" t="s">
        <v>24</v>
      </c>
      <c r="B135" s="228"/>
      <c r="C135" s="48">
        <f t="shared" ref="C135:E136" si="4">C132/B132-1</f>
        <v>0</v>
      </c>
      <c r="D135" s="48">
        <f t="shared" si="4"/>
        <v>0</v>
      </c>
      <c r="E135" s="272">
        <f t="shared" si="4"/>
        <v>0</v>
      </c>
    </row>
    <row r="136" spans="1:5" ht="18" customHeight="1" thickBot="1" x14ac:dyDescent="0.3">
      <c r="A136" s="273" t="s">
        <v>25</v>
      </c>
      <c r="B136" s="228"/>
      <c r="C136" s="48">
        <f t="shared" si="4"/>
        <v>0</v>
      </c>
      <c r="D136" s="48">
        <f t="shared" si="4"/>
        <v>0</v>
      </c>
      <c r="E136" s="272">
        <f t="shared" si="4"/>
        <v>0</v>
      </c>
    </row>
    <row r="137" spans="1:5" ht="18" customHeight="1" thickBot="1" x14ac:dyDescent="0.3">
      <c r="A137" s="1435" t="s">
        <v>1000</v>
      </c>
      <c r="B137" s="1428"/>
      <c r="C137" s="1428"/>
      <c r="D137" s="1428"/>
      <c r="E137" s="1436"/>
    </row>
    <row r="138" spans="1:5" ht="18" customHeight="1" x14ac:dyDescent="0.25">
      <c r="A138" s="1439"/>
      <c r="B138" s="43">
        <v>2018</v>
      </c>
      <c r="C138" s="43">
        <v>2019</v>
      </c>
      <c r="D138" s="43">
        <v>2020</v>
      </c>
      <c r="E138" s="286">
        <v>2021</v>
      </c>
    </row>
    <row r="139" spans="1:5" ht="18" customHeight="1" thickBot="1" x14ac:dyDescent="0.3">
      <c r="A139" s="1440"/>
      <c r="B139" s="44" t="s">
        <v>10</v>
      </c>
      <c r="C139" s="44" t="s">
        <v>11</v>
      </c>
      <c r="D139" s="44" t="s">
        <v>11</v>
      </c>
      <c r="E139" s="285" t="s">
        <v>11</v>
      </c>
    </row>
    <row r="140" spans="1:5" ht="18" customHeight="1" thickBot="1" x14ac:dyDescent="0.3">
      <c r="A140" s="284" t="s">
        <v>26</v>
      </c>
      <c r="B140" s="50"/>
      <c r="C140" s="50"/>
      <c r="D140" s="50"/>
      <c r="E140" s="268"/>
    </row>
    <row r="141" spans="1:5" ht="18" customHeight="1" thickBot="1" x14ac:dyDescent="0.3">
      <c r="A141" s="284" t="s">
        <v>28</v>
      </c>
      <c r="B141" s="50"/>
      <c r="C141" s="50"/>
      <c r="D141" s="50"/>
      <c r="E141" s="268"/>
    </row>
    <row r="142" spans="1:5" ht="18" customHeight="1" thickBot="1" x14ac:dyDescent="0.3">
      <c r="A142" s="284" t="s">
        <v>30</v>
      </c>
      <c r="B142" s="52">
        <v>11700</v>
      </c>
      <c r="C142" s="50">
        <v>11700</v>
      </c>
      <c r="D142" s="50">
        <v>11700</v>
      </c>
      <c r="E142" s="268">
        <v>11700</v>
      </c>
    </row>
    <row r="143" spans="1:5" ht="18" customHeight="1" thickBot="1" x14ac:dyDescent="0.3">
      <c r="A143" s="284" t="s">
        <v>32</v>
      </c>
      <c r="B143" s="52"/>
      <c r="C143" s="50"/>
      <c r="D143" s="50"/>
      <c r="E143" s="268"/>
    </row>
    <row r="144" spans="1:5" ht="18" customHeight="1" thickBot="1" x14ac:dyDescent="0.3">
      <c r="A144" s="284" t="s">
        <v>34</v>
      </c>
      <c r="B144" s="52"/>
      <c r="C144" s="50"/>
      <c r="D144" s="50"/>
      <c r="E144" s="268"/>
    </row>
    <row r="145" spans="1:5" ht="18" customHeight="1" thickBot="1" x14ac:dyDescent="0.3">
      <c r="A145" s="284" t="s">
        <v>36</v>
      </c>
      <c r="B145" s="52"/>
      <c r="C145" s="50"/>
      <c r="D145" s="50"/>
      <c r="E145" s="268"/>
    </row>
    <row r="146" spans="1:5" ht="18" customHeight="1" thickBot="1" x14ac:dyDescent="0.3">
      <c r="A146" s="284" t="s">
        <v>38</v>
      </c>
      <c r="B146" s="52"/>
      <c r="C146" s="50"/>
      <c r="D146" s="50"/>
      <c r="E146" s="268"/>
    </row>
    <row r="147" spans="1:5" ht="18" customHeight="1" thickBot="1" x14ac:dyDescent="0.3">
      <c r="A147" s="283" t="s">
        <v>136</v>
      </c>
      <c r="B147" s="52">
        <f>B146+B145+B144+B143+B142+B141+B140</f>
        <v>11700</v>
      </c>
      <c r="C147" s="52">
        <f>C146+C145+C144+C143+C142+C141+C140</f>
        <v>11700</v>
      </c>
      <c r="D147" s="52">
        <f>D146+D145+D144+D143+D142+D141+D140</f>
        <v>11700</v>
      </c>
      <c r="E147" s="266">
        <f>E146+E145+E144+E143+E142+E141+E140</f>
        <v>11700</v>
      </c>
    </row>
    <row r="148" spans="1:5" ht="18" customHeight="1" thickBot="1" x14ac:dyDescent="0.3">
      <c r="A148" s="290" t="s">
        <v>41</v>
      </c>
      <c r="B148" s="289">
        <f>IF(B147-B132=0,0,"Error")</f>
        <v>0</v>
      </c>
      <c r="C148" s="289">
        <f>IF(C147-C132=0,0,"Error")</f>
        <v>0</v>
      </c>
      <c r="D148" s="289">
        <f>IF(D147-D132=0,0,"Error")</f>
        <v>0</v>
      </c>
      <c r="E148" s="288">
        <f>IF(E147-E132=0,0,"Error")</f>
        <v>0</v>
      </c>
    </row>
    <row r="149" spans="1:5" ht="18" customHeight="1" thickBot="1" x14ac:dyDescent="0.3">
      <c r="A149" s="287" t="s">
        <v>999</v>
      </c>
      <c r="B149" s="1452" t="s">
        <v>159</v>
      </c>
      <c r="C149" s="1453"/>
      <c r="D149" s="1453"/>
      <c r="E149" s="1454"/>
    </row>
    <row r="150" spans="1:5" ht="38.25" customHeight="1" thickBot="1" x14ac:dyDescent="0.3">
      <c r="A150" s="273" t="s">
        <v>17</v>
      </c>
      <c r="B150" s="1455" t="s">
        <v>160</v>
      </c>
      <c r="C150" s="1456"/>
      <c r="D150" s="1456"/>
      <c r="E150" s="1457"/>
    </row>
    <row r="151" spans="1:5" ht="18" customHeight="1" thickBot="1" x14ac:dyDescent="0.3">
      <c r="A151" s="273" t="s">
        <v>18</v>
      </c>
      <c r="B151" s="1422" t="s">
        <v>161</v>
      </c>
      <c r="C151" s="1423"/>
      <c r="D151" s="1423"/>
      <c r="E151" s="1451"/>
    </row>
    <row r="152" spans="1:5" ht="18" customHeight="1" thickBot="1" x14ac:dyDescent="0.3">
      <c r="A152" s="273" t="s">
        <v>19</v>
      </c>
      <c r="B152" s="47">
        <v>62</v>
      </c>
      <c r="C152" s="47">
        <v>62</v>
      </c>
      <c r="D152" s="47">
        <v>62</v>
      </c>
      <c r="E152" s="277">
        <v>62</v>
      </c>
    </row>
    <row r="153" spans="1:5" ht="15.75" customHeight="1" x14ac:dyDescent="0.25">
      <c r="A153" s="1437"/>
      <c r="B153" s="43">
        <v>2018</v>
      </c>
      <c r="C153" s="43">
        <v>2019</v>
      </c>
      <c r="D153" s="43">
        <v>2020</v>
      </c>
      <c r="E153" s="286">
        <v>2021</v>
      </c>
    </row>
    <row r="154" spans="1:5" ht="14.25" customHeight="1" thickBot="1" x14ac:dyDescent="0.3">
      <c r="A154" s="1438"/>
      <c r="B154" s="44" t="s">
        <v>10</v>
      </c>
      <c r="C154" s="44" t="s">
        <v>11</v>
      </c>
      <c r="D154" s="44" t="s">
        <v>11</v>
      </c>
      <c r="E154" s="285" t="s">
        <v>11</v>
      </c>
    </row>
    <row r="155" spans="1:5" ht="18" customHeight="1" thickBot="1" x14ac:dyDescent="0.3">
      <c r="A155" s="273" t="s">
        <v>20</v>
      </c>
      <c r="B155" s="47">
        <v>50400</v>
      </c>
      <c r="C155" s="47">
        <v>51600</v>
      </c>
      <c r="D155" s="47">
        <v>51600</v>
      </c>
      <c r="E155" s="277">
        <v>51600</v>
      </c>
    </row>
    <row r="156" spans="1:5" ht="18" customHeight="1" thickBot="1" x14ac:dyDescent="0.3">
      <c r="A156" s="273" t="s">
        <v>21</v>
      </c>
      <c r="B156" s="47">
        <f>B155/B152</f>
        <v>812.90322580645159</v>
      </c>
      <c r="C156" s="47">
        <f>C155/C152</f>
        <v>832.25806451612902</v>
      </c>
      <c r="D156" s="47">
        <f>D155/D152</f>
        <v>832.25806451612902</v>
      </c>
      <c r="E156" s="277">
        <f>E155/E152</f>
        <v>832.25806451612902</v>
      </c>
    </row>
    <row r="157" spans="1:5" ht="18" customHeight="1" thickBot="1" x14ac:dyDescent="0.3">
      <c r="A157" s="273" t="s">
        <v>22</v>
      </c>
      <c r="B157" s="228"/>
      <c r="C157" s="48">
        <f>C152/B152-1</f>
        <v>0</v>
      </c>
      <c r="D157" s="48">
        <f>D152/C152-1</f>
        <v>0</v>
      </c>
      <c r="E157" s="272">
        <f>E152/D152-1</f>
        <v>0</v>
      </c>
    </row>
    <row r="158" spans="1:5" ht="18" customHeight="1" thickBot="1" x14ac:dyDescent="0.3">
      <c r="A158" s="273" t="s">
        <v>24</v>
      </c>
      <c r="B158" s="228"/>
      <c r="C158" s="48">
        <f t="shared" ref="C158:E159" si="5">C155/B155-1</f>
        <v>2.3809523809523725E-2</v>
      </c>
      <c r="D158" s="48">
        <f t="shared" si="5"/>
        <v>0</v>
      </c>
      <c r="E158" s="272">
        <f t="shared" si="5"/>
        <v>0</v>
      </c>
    </row>
    <row r="159" spans="1:5" ht="18" customHeight="1" thickBot="1" x14ac:dyDescent="0.3">
      <c r="A159" s="273" t="s">
        <v>25</v>
      </c>
      <c r="B159" s="228"/>
      <c r="C159" s="48">
        <f t="shared" si="5"/>
        <v>2.3809523809523725E-2</v>
      </c>
      <c r="D159" s="48">
        <f t="shared" si="5"/>
        <v>0</v>
      </c>
      <c r="E159" s="272">
        <f t="shared" si="5"/>
        <v>0</v>
      </c>
    </row>
    <row r="160" spans="1:5" ht="31.5" customHeight="1" thickBot="1" x14ac:dyDescent="0.3">
      <c r="A160" s="1435" t="s">
        <v>998</v>
      </c>
      <c r="B160" s="1428"/>
      <c r="C160" s="1428"/>
      <c r="D160" s="1428"/>
      <c r="E160" s="1436"/>
    </row>
    <row r="161" spans="1:5" ht="18" customHeight="1" x14ac:dyDescent="0.25">
      <c r="A161" s="1468"/>
      <c r="B161" s="43">
        <v>2018</v>
      </c>
      <c r="C161" s="43">
        <v>2019</v>
      </c>
      <c r="D161" s="43">
        <v>2020</v>
      </c>
      <c r="E161" s="286">
        <v>2021</v>
      </c>
    </row>
    <row r="162" spans="1:5" ht="18" customHeight="1" thickBot="1" x14ac:dyDescent="0.3">
      <c r="A162" s="1469"/>
      <c r="B162" s="44" t="s">
        <v>10</v>
      </c>
      <c r="C162" s="44" t="s">
        <v>11</v>
      </c>
      <c r="D162" s="44" t="s">
        <v>11</v>
      </c>
      <c r="E162" s="285" t="s">
        <v>11</v>
      </c>
    </row>
    <row r="163" spans="1:5" ht="18" customHeight="1" thickBot="1" x14ac:dyDescent="0.3">
      <c r="A163" s="284" t="s">
        <v>26</v>
      </c>
      <c r="B163" s="50">
        <v>32200</v>
      </c>
      <c r="C163" s="50">
        <v>32200</v>
      </c>
      <c r="D163" s="50">
        <v>32200</v>
      </c>
      <c r="E163" s="268">
        <v>32200</v>
      </c>
    </row>
    <row r="164" spans="1:5" ht="18" customHeight="1" thickBot="1" x14ac:dyDescent="0.3">
      <c r="A164" s="284" t="s">
        <v>28</v>
      </c>
      <c r="B164" s="50">
        <v>4800</v>
      </c>
      <c r="C164" s="50">
        <v>4800</v>
      </c>
      <c r="D164" s="50">
        <v>4800</v>
      </c>
      <c r="E164" s="268">
        <v>4800</v>
      </c>
    </row>
    <row r="165" spans="1:5" ht="18" customHeight="1" thickBot="1" x14ac:dyDescent="0.3">
      <c r="A165" s="284" t="s">
        <v>30</v>
      </c>
      <c r="B165" s="52">
        <v>13400</v>
      </c>
      <c r="C165" s="50">
        <v>14600</v>
      </c>
      <c r="D165" s="50">
        <v>14600</v>
      </c>
      <c r="E165" s="268">
        <v>14600</v>
      </c>
    </row>
    <row r="166" spans="1:5" ht="18" customHeight="1" thickBot="1" x14ac:dyDescent="0.3">
      <c r="A166" s="284" t="s">
        <v>32</v>
      </c>
      <c r="B166" s="52"/>
      <c r="C166" s="50"/>
      <c r="D166" s="50"/>
      <c r="E166" s="268"/>
    </row>
    <row r="167" spans="1:5" ht="18" customHeight="1" thickBot="1" x14ac:dyDescent="0.3">
      <c r="A167" s="284" t="s">
        <v>34</v>
      </c>
      <c r="B167" s="52"/>
      <c r="C167" s="50"/>
      <c r="D167" s="50"/>
      <c r="E167" s="268"/>
    </row>
    <row r="168" spans="1:5" ht="18" customHeight="1" thickBot="1" x14ac:dyDescent="0.3">
      <c r="A168" s="284" t="s">
        <v>36</v>
      </c>
      <c r="B168" s="52"/>
      <c r="C168" s="50"/>
      <c r="D168" s="50"/>
      <c r="E168" s="268"/>
    </row>
    <row r="169" spans="1:5" ht="18" customHeight="1" thickBot="1" x14ac:dyDescent="0.3">
      <c r="A169" s="284" t="s">
        <v>38</v>
      </c>
      <c r="B169" s="52"/>
      <c r="C169" s="50"/>
      <c r="D169" s="50"/>
      <c r="E169" s="268"/>
    </row>
    <row r="170" spans="1:5" ht="18" customHeight="1" thickBot="1" x14ac:dyDescent="0.3">
      <c r="A170" s="283" t="s">
        <v>231</v>
      </c>
      <c r="B170" s="52">
        <f>B169+B168+B167+B166+B165+B164+B163</f>
        <v>50400</v>
      </c>
      <c r="C170" s="52">
        <f>C169+C168+C167+C166+C165+C164+C163</f>
        <v>51600</v>
      </c>
      <c r="D170" s="52">
        <f>D169+D168+D167+D166+D165+D164+D163</f>
        <v>51600</v>
      </c>
      <c r="E170" s="266">
        <f>E169+E168+E167+E166+E165+E164+E163</f>
        <v>51600</v>
      </c>
    </row>
    <row r="171" spans="1:5" ht="18" customHeight="1" thickBot="1" x14ac:dyDescent="0.3">
      <c r="A171" s="282" t="s">
        <v>41</v>
      </c>
      <c r="B171" s="46">
        <f>IF(B170-B155=0,0,"Error")</f>
        <v>0</v>
      </c>
      <c r="C171" s="46">
        <f>IF(C170-C155=0,0,"Error")</f>
        <v>0</v>
      </c>
      <c r="D171" s="46">
        <f>IF(D170-D155=0,0,"Error")</f>
        <v>0</v>
      </c>
      <c r="E171" s="281">
        <f>IF(E170-E155=0,0,"Error")</f>
        <v>0</v>
      </c>
    </row>
    <row r="172" spans="1:5" ht="18" customHeight="1" thickBot="1" x14ac:dyDescent="0.3">
      <c r="A172" s="1470" t="s">
        <v>63</v>
      </c>
      <c r="B172" s="1471"/>
      <c r="C172" s="1471"/>
      <c r="D172" s="1471"/>
      <c r="E172" s="1472"/>
    </row>
    <row r="173" spans="1:5" ht="18" customHeight="1" thickBot="1" x14ac:dyDescent="0.3">
      <c r="A173" s="1470" t="s">
        <v>56</v>
      </c>
      <c r="B173" s="1471"/>
      <c r="C173" s="1471"/>
      <c r="D173" s="1471"/>
      <c r="E173" s="1472"/>
    </row>
    <row r="174" spans="1:5" ht="18" customHeight="1" thickBot="1" x14ac:dyDescent="0.3">
      <c r="A174" s="280" t="s">
        <v>61</v>
      </c>
      <c r="B174" s="1241" t="s">
        <v>124</v>
      </c>
      <c r="C174" s="1242"/>
      <c r="D174" s="1242"/>
      <c r="E174" s="1449"/>
    </row>
    <row r="175" spans="1:5" ht="28.5" customHeight="1" thickBot="1" x14ac:dyDescent="0.3">
      <c r="A175" s="279" t="s">
        <v>997</v>
      </c>
      <c r="B175" s="1413" t="s">
        <v>996</v>
      </c>
      <c r="C175" s="1414"/>
      <c r="D175" s="1414"/>
      <c r="E175" s="1450"/>
    </row>
    <row r="176" spans="1:5" ht="17.25" customHeight="1" thickBot="1" x14ac:dyDescent="0.3">
      <c r="A176" s="278" t="s">
        <v>223</v>
      </c>
      <c r="B176" s="1413" t="s">
        <v>995</v>
      </c>
      <c r="C176" s="1414"/>
      <c r="D176" s="1414"/>
      <c r="E176" s="1450"/>
    </row>
    <row r="177" spans="1:5" ht="33" customHeight="1" thickBot="1" x14ac:dyDescent="0.3">
      <c r="A177" s="273" t="s">
        <v>17</v>
      </c>
      <c r="B177" s="1413" t="s">
        <v>994</v>
      </c>
      <c r="C177" s="1414"/>
      <c r="D177" s="1414"/>
      <c r="E177" s="1450"/>
    </row>
    <row r="178" spans="1:5" ht="18" customHeight="1" thickBot="1" x14ac:dyDescent="0.3">
      <c r="A178" s="273" t="s">
        <v>18</v>
      </c>
      <c r="B178" s="1422" t="s">
        <v>73</v>
      </c>
      <c r="C178" s="1423"/>
      <c r="D178" s="1423"/>
      <c r="E178" s="1451"/>
    </row>
    <row r="179" spans="1:5" ht="18" customHeight="1" x14ac:dyDescent="0.25">
      <c r="A179" s="1437"/>
      <c r="B179" s="62">
        <v>2018</v>
      </c>
      <c r="C179" s="62">
        <v>2019</v>
      </c>
      <c r="D179" s="62">
        <v>2020</v>
      </c>
      <c r="E179" s="271">
        <v>2021</v>
      </c>
    </row>
    <row r="180" spans="1:5" ht="18" customHeight="1" thickBot="1" x14ac:dyDescent="0.3">
      <c r="A180" s="1438"/>
      <c r="B180" s="63" t="s">
        <v>10</v>
      </c>
      <c r="C180" s="63" t="s">
        <v>11</v>
      </c>
      <c r="D180" s="63" t="s">
        <v>11</v>
      </c>
      <c r="E180" s="270" t="s">
        <v>11</v>
      </c>
    </row>
    <row r="181" spans="1:5" ht="18" customHeight="1" thickBot="1" x14ac:dyDescent="0.3">
      <c r="A181" s="273" t="s">
        <v>19</v>
      </c>
      <c r="B181" s="47">
        <v>12</v>
      </c>
      <c r="C181" s="47">
        <v>10</v>
      </c>
      <c r="D181" s="47">
        <v>10</v>
      </c>
      <c r="E181" s="277">
        <v>10</v>
      </c>
    </row>
    <row r="182" spans="1:5" ht="18" customHeight="1" thickBot="1" x14ac:dyDescent="0.3">
      <c r="A182" s="273" t="s">
        <v>20</v>
      </c>
      <c r="B182" s="47">
        <v>2040</v>
      </c>
      <c r="C182" s="47">
        <v>1540</v>
      </c>
      <c r="D182" s="47">
        <v>1540</v>
      </c>
      <c r="E182" s="277">
        <v>1540</v>
      </c>
    </row>
    <row r="183" spans="1:5" ht="18" customHeight="1" thickBot="1" x14ac:dyDescent="0.3">
      <c r="A183" s="273" t="s">
        <v>21</v>
      </c>
      <c r="B183" s="47">
        <f>B182/B181</f>
        <v>170</v>
      </c>
      <c r="C183" s="47">
        <f>C182/C181</f>
        <v>154</v>
      </c>
      <c r="D183" s="47">
        <f>D182/D181</f>
        <v>154</v>
      </c>
      <c r="E183" s="277">
        <f>E182/E181</f>
        <v>154</v>
      </c>
    </row>
    <row r="184" spans="1:5" ht="18" customHeight="1" thickBot="1" x14ac:dyDescent="0.3">
      <c r="A184" s="273" t="s">
        <v>22</v>
      </c>
      <c r="B184" s="228" t="s">
        <v>23</v>
      </c>
      <c r="C184" s="48">
        <f t="shared" ref="C184:E186" si="6">C181/B181-1</f>
        <v>-0.16666666666666663</v>
      </c>
      <c r="D184" s="48">
        <f t="shared" si="6"/>
        <v>0</v>
      </c>
      <c r="E184" s="272">
        <f t="shared" si="6"/>
        <v>0</v>
      </c>
    </row>
    <row r="185" spans="1:5" ht="18" customHeight="1" x14ac:dyDescent="0.25">
      <c r="A185" s="276" t="s">
        <v>24</v>
      </c>
      <c r="B185" s="227" t="s">
        <v>23</v>
      </c>
      <c r="C185" s="275">
        <f t="shared" si="6"/>
        <v>-0.24509803921568629</v>
      </c>
      <c r="D185" s="275">
        <f t="shared" si="6"/>
        <v>0</v>
      </c>
      <c r="E185" s="274">
        <f t="shared" si="6"/>
        <v>0</v>
      </c>
    </row>
    <row r="186" spans="1:5" ht="18" customHeight="1" thickBot="1" x14ac:dyDescent="0.3">
      <c r="A186" s="273" t="s">
        <v>25</v>
      </c>
      <c r="B186" s="228" t="s">
        <v>23</v>
      </c>
      <c r="C186" s="48">
        <f t="shared" si="6"/>
        <v>-9.4117647058823528E-2</v>
      </c>
      <c r="D186" s="48">
        <f t="shared" si="6"/>
        <v>0</v>
      </c>
      <c r="E186" s="272">
        <f t="shared" si="6"/>
        <v>0</v>
      </c>
    </row>
    <row r="187" spans="1:5" ht="18" customHeight="1" thickBot="1" x14ac:dyDescent="0.3">
      <c r="A187" s="1435" t="s">
        <v>993</v>
      </c>
      <c r="B187" s="1428"/>
      <c r="C187" s="1428"/>
      <c r="D187" s="1428"/>
      <c r="E187" s="1436"/>
    </row>
    <row r="188" spans="1:5" ht="18" customHeight="1" x14ac:dyDescent="0.25">
      <c r="A188" s="1437"/>
      <c r="B188" s="62">
        <v>2018</v>
      </c>
      <c r="C188" s="62">
        <v>2019</v>
      </c>
      <c r="D188" s="62">
        <v>2020</v>
      </c>
      <c r="E188" s="271">
        <v>2021</v>
      </c>
    </row>
    <row r="189" spans="1:5" ht="18" customHeight="1" thickBot="1" x14ac:dyDescent="0.3">
      <c r="A189" s="1438"/>
      <c r="B189" s="63" t="s">
        <v>10</v>
      </c>
      <c r="C189" s="63" t="s">
        <v>11</v>
      </c>
      <c r="D189" s="63" t="s">
        <v>11</v>
      </c>
      <c r="E189" s="270" t="s">
        <v>11</v>
      </c>
    </row>
    <row r="190" spans="1:5" ht="18" customHeight="1" thickBot="1" x14ac:dyDescent="0.3">
      <c r="A190" s="269" t="s">
        <v>58</v>
      </c>
      <c r="B190" s="50"/>
      <c r="C190" s="50"/>
      <c r="D190" s="50"/>
      <c r="E190" s="268"/>
    </row>
    <row r="191" spans="1:5" ht="18" customHeight="1" thickBot="1" x14ac:dyDescent="0.3">
      <c r="A191" s="269" t="s">
        <v>59</v>
      </c>
      <c r="B191" s="52">
        <v>2040</v>
      </c>
      <c r="C191" s="50">
        <v>1540</v>
      </c>
      <c r="D191" s="50">
        <v>1540</v>
      </c>
      <c r="E191" s="268">
        <v>1540</v>
      </c>
    </row>
    <row r="192" spans="1:5" ht="18" customHeight="1" thickBot="1" x14ac:dyDescent="0.3">
      <c r="A192" s="267" t="s">
        <v>227</v>
      </c>
      <c r="B192" s="52">
        <f>B191+B190</f>
        <v>2040</v>
      </c>
      <c r="C192" s="52">
        <f>C191+C190</f>
        <v>1540</v>
      </c>
      <c r="D192" s="52">
        <f>D191+D190</f>
        <v>1540</v>
      </c>
      <c r="E192" s="266">
        <f>E191+E190</f>
        <v>1540</v>
      </c>
    </row>
    <row r="193" spans="1:5" ht="18" customHeight="1" x14ac:dyDescent="0.25">
      <c r="A193" s="1441" t="s">
        <v>992</v>
      </c>
      <c r="B193" s="1322"/>
      <c r="C193" s="1289"/>
      <c r="D193" s="1289"/>
      <c r="E193" s="1444"/>
    </row>
    <row r="194" spans="1:5" ht="7.5" customHeight="1" x14ac:dyDescent="0.25">
      <c r="A194" s="1442"/>
      <c r="B194" s="1291"/>
      <c r="C194" s="1292"/>
      <c r="D194" s="1292"/>
      <c r="E194" s="1445"/>
    </row>
    <row r="195" spans="1:5" ht="0.75" hidden="1" customHeight="1" thickBot="1" x14ac:dyDescent="0.3">
      <c r="A195" s="1443"/>
      <c r="B195" s="1446"/>
      <c r="C195" s="1447"/>
      <c r="D195" s="1447"/>
      <c r="E195" s="1448"/>
    </row>
    <row r="196" spans="1:5" ht="0.75" customHeight="1" thickBot="1" x14ac:dyDescent="0.3">
      <c r="A196" s="226"/>
      <c r="B196" s="222"/>
      <c r="C196" s="222"/>
      <c r="D196" s="222"/>
      <c r="E196" s="223"/>
    </row>
    <row r="197" spans="1:5" ht="13.5" customHeight="1" thickBot="1" x14ac:dyDescent="0.3">
      <c r="A197" s="1416" t="s">
        <v>63</v>
      </c>
      <c r="B197" s="1417"/>
      <c r="C197" s="1417"/>
      <c r="D197" s="1417"/>
      <c r="E197" s="1418"/>
    </row>
    <row r="198" spans="1:5" ht="13.5" customHeight="1" thickBot="1" x14ac:dyDescent="0.3">
      <c r="A198" s="1416" t="s">
        <v>64</v>
      </c>
      <c r="B198" s="1417"/>
      <c r="C198" s="1417"/>
      <c r="D198" s="1417"/>
      <c r="E198" s="1418"/>
    </row>
    <row r="199" spans="1:5" ht="13.5" customHeight="1" thickBot="1" x14ac:dyDescent="0.3">
      <c r="A199" s="20" t="s">
        <v>61</v>
      </c>
      <c r="B199" s="1241" t="s">
        <v>124</v>
      </c>
      <c r="C199" s="1242"/>
      <c r="D199" s="1242"/>
      <c r="E199" s="1318"/>
    </row>
    <row r="200" spans="1:5" ht="13.5" customHeight="1" thickBot="1" x14ac:dyDescent="0.3">
      <c r="A200" s="265" t="s">
        <v>991</v>
      </c>
      <c r="B200" s="1413" t="s">
        <v>990</v>
      </c>
      <c r="C200" s="1414"/>
      <c r="D200" s="1414"/>
      <c r="E200" s="1415"/>
    </row>
    <row r="201" spans="1:5" ht="13.5" customHeight="1" thickBot="1" x14ac:dyDescent="0.3">
      <c r="A201" s="42" t="s">
        <v>162</v>
      </c>
      <c r="B201" s="1413" t="s">
        <v>989</v>
      </c>
      <c r="C201" s="1414"/>
      <c r="D201" s="1414"/>
      <c r="E201" s="1415"/>
    </row>
    <row r="202" spans="1:5" ht="30" customHeight="1" thickBot="1" x14ac:dyDescent="0.3">
      <c r="A202" s="61" t="s">
        <v>17</v>
      </c>
      <c r="B202" s="1419" t="s">
        <v>988</v>
      </c>
      <c r="C202" s="1420"/>
      <c r="D202" s="1420"/>
      <c r="E202" s="1421"/>
    </row>
    <row r="203" spans="1:5" ht="13.5" customHeight="1" thickBot="1" x14ac:dyDescent="0.3">
      <c r="A203" s="61" t="s">
        <v>18</v>
      </c>
      <c r="B203" s="1422" t="s">
        <v>156</v>
      </c>
      <c r="C203" s="1423"/>
      <c r="D203" s="1423"/>
      <c r="E203" s="1424"/>
    </row>
    <row r="204" spans="1:5" ht="13.5" customHeight="1" x14ac:dyDescent="0.25">
      <c r="A204" s="1425"/>
      <c r="B204" s="62">
        <v>2018</v>
      </c>
      <c r="C204" s="62">
        <v>2019</v>
      </c>
      <c r="D204" s="62">
        <v>2020</v>
      </c>
      <c r="E204" s="62">
        <v>2021</v>
      </c>
    </row>
    <row r="205" spans="1:5" ht="13.5" customHeight="1" thickBot="1" x14ac:dyDescent="0.3">
      <c r="A205" s="1426"/>
      <c r="B205" s="63" t="s">
        <v>10</v>
      </c>
      <c r="C205" s="63" t="s">
        <v>11</v>
      </c>
      <c r="D205" s="63" t="s">
        <v>11</v>
      </c>
      <c r="E205" s="63" t="s">
        <v>11</v>
      </c>
    </row>
    <row r="206" spans="1:5" ht="13.5" customHeight="1" thickBot="1" x14ac:dyDescent="0.3">
      <c r="A206" s="61" t="s">
        <v>19</v>
      </c>
      <c r="B206" s="47">
        <v>0</v>
      </c>
      <c r="C206" s="47">
        <v>0</v>
      </c>
      <c r="D206" s="47">
        <v>0</v>
      </c>
      <c r="E206" s="47">
        <v>0</v>
      </c>
    </row>
    <row r="207" spans="1:5" ht="13.5" customHeight="1" thickBot="1" x14ac:dyDescent="0.3">
      <c r="A207" s="61" t="s">
        <v>20</v>
      </c>
      <c r="B207" s="47">
        <v>0</v>
      </c>
      <c r="C207" s="47">
        <v>0</v>
      </c>
      <c r="D207" s="47">
        <v>0</v>
      </c>
      <c r="E207" s="47">
        <v>0</v>
      </c>
    </row>
    <row r="208" spans="1:5" ht="13.5" customHeight="1" thickBot="1" x14ac:dyDescent="0.3">
      <c r="A208" s="61" t="s">
        <v>21</v>
      </c>
      <c r="B208" s="47" t="e">
        <f>B207/B206</f>
        <v>#DIV/0!</v>
      </c>
      <c r="C208" s="47" t="e">
        <f>C207/C206</f>
        <v>#DIV/0!</v>
      </c>
      <c r="D208" s="47" t="e">
        <f>D207/D206</f>
        <v>#DIV/0!</v>
      </c>
      <c r="E208" s="47" t="e">
        <f>E207/E206</f>
        <v>#DIV/0!</v>
      </c>
    </row>
    <row r="209" spans="1:5" ht="13.5" customHeight="1" thickBot="1" x14ac:dyDescent="0.3">
      <c r="A209" s="61" t="s">
        <v>22</v>
      </c>
      <c r="B209" s="228" t="s">
        <v>23</v>
      </c>
      <c r="C209" s="48" t="e">
        <f t="shared" ref="C209:E211" si="7">C206/B206-1</f>
        <v>#DIV/0!</v>
      </c>
      <c r="D209" s="48" t="e">
        <f t="shared" si="7"/>
        <v>#DIV/0!</v>
      </c>
      <c r="E209" s="48" t="e">
        <f t="shared" si="7"/>
        <v>#DIV/0!</v>
      </c>
    </row>
    <row r="210" spans="1:5" ht="13.5" customHeight="1" thickBot="1" x14ac:dyDescent="0.3">
      <c r="A210" s="61" t="s">
        <v>24</v>
      </c>
      <c r="B210" s="228" t="s">
        <v>23</v>
      </c>
      <c r="C210" s="48" t="e">
        <f t="shared" si="7"/>
        <v>#DIV/0!</v>
      </c>
      <c r="D210" s="48" t="e">
        <f t="shared" si="7"/>
        <v>#DIV/0!</v>
      </c>
      <c r="E210" s="48" t="e">
        <f t="shared" si="7"/>
        <v>#DIV/0!</v>
      </c>
    </row>
    <row r="211" spans="1:5" ht="13.5" customHeight="1" thickBot="1" x14ac:dyDescent="0.3">
      <c r="A211" s="61" t="s">
        <v>25</v>
      </c>
      <c r="B211" s="228" t="s">
        <v>23</v>
      </c>
      <c r="C211" s="48" t="e">
        <f t="shared" si="7"/>
        <v>#DIV/0!</v>
      </c>
      <c r="D211" s="48" t="e">
        <f t="shared" si="7"/>
        <v>#DIV/0!</v>
      </c>
      <c r="E211" s="48" t="e">
        <f t="shared" si="7"/>
        <v>#DIV/0!</v>
      </c>
    </row>
    <row r="212" spans="1:5" ht="13.5" customHeight="1" thickBot="1" x14ac:dyDescent="0.3">
      <c r="A212" s="1427" t="s">
        <v>163</v>
      </c>
      <c r="B212" s="1428"/>
      <c r="C212" s="1428"/>
      <c r="D212" s="1428"/>
      <c r="E212" s="1429"/>
    </row>
    <row r="213" spans="1:5" ht="13.5" customHeight="1" x14ac:dyDescent="0.25">
      <c r="A213" s="1425"/>
      <c r="B213" s="62">
        <v>2018</v>
      </c>
      <c r="C213" s="62">
        <v>2019</v>
      </c>
      <c r="D213" s="62">
        <v>2020</v>
      </c>
      <c r="E213" s="62">
        <v>2021</v>
      </c>
    </row>
    <row r="214" spans="1:5" ht="13.5" customHeight="1" thickBot="1" x14ac:dyDescent="0.3">
      <c r="A214" s="1426"/>
      <c r="B214" s="63" t="s">
        <v>10</v>
      </c>
      <c r="C214" s="63" t="s">
        <v>11</v>
      </c>
      <c r="D214" s="63" t="s">
        <v>11</v>
      </c>
      <c r="E214" s="63" t="s">
        <v>11</v>
      </c>
    </row>
    <row r="215" spans="1:5" ht="13.5" customHeight="1" thickBot="1" x14ac:dyDescent="0.3">
      <c r="A215" s="64" t="s">
        <v>58</v>
      </c>
      <c r="B215" s="50"/>
      <c r="C215" s="50"/>
      <c r="D215" s="50"/>
      <c r="E215" s="50"/>
    </row>
    <row r="216" spans="1:5" ht="13.5" customHeight="1" thickBot="1" x14ac:dyDescent="0.3">
      <c r="A216" s="64" t="s">
        <v>59</v>
      </c>
      <c r="B216" s="52">
        <v>0</v>
      </c>
      <c r="C216" s="50">
        <v>0</v>
      </c>
      <c r="D216" s="50">
        <v>0</v>
      </c>
      <c r="E216" s="50">
        <v>0</v>
      </c>
    </row>
    <row r="217" spans="1:5" ht="13.5" customHeight="1" thickBot="1" x14ac:dyDescent="0.3">
      <c r="A217" s="65" t="s">
        <v>133</v>
      </c>
      <c r="B217" s="264">
        <f>B216+B215</f>
        <v>0</v>
      </c>
      <c r="C217" s="264">
        <f>C216+C215</f>
        <v>0</v>
      </c>
      <c r="D217" s="264">
        <f>D216+D215</f>
        <v>0</v>
      </c>
      <c r="E217" s="264">
        <f>E216+E215</f>
        <v>0</v>
      </c>
    </row>
    <row r="218" spans="1:5" ht="13.5" customHeight="1" x14ac:dyDescent="0.25">
      <c r="A218" s="1410" t="s">
        <v>987</v>
      </c>
      <c r="B218" s="1322"/>
      <c r="C218" s="1289"/>
      <c r="D218" s="1289"/>
      <c r="E218" s="1290"/>
    </row>
    <row r="219" spans="1:5" ht="13.5" customHeight="1" x14ac:dyDescent="0.25">
      <c r="A219" s="1411"/>
      <c r="B219" s="1291"/>
      <c r="C219" s="1292"/>
      <c r="D219" s="1292"/>
      <c r="E219" s="1293"/>
    </row>
    <row r="220" spans="1:5" ht="9" customHeight="1" thickBot="1" x14ac:dyDescent="0.3">
      <c r="A220" s="1412"/>
      <c r="B220" s="1294"/>
      <c r="C220" s="1295"/>
      <c r="D220" s="1295"/>
      <c r="E220" s="1296"/>
    </row>
    <row r="221" spans="1:5" ht="13.9" customHeight="1" thickBot="1" x14ac:dyDescent="0.3">
      <c r="A221" s="22"/>
      <c r="B221" s="23"/>
      <c r="C221" s="23"/>
      <c r="D221" s="23"/>
      <c r="E221" s="23"/>
    </row>
    <row r="222" spans="1:5" ht="16.149999999999999" customHeight="1" x14ac:dyDescent="0.25">
      <c r="A222" s="1481"/>
      <c r="B222" s="43">
        <v>2018</v>
      </c>
      <c r="C222" s="43">
        <v>2019</v>
      </c>
      <c r="D222" s="43">
        <v>2020</v>
      </c>
      <c r="E222" s="43">
        <v>2021</v>
      </c>
    </row>
    <row r="223" spans="1:5" ht="14.45" customHeight="1" thickBot="1" x14ac:dyDescent="0.3">
      <c r="A223" s="1482"/>
      <c r="B223" s="44" t="s">
        <v>10</v>
      </c>
      <c r="C223" s="44" t="s">
        <v>11</v>
      </c>
      <c r="D223" s="44" t="s">
        <v>11</v>
      </c>
      <c r="E223" s="44" t="s">
        <v>11</v>
      </c>
    </row>
    <row r="224" spans="1:5" ht="34.15" customHeight="1" thickBot="1" x14ac:dyDescent="0.3">
      <c r="A224" s="41" t="s">
        <v>82</v>
      </c>
      <c r="B224" s="53">
        <f>B50+B73+B95+B117+B147+B170+B192+B217</f>
        <v>128419</v>
      </c>
      <c r="C224" s="53">
        <f>C50+C73+C95+C117+C147+C170+C192</f>
        <v>130000</v>
      </c>
      <c r="D224" s="53">
        <f>D50+D73+D95+D117+D147+D170+D192</f>
        <v>130000</v>
      </c>
      <c r="E224" s="53">
        <f>E50+E73+E95+E117+E147+E170+E192</f>
        <v>130000</v>
      </c>
    </row>
    <row r="225" spans="1:5" ht="32.25" thickBot="1" x14ac:dyDescent="0.3">
      <c r="A225" s="41" t="s">
        <v>83</v>
      </c>
      <c r="B225" s="53">
        <f>B227+B229+B231+B233+B235+B237+B239+B241+B243</f>
        <v>128419</v>
      </c>
      <c r="C225" s="53">
        <f>C227+C229+C231+C233+C235+C237+C239+C241+C243</f>
        <v>130000</v>
      </c>
      <c r="D225" s="53">
        <f>D227+D229+D231+D233+D235+D237+D239+D241+D243</f>
        <v>130000</v>
      </c>
      <c r="E225" s="53">
        <f>E227+E229+E231+E233+E235+E237+E239+E241+E243</f>
        <v>130000</v>
      </c>
    </row>
    <row r="226" spans="1:5" ht="33" customHeight="1" thickBot="1" x14ac:dyDescent="0.3">
      <c r="A226" s="54" t="s">
        <v>84</v>
      </c>
      <c r="B226" s="55"/>
      <c r="C226" s="56">
        <f>C225/B225-1</f>
        <v>1.2311262352144192E-2</v>
      </c>
      <c r="D226" s="56">
        <f>D225/C225-1</f>
        <v>0</v>
      </c>
      <c r="E226" s="56">
        <f>E225/D225-1</f>
        <v>0</v>
      </c>
    </row>
    <row r="227" spans="1:5" ht="16.899999999999999" customHeight="1" thickBot="1" x14ac:dyDescent="0.3">
      <c r="A227" s="68" t="s">
        <v>26</v>
      </c>
      <c r="B227" s="50">
        <f>B43+B163</f>
        <v>80500</v>
      </c>
      <c r="C227" s="50">
        <f>C43+C163</f>
        <v>80500</v>
      </c>
      <c r="D227" s="50">
        <f>D43+D163</f>
        <v>80500</v>
      </c>
      <c r="E227" s="50">
        <f>E43+E163</f>
        <v>80500</v>
      </c>
    </row>
    <row r="228" spans="1:5" ht="17.45" customHeight="1" thickBot="1" x14ac:dyDescent="0.3">
      <c r="A228" s="69" t="s">
        <v>85</v>
      </c>
      <c r="B228" s="52"/>
      <c r="C228" s="58">
        <f>C227/B227-1</f>
        <v>0</v>
      </c>
      <c r="D228" s="58">
        <f>D227/C227-1</f>
        <v>0</v>
      </c>
      <c r="E228" s="58">
        <f>E227/D227-1</f>
        <v>0</v>
      </c>
    </row>
    <row r="229" spans="1:5" ht="32.450000000000003" customHeight="1" thickBot="1" x14ac:dyDescent="0.3">
      <c r="A229" s="49" t="s">
        <v>28</v>
      </c>
      <c r="B229" s="50">
        <f>B44+B164</f>
        <v>10500</v>
      </c>
      <c r="C229" s="50">
        <f>C44+C164</f>
        <v>10500</v>
      </c>
      <c r="D229" s="50">
        <f>D44+D164</f>
        <v>10500</v>
      </c>
      <c r="E229" s="50">
        <f>E44+E164</f>
        <v>10500</v>
      </c>
    </row>
    <row r="230" spans="1:5" ht="32.450000000000003" customHeight="1" thickBot="1" x14ac:dyDescent="0.3">
      <c r="A230" s="57" t="s">
        <v>86</v>
      </c>
      <c r="B230" s="52"/>
      <c r="C230" s="58">
        <f>C229/B229-1</f>
        <v>0</v>
      </c>
      <c r="D230" s="58">
        <f>D229/C229-1</f>
        <v>0</v>
      </c>
      <c r="E230" s="58">
        <f>E229/D229-1</f>
        <v>0</v>
      </c>
    </row>
    <row r="231" spans="1:5" ht="16.5" thickBot="1" x14ac:dyDescent="0.3">
      <c r="A231" s="49" t="s">
        <v>30</v>
      </c>
      <c r="B231" s="50">
        <f>B45+B68+B142+B165</f>
        <v>32500</v>
      </c>
      <c r="C231" s="50">
        <f>C45+C68+C142+C165</f>
        <v>34500</v>
      </c>
      <c r="D231" s="50">
        <f>D45+D68+D142+D165</f>
        <v>34500</v>
      </c>
      <c r="E231" s="50">
        <f>E45+E68+E142+E165</f>
        <v>34500</v>
      </c>
    </row>
    <row r="232" spans="1:5" ht="17.45" customHeight="1" thickBot="1" x14ac:dyDescent="0.3">
      <c r="A232" s="57" t="s">
        <v>87</v>
      </c>
      <c r="B232" s="52"/>
      <c r="C232" s="58">
        <f>C231/B231-1</f>
        <v>6.1538461538461542E-2</v>
      </c>
      <c r="D232" s="58">
        <f>D231/C231-1</f>
        <v>0</v>
      </c>
      <c r="E232" s="58">
        <f>E231/D231-1</f>
        <v>0</v>
      </c>
    </row>
    <row r="233" spans="1:5" ht="16.899999999999999" customHeight="1" thickBot="1" x14ac:dyDescent="0.3">
      <c r="A233" s="49" t="s">
        <v>32</v>
      </c>
      <c r="B233" s="50">
        <f>B46+B69+B143+B166</f>
        <v>0</v>
      </c>
      <c r="C233" s="50">
        <f>C46+C69+C143+C166</f>
        <v>0</v>
      </c>
      <c r="D233" s="50">
        <f>D46+D69+D143+D166</f>
        <v>0</v>
      </c>
      <c r="E233" s="50">
        <f>E46+E69+E143+E166</f>
        <v>0</v>
      </c>
    </row>
    <row r="234" spans="1:5" ht="19.899999999999999" customHeight="1" thickBot="1" x14ac:dyDescent="0.3">
      <c r="A234" s="57" t="s">
        <v>88</v>
      </c>
      <c r="B234" s="52"/>
      <c r="C234" s="58" t="e">
        <f>C233/B233-1</f>
        <v>#DIV/0!</v>
      </c>
      <c r="D234" s="58" t="e">
        <f>D233/C233-1</f>
        <v>#DIV/0!</v>
      </c>
      <c r="E234" s="58" t="e">
        <f>E233/D233-1</f>
        <v>#DIV/0!</v>
      </c>
    </row>
    <row r="235" spans="1:5" ht="16.5" thickBot="1" x14ac:dyDescent="0.3">
      <c r="A235" s="49" t="s">
        <v>34</v>
      </c>
      <c r="B235" s="50">
        <f>B47+B70+B144+B167</f>
        <v>0</v>
      </c>
      <c r="C235" s="50">
        <f>C47+C70+C144+C167</f>
        <v>0</v>
      </c>
      <c r="D235" s="50">
        <f>D47+D70+D144+D167</f>
        <v>0</v>
      </c>
      <c r="E235" s="50">
        <f>E47+E70+E144+E167</f>
        <v>0</v>
      </c>
    </row>
    <row r="236" spans="1:5" ht="19.899999999999999" customHeight="1" thickBot="1" x14ac:dyDescent="0.3">
      <c r="A236" s="57" t="s">
        <v>89</v>
      </c>
      <c r="B236" s="52"/>
      <c r="C236" s="58" t="e">
        <f>C235/B235-1</f>
        <v>#DIV/0!</v>
      </c>
      <c r="D236" s="58" t="e">
        <f>D235/C235-1</f>
        <v>#DIV/0!</v>
      </c>
      <c r="E236" s="58" t="e">
        <f>E235/D235-1</f>
        <v>#DIV/0!</v>
      </c>
    </row>
    <row r="237" spans="1:5" ht="19.149999999999999" customHeight="1" thickBot="1" x14ac:dyDescent="0.3">
      <c r="A237" s="49" t="s">
        <v>36</v>
      </c>
      <c r="B237" s="50">
        <f>B48+B71+B145+B168</f>
        <v>500</v>
      </c>
      <c r="C237" s="50">
        <f>C48+C71+C145+C168</f>
        <v>500</v>
      </c>
      <c r="D237" s="50">
        <f>D48+D71+D145+D168</f>
        <v>500</v>
      </c>
      <c r="E237" s="50">
        <f>E48+E71+E145+E168</f>
        <v>500</v>
      </c>
    </row>
    <row r="238" spans="1:5" ht="16.899999999999999" customHeight="1" thickBot="1" x14ac:dyDescent="0.3">
      <c r="A238" s="57" t="s">
        <v>90</v>
      </c>
      <c r="B238" s="52"/>
      <c r="C238" s="58">
        <f>C237/B237-1</f>
        <v>0</v>
      </c>
      <c r="D238" s="58">
        <f>D237/C237-1</f>
        <v>0</v>
      </c>
      <c r="E238" s="58">
        <f>E237/D237-1</f>
        <v>0</v>
      </c>
    </row>
    <row r="239" spans="1:5" ht="22.15" customHeight="1" thickBot="1" x14ac:dyDescent="0.3">
      <c r="A239" s="49" t="s">
        <v>38</v>
      </c>
      <c r="B239" s="50">
        <f>B49+B72+B146+B169</f>
        <v>419</v>
      </c>
      <c r="C239" s="50">
        <f>C49+C72+C146+C169</f>
        <v>0</v>
      </c>
      <c r="D239" s="50">
        <f>D49+D72+D146+D169</f>
        <v>0</v>
      </c>
      <c r="E239" s="50">
        <f>E49+E72+E146+E169</f>
        <v>0</v>
      </c>
    </row>
    <row r="240" spans="1:5" ht="28.9" customHeight="1" thickBot="1" x14ac:dyDescent="0.3">
      <c r="A240" s="57" t="s">
        <v>91</v>
      </c>
      <c r="B240" s="52"/>
      <c r="C240" s="58">
        <f>C239/B239-1</f>
        <v>-1</v>
      </c>
      <c r="D240" s="58" t="e">
        <f>D239/C239-1</f>
        <v>#DIV/0!</v>
      </c>
      <c r="E240" s="58" t="e">
        <f>E239/D239-1</f>
        <v>#DIV/0!</v>
      </c>
    </row>
    <row r="241" spans="1:5" ht="18.600000000000001" customHeight="1" thickBot="1" x14ac:dyDescent="0.3">
      <c r="A241" s="49" t="s">
        <v>92</v>
      </c>
      <c r="B241" s="50">
        <f>B93+B115+B190+B215</f>
        <v>0</v>
      </c>
      <c r="C241" s="50">
        <f>C93+C115+C190+C215</f>
        <v>0</v>
      </c>
      <c r="D241" s="50">
        <f>D93+D115+D190+D215</f>
        <v>0</v>
      </c>
      <c r="E241" s="50">
        <f>E93+E115+E190+E215</f>
        <v>0</v>
      </c>
    </row>
    <row r="242" spans="1:5" ht="19.149999999999999" customHeight="1" thickBot="1" x14ac:dyDescent="0.3">
      <c r="A242" s="57" t="s">
        <v>93</v>
      </c>
      <c r="B242" s="52"/>
      <c r="C242" s="58" t="e">
        <f>C241/B241-1</f>
        <v>#DIV/0!</v>
      </c>
      <c r="D242" s="58" t="e">
        <f>D241/C241-1</f>
        <v>#DIV/0!</v>
      </c>
      <c r="E242" s="58" t="e">
        <f>E241/D241-1</f>
        <v>#DIV/0!</v>
      </c>
    </row>
    <row r="243" spans="1:5" ht="16.899999999999999" customHeight="1" thickBot="1" x14ac:dyDescent="0.3">
      <c r="A243" s="49" t="s">
        <v>94</v>
      </c>
      <c r="B243" s="50">
        <f>B94+B116+B191+B216</f>
        <v>4000</v>
      </c>
      <c r="C243" s="50">
        <f>C94+C116+C191+C216</f>
        <v>4000</v>
      </c>
      <c r="D243" s="50">
        <f>D94+D116+D191+D216</f>
        <v>4000</v>
      </c>
      <c r="E243" s="50">
        <f>E94+E116+E191+E216</f>
        <v>4000</v>
      </c>
    </row>
    <row r="244" spans="1:5" ht="17.45" customHeight="1" thickBot="1" x14ac:dyDescent="0.3">
      <c r="A244" s="57" t="s">
        <v>95</v>
      </c>
      <c r="B244" s="52"/>
      <c r="C244" s="58">
        <f>C243/B243-1</f>
        <v>0</v>
      </c>
      <c r="D244" s="58">
        <f>D243/C243-1</f>
        <v>0</v>
      </c>
      <c r="E244" s="58">
        <f>E243/D243-1</f>
        <v>0</v>
      </c>
    </row>
    <row r="245" spans="1:5" ht="15.6" customHeight="1" thickBot="1" x14ac:dyDescent="0.3">
      <c r="A245" s="45" t="s">
        <v>41</v>
      </c>
      <c r="B245" s="46">
        <f>IF(B225-B224=0,0,"Error")</f>
        <v>0</v>
      </c>
      <c r="C245" s="46">
        <f>IF(C225-C224=0,0,"Error")</f>
        <v>0</v>
      </c>
      <c r="D245" s="46">
        <f>IF(D225-D224=0,0,"Error")</f>
        <v>0</v>
      </c>
      <c r="E245" s="46">
        <f>IF(E225-E224=0,0,"Error")</f>
        <v>0</v>
      </c>
    </row>
    <row r="246" spans="1:5" ht="33" customHeight="1" thickBot="1" x14ac:dyDescent="0.3">
      <c r="A246" s="59" t="s">
        <v>96</v>
      </c>
      <c r="B246" s="50">
        <v>62</v>
      </c>
      <c r="C246" s="50">
        <v>62</v>
      </c>
      <c r="D246" s="50">
        <v>62</v>
      </c>
      <c r="E246" s="50">
        <v>62</v>
      </c>
    </row>
    <row r="247" spans="1:5" ht="34.9" customHeight="1" thickBot="1" x14ac:dyDescent="0.3">
      <c r="A247" s="59" t="s">
        <v>97</v>
      </c>
      <c r="B247" s="50">
        <v>0</v>
      </c>
      <c r="C247" s="50">
        <v>0</v>
      </c>
      <c r="D247" s="50">
        <v>0</v>
      </c>
      <c r="E247" s="50">
        <v>0</v>
      </c>
    </row>
    <row r="248" spans="1:5" x14ac:dyDescent="0.25">
      <c r="A248" s="31"/>
      <c r="B248" s="32"/>
      <c r="C248" s="32"/>
      <c r="D248" s="32"/>
      <c r="E248" s="32"/>
    </row>
    <row r="249" spans="1:5" x14ac:dyDescent="0.25">
      <c r="A249" s="33"/>
      <c r="B249" s="34"/>
      <c r="C249" s="19"/>
      <c r="D249" s="33"/>
      <c r="E249" s="33"/>
    </row>
    <row r="250" spans="1:5" x14ac:dyDescent="0.25">
      <c r="A250" s="33"/>
      <c r="B250" s="34"/>
      <c r="C250" s="19"/>
      <c r="D250" s="33"/>
      <c r="E250" s="33"/>
    </row>
    <row r="251" spans="1:5" x14ac:dyDescent="0.25">
      <c r="A251" s="33"/>
      <c r="B251" s="34"/>
      <c r="C251" s="19"/>
      <c r="D251" s="33"/>
      <c r="E251" s="33"/>
    </row>
    <row r="252" spans="1:5" x14ac:dyDescent="0.25">
      <c r="A252" s="33"/>
      <c r="B252" s="34"/>
      <c r="C252" s="19"/>
      <c r="D252" s="33"/>
      <c r="E252" s="33"/>
    </row>
    <row r="253" spans="1:5" x14ac:dyDescent="0.25">
      <c r="A253" s="33"/>
      <c r="B253" s="34"/>
      <c r="C253" s="19"/>
      <c r="D253" s="33"/>
      <c r="E253" s="33"/>
    </row>
    <row r="254" spans="1:5" x14ac:dyDescent="0.25">
      <c r="A254" s="33"/>
      <c r="B254" s="34"/>
      <c r="C254" s="19"/>
      <c r="D254" s="33"/>
      <c r="E254" s="33"/>
    </row>
    <row r="255" spans="1:5" x14ac:dyDescent="0.25">
      <c r="A255" s="33"/>
      <c r="B255" s="34"/>
      <c r="C255" s="19"/>
      <c r="D255" s="33"/>
      <c r="E255" s="33"/>
    </row>
    <row r="256" spans="1:5" x14ac:dyDescent="0.25">
      <c r="A256" s="33"/>
      <c r="B256" s="34"/>
      <c r="C256" s="19"/>
      <c r="D256" s="33"/>
      <c r="E256" s="33"/>
    </row>
    <row r="257" spans="1:5" x14ac:dyDescent="0.25">
      <c r="A257" s="33"/>
      <c r="B257" s="34"/>
      <c r="C257" s="19"/>
      <c r="D257" s="33"/>
      <c r="E257" s="33"/>
    </row>
    <row r="258" spans="1:5" x14ac:dyDescent="0.25">
      <c r="A258" s="33"/>
      <c r="B258" s="34"/>
      <c r="C258" s="19"/>
      <c r="D258" s="33"/>
      <c r="E258" s="33"/>
    </row>
    <row r="259" spans="1:5" x14ac:dyDescent="0.25">
      <c r="A259" s="33"/>
      <c r="B259" s="34"/>
      <c r="C259" s="19"/>
      <c r="D259" s="33"/>
      <c r="E259" s="33"/>
    </row>
    <row r="260" spans="1:5" x14ac:dyDescent="0.25">
      <c r="A260" s="33"/>
      <c r="B260" s="34"/>
      <c r="C260" s="19"/>
      <c r="D260" s="33"/>
      <c r="E260" s="33"/>
    </row>
  </sheetData>
  <mergeCells count="93">
    <mergeCell ref="A9:E9"/>
    <mergeCell ref="A10:E10"/>
    <mergeCell ref="A41:A42"/>
    <mergeCell ref="A28:E28"/>
    <mergeCell ref="B29:E29"/>
    <mergeCell ref="B30:E30"/>
    <mergeCell ref="B31:E31"/>
    <mergeCell ref="A32:A33"/>
    <mergeCell ref="A40:E40"/>
    <mergeCell ref="A16:E18"/>
    <mergeCell ref="B19:E19"/>
    <mergeCell ref="A20:A21"/>
    <mergeCell ref="B24:E24"/>
    <mergeCell ref="A25:E25"/>
    <mergeCell ref="A27:E27"/>
    <mergeCell ref="B52:E52"/>
    <mergeCell ref="B53:E53"/>
    <mergeCell ref="B54:E54"/>
    <mergeCell ref="A55:A56"/>
    <mergeCell ref="A91:A92"/>
    <mergeCell ref="A82:A83"/>
    <mergeCell ref="A90:E90"/>
    <mergeCell ref="A96:A98"/>
    <mergeCell ref="A63:E63"/>
    <mergeCell ref="A64:A65"/>
    <mergeCell ref="A222:A223"/>
    <mergeCell ref="B12:E12"/>
    <mergeCell ref="B13:E13"/>
    <mergeCell ref="B14:E14"/>
    <mergeCell ref="A15:E15"/>
    <mergeCell ref="A75:E75"/>
    <mergeCell ref="B77:E77"/>
    <mergeCell ref="B78:E78"/>
    <mergeCell ref="B96:E98"/>
    <mergeCell ref="A76:E76"/>
    <mergeCell ref="B81:E81"/>
    <mergeCell ref="B79:E79"/>
    <mergeCell ref="B80:E80"/>
    <mergeCell ref="B121:E121"/>
    <mergeCell ref="A122:E122"/>
    <mergeCell ref="A124:E124"/>
    <mergeCell ref="A125:E125"/>
    <mergeCell ref="A104:A105"/>
    <mergeCell ref="A112:E112"/>
    <mergeCell ref="A113:A114"/>
    <mergeCell ref="A118:A120"/>
    <mergeCell ref="B118:E120"/>
    <mergeCell ref="A187:E187"/>
    <mergeCell ref="B149:E149"/>
    <mergeCell ref="B150:E150"/>
    <mergeCell ref="B99:E99"/>
    <mergeCell ref="B100:E100"/>
    <mergeCell ref="B101:E101"/>
    <mergeCell ref="B102:E102"/>
    <mergeCell ref="B103:E103"/>
    <mergeCell ref="B127:E127"/>
    <mergeCell ref="B128:E128"/>
    <mergeCell ref="A161:A162"/>
    <mergeCell ref="A172:E172"/>
    <mergeCell ref="A173:E173"/>
    <mergeCell ref="A153:A154"/>
    <mergeCell ref="B126:E126"/>
    <mergeCell ref="B151:E151"/>
    <mergeCell ref="A160:E160"/>
    <mergeCell ref="A137:E137"/>
    <mergeCell ref="A130:A131"/>
    <mergeCell ref="A138:A139"/>
    <mergeCell ref="A213:A214"/>
    <mergeCell ref="A193:A195"/>
    <mergeCell ref="B193:E195"/>
    <mergeCell ref="B174:E174"/>
    <mergeCell ref="B175:E175"/>
    <mergeCell ref="B176:E176"/>
    <mergeCell ref="B177:E177"/>
    <mergeCell ref="B178:E178"/>
    <mergeCell ref="A188:A189"/>
    <mergeCell ref="A179:A180"/>
    <mergeCell ref="A198:E198"/>
    <mergeCell ref="B201:E201"/>
    <mergeCell ref="B3:E3"/>
    <mergeCell ref="B4:E4"/>
    <mergeCell ref="B5:E5"/>
    <mergeCell ref="C6:E6"/>
    <mergeCell ref="C7:E7"/>
    <mergeCell ref="A218:A220"/>
    <mergeCell ref="B218:E220"/>
    <mergeCell ref="B199:E199"/>
    <mergeCell ref="B200:E200"/>
    <mergeCell ref="A197:E197"/>
    <mergeCell ref="B202:E202"/>
    <mergeCell ref="B203:E203"/>
    <mergeCell ref="A204:A205"/>
    <mergeCell ref="A212:E212"/>
  </mergeCells>
  <printOptions horizontalCentered="1" verticalCentered="1"/>
  <pageMargins left="0.2" right="0.2" top="0.56000000000000005" bottom="0.84" header="0.3" footer="0.3"/>
  <pageSetup paperSize="9" scale="79" fitToWidth="0" orientation="portrait" r:id="rId1"/>
  <rowBreaks count="4" manualBreakCount="4">
    <brk id="51" max="4" man="1"/>
    <brk id="98" max="4" man="1"/>
    <brk id="148" max="4" man="1"/>
    <brk id="196" max="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F251"/>
  <sheetViews>
    <sheetView view="pageBreakPreview" zoomScale="60" zoomScaleNormal="130" workbookViewId="0">
      <selection activeCell="I258" sqref="I258"/>
    </sheetView>
  </sheetViews>
  <sheetFormatPr defaultRowHeight="15" x14ac:dyDescent="0.25"/>
  <cols>
    <col min="1" max="1" width="34" customWidth="1"/>
    <col min="2" max="2" width="10.85546875" customWidth="1"/>
    <col min="3" max="3" width="11.5703125" customWidth="1"/>
    <col min="4" max="4" width="10.85546875" customWidth="1"/>
    <col min="5" max="5" width="23" customWidth="1"/>
    <col min="9" max="9" width="12.5703125" customWidth="1"/>
  </cols>
  <sheetData>
    <row r="1" spans="1:5" ht="42.75" customHeight="1" x14ac:dyDescent="0.25">
      <c r="A1" s="1329" t="s">
        <v>0</v>
      </c>
      <c r="B1" s="1329"/>
      <c r="C1" s="1329"/>
      <c r="D1" s="1329"/>
      <c r="E1" s="1329"/>
    </row>
    <row r="2" spans="1:5" x14ac:dyDescent="0.25">
      <c r="A2" s="1286" t="s">
        <v>1</v>
      </c>
      <c r="B2" s="1286"/>
      <c r="C2" s="1286"/>
      <c r="D2" s="1286"/>
      <c r="E2" s="1287"/>
    </row>
    <row r="3" spans="1:5" x14ac:dyDescent="0.25">
      <c r="A3" s="172" t="s">
        <v>898</v>
      </c>
      <c r="B3" s="171"/>
      <c r="C3" s="171"/>
      <c r="D3" s="171"/>
      <c r="E3" s="169"/>
    </row>
    <row r="4" spans="1:5" x14ac:dyDescent="0.25">
      <c r="A4" s="170"/>
      <c r="B4" s="170"/>
      <c r="C4" s="170"/>
      <c r="D4" s="170"/>
      <c r="E4" s="169"/>
    </row>
    <row r="5" spans="1:5" ht="15.75" thickBot="1" x14ac:dyDescent="0.3">
      <c r="A5" s="170"/>
      <c r="B5" s="170"/>
      <c r="C5" s="170"/>
      <c r="D5" s="170"/>
      <c r="E5" s="169"/>
    </row>
    <row r="6" spans="1:5" ht="32.25" thickBot="1" x14ac:dyDescent="0.3">
      <c r="A6" s="168" t="s">
        <v>897</v>
      </c>
      <c r="B6" s="1430" t="s">
        <v>896</v>
      </c>
      <c r="C6" s="1431"/>
      <c r="D6" s="1431"/>
      <c r="E6" s="1507"/>
    </row>
    <row r="7" spans="1:5" ht="32.25" thickBot="1" x14ac:dyDescent="0.3">
      <c r="A7" s="36" t="s">
        <v>895</v>
      </c>
      <c r="B7" s="1432" t="s">
        <v>894</v>
      </c>
      <c r="C7" s="1433"/>
      <c r="D7" s="1433"/>
      <c r="E7" s="1508"/>
    </row>
    <row r="8" spans="1:5" ht="55.5" customHeight="1" thickBot="1" x14ac:dyDescent="0.3">
      <c r="A8" s="36" t="s">
        <v>893</v>
      </c>
      <c r="B8" s="1509" t="s">
        <v>892</v>
      </c>
      <c r="C8" s="1510"/>
      <c r="D8" s="1510"/>
      <c r="E8" s="1511"/>
    </row>
    <row r="9" spans="1:5" ht="48" thickBot="1" x14ac:dyDescent="0.3">
      <c r="A9" s="36" t="s">
        <v>891</v>
      </c>
      <c r="B9" s="167" t="s">
        <v>3</v>
      </c>
      <c r="C9" s="1512" t="s">
        <v>7</v>
      </c>
      <c r="D9" s="1093"/>
      <c r="E9" s="1238"/>
    </row>
    <row r="10" spans="1:5" ht="188.25" customHeight="1" thickBot="1" x14ac:dyDescent="0.3">
      <c r="A10" s="36" t="s">
        <v>890</v>
      </c>
      <c r="B10" s="166">
        <v>1320</v>
      </c>
      <c r="C10" s="1513" t="s">
        <v>889</v>
      </c>
      <c r="D10" s="1225"/>
      <c r="E10" s="1226"/>
    </row>
    <row r="11" spans="1:5" ht="15.75" thickBot="1" x14ac:dyDescent="0.3">
      <c r="A11" s="2" t="s">
        <v>2</v>
      </c>
      <c r="B11" s="1263" t="s">
        <v>299</v>
      </c>
      <c r="C11" s="1263"/>
      <c r="D11" s="1263"/>
      <c r="E11" s="1263"/>
    </row>
    <row r="12" spans="1:5" ht="15.75" thickBot="1" x14ac:dyDescent="0.3">
      <c r="A12" s="2" t="s">
        <v>3</v>
      </c>
      <c r="B12" s="1087" t="s">
        <v>300</v>
      </c>
      <c r="C12" s="1088"/>
      <c r="D12" s="1088"/>
      <c r="E12" s="1089"/>
    </row>
    <row r="13" spans="1:5" ht="15.75" thickBot="1" x14ac:dyDescent="0.3">
      <c r="A13" s="2" t="s">
        <v>5</v>
      </c>
      <c r="B13" s="1265" t="s">
        <v>6</v>
      </c>
      <c r="C13" s="1095"/>
      <c r="D13" s="1095"/>
      <c r="E13" s="1096"/>
    </row>
    <row r="14" spans="1:5" ht="15.75" thickBot="1" x14ac:dyDescent="0.3">
      <c r="A14" s="1266" t="s">
        <v>7</v>
      </c>
      <c r="B14" s="1267"/>
      <c r="C14" s="1267"/>
      <c r="D14" s="1267"/>
      <c r="E14" s="1297"/>
    </row>
    <row r="15" spans="1:5" ht="91.5" customHeight="1" thickBot="1" x14ac:dyDescent="0.3">
      <c r="A15" s="1513" t="s">
        <v>301</v>
      </c>
      <c r="B15" s="1225"/>
      <c r="C15" s="1225"/>
      <c r="D15" s="1225"/>
      <c r="E15" s="1514"/>
    </row>
    <row r="16" spans="1:5" ht="36" customHeight="1" thickBot="1" x14ac:dyDescent="0.3">
      <c r="A16" s="3" t="s">
        <v>8</v>
      </c>
      <c r="B16" s="1515" t="s">
        <v>302</v>
      </c>
      <c r="C16" s="1516"/>
      <c r="D16" s="1516"/>
      <c r="E16" s="1517"/>
    </row>
    <row r="17" spans="1:5" ht="15" customHeight="1" x14ac:dyDescent="0.25">
      <c r="A17" s="1250" t="s">
        <v>102</v>
      </c>
      <c r="B17" s="66">
        <v>2018</v>
      </c>
      <c r="C17" s="66">
        <v>2019</v>
      </c>
      <c r="D17" s="66">
        <v>2020</v>
      </c>
      <c r="E17" s="66">
        <v>2021</v>
      </c>
    </row>
    <row r="18" spans="1:5" ht="15.75" thickBot="1" x14ac:dyDescent="0.3">
      <c r="A18" s="1251"/>
      <c r="B18" s="67" t="s">
        <v>10</v>
      </c>
      <c r="C18" s="67" t="s">
        <v>11</v>
      </c>
      <c r="D18" s="67" t="s">
        <v>11</v>
      </c>
      <c r="E18" s="67" t="s">
        <v>11</v>
      </c>
    </row>
    <row r="19" spans="1:5" ht="15.75" thickBot="1" x14ac:dyDescent="0.3">
      <c r="A19" s="165" t="s">
        <v>888</v>
      </c>
      <c r="B19" s="4" t="s">
        <v>23</v>
      </c>
      <c r="C19" s="4">
        <v>0.06</v>
      </c>
      <c r="D19" s="4">
        <v>0.08</v>
      </c>
      <c r="E19" s="4">
        <v>0.09</v>
      </c>
    </row>
    <row r="20" spans="1:5" ht="15.75" thickBot="1" x14ac:dyDescent="0.3">
      <c r="A20" s="164" t="s">
        <v>887</v>
      </c>
      <c r="B20" s="4" t="s">
        <v>23</v>
      </c>
      <c r="C20" s="4">
        <v>0</v>
      </c>
      <c r="D20" s="4">
        <v>0</v>
      </c>
      <c r="E20" s="4">
        <v>0</v>
      </c>
    </row>
    <row r="21" spans="1:5" ht="15.75" thickBot="1" x14ac:dyDescent="0.3">
      <c r="A21" s="163"/>
      <c r="B21" s="4"/>
      <c r="C21" s="4"/>
      <c r="D21" s="4"/>
      <c r="E21" s="4"/>
    </row>
    <row r="22" spans="1:5" ht="15.75" customHeight="1" thickBot="1" x14ac:dyDescent="0.3">
      <c r="A22" s="6" t="s">
        <v>12</v>
      </c>
      <c r="B22" s="1524" t="s">
        <v>303</v>
      </c>
      <c r="C22" s="1525"/>
      <c r="D22" s="1525"/>
      <c r="E22" s="1526"/>
    </row>
    <row r="23" spans="1:5" ht="15.75" customHeight="1" thickBot="1" x14ac:dyDescent="0.3">
      <c r="A23" s="1245" t="s">
        <v>103</v>
      </c>
      <c r="B23" s="1246"/>
      <c r="C23" s="1246"/>
      <c r="D23" s="1246"/>
      <c r="E23" s="1298"/>
    </row>
    <row r="24" spans="1:5" ht="15.75" thickBot="1" x14ac:dyDescent="0.3">
      <c r="A24" s="162"/>
      <c r="B24" s="161"/>
      <c r="C24" s="161"/>
      <c r="D24" s="161"/>
      <c r="E24" s="67"/>
    </row>
    <row r="25" spans="1:5" ht="15.75" thickBot="1" x14ac:dyDescent="0.3">
      <c r="A25" s="160" t="s">
        <v>886</v>
      </c>
      <c r="B25" s="4" t="s">
        <v>23</v>
      </c>
      <c r="C25" s="4">
        <v>0.14000000000000001</v>
      </c>
      <c r="D25" s="4">
        <v>0.02</v>
      </c>
      <c r="E25" s="4">
        <v>-0.49</v>
      </c>
    </row>
    <row r="26" spans="1:5" ht="15.75" thickBot="1" x14ac:dyDescent="0.3">
      <c r="A26" s="159" t="s">
        <v>885</v>
      </c>
      <c r="B26" s="4" t="s">
        <v>23</v>
      </c>
      <c r="C26" s="4">
        <v>0.21839080459770122</v>
      </c>
      <c r="D26" s="4">
        <v>3.7735849056603765E-2</v>
      </c>
      <c r="E26" s="4">
        <v>9.0909090909090828E-2</v>
      </c>
    </row>
    <row r="27" spans="1:5" ht="23.25" customHeight="1" thickBot="1" x14ac:dyDescent="0.3">
      <c r="A27" s="5" t="s">
        <v>111</v>
      </c>
      <c r="B27" s="4" t="s">
        <v>112</v>
      </c>
      <c r="C27" s="4" t="s">
        <v>113</v>
      </c>
      <c r="D27" s="4" t="s">
        <v>113</v>
      </c>
      <c r="E27" s="4" t="s">
        <v>113</v>
      </c>
    </row>
    <row r="28" spans="1:5" ht="15.75" thickBot="1" x14ac:dyDescent="0.3">
      <c r="A28" s="1273" t="s">
        <v>14</v>
      </c>
      <c r="B28" s="1274"/>
      <c r="C28" s="1274"/>
      <c r="D28" s="1274"/>
      <c r="E28" s="1299"/>
    </row>
    <row r="29" spans="1:5" ht="15.75" thickBot="1" x14ac:dyDescent="0.3">
      <c r="A29" s="1275" t="s">
        <v>104</v>
      </c>
      <c r="B29" s="1276"/>
      <c r="C29" s="1276"/>
      <c r="D29" s="1276"/>
      <c r="E29" s="1317"/>
    </row>
    <row r="30" spans="1:5" ht="23.25" customHeight="1" thickBot="1" x14ac:dyDescent="0.3">
      <c r="A30" s="7" t="s">
        <v>105</v>
      </c>
      <c r="B30" s="1521" t="s">
        <v>304</v>
      </c>
      <c r="C30" s="1522"/>
      <c r="D30" s="1522"/>
      <c r="E30" s="1523"/>
    </row>
    <row r="31" spans="1:5" ht="15.75" customHeight="1" thickBot="1" x14ac:dyDescent="0.3">
      <c r="A31" s="5" t="s">
        <v>17</v>
      </c>
      <c r="B31" s="1518" t="s">
        <v>305</v>
      </c>
      <c r="C31" s="1519"/>
      <c r="D31" s="1519"/>
      <c r="E31" s="1520"/>
    </row>
    <row r="32" spans="1:5" ht="15.75" thickBot="1" x14ac:dyDescent="0.3">
      <c r="A32" s="5" t="s">
        <v>18</v>
      </c>
      <c r="B32" s="1248" t="s">
        <v>306</v>
      </c>
      <c r="C32" s="1249"/>
      <c r="D32" s="1249"/>
      <c r="E32" s="1316"/>
    </row>
    <row r="33" spans="1:5" x14ac:dyDescent="0.25">
      <c r="A33" s="1250"/>
      <c r="B33" s="8">
        <v>2018</v>
      </c>
      <c r="C33" s="8">
        <v>2019</v>
      </c>
      <c r="D33" s="8">
        <v>2020</v>
      </c>
      <c r="E33" s="8">
        <v>2021</v>
      </c>
    </row>
    <row r="34" spans="1:5" ht="15.75" thickBot="1" x14ac:dyDescent="0.3">
      <c r="A34" s="1251"/>
      <c r="B34" s="9" t="s">
        <v>10</v>
      </c>
      <c r="C34" s="9" t="s">
        <v>11</v>
      </c>
      <c r="D34" s="9" t="s">
        <v>11</v>
      </c>
      <c r="E34" s="9" t="s">
        <v>11</v>
      </c>
    </row>
    <row r="35" spans="1:5" ht="15.75" thickBot="1" x14ac:dyDescent="0.3">
      <c r="A35" s="5" t="s">
        <v>19</v>
      </c>
      <c r="B35" s="10">
        <v>266340</v>
      </c>
      <c r="C35" s="10">
        <v>302800</v>
      </c>
      <c r="D35" s="10">
        <f>308474</f>
        <v>308474</v>
      </c>
      <c r="E35" s="10">
        <v>157000</v>
      </c>
    </row>
    <row r="36" spans="1:5" ht="15.75" thickBot="1" x14ac:dyDescent="0.3">
      <c r="A36" s="5" t="s">
        <v>20</v>
      </c>
      <c r="B36" s="10">
        <v>283224</v>
      </c>
      <c r="C36" s="10">
        <v>327593</v>
      </c>
      <c r="D36" s="10">
        <v>327113</v>
      </c>
      <c r="E36" s="10">
        <v>159573</v>
      </c>
    </row>
    <row r="37" spans="1:5" ht="15.75" thickBot="1" x14ac:dyDescent="0.3">
      <c r="A37" s="5" t="s">
        <v>21</v>
      </c>
      <c r="B37" s="10">
        <f>B36/B35</f>
        <v>1.0633926560036044</v>
      </c>
      <c r="C37" s="10">
        <f>C36/C35</f>
        <v>1.0818791281373845</v>
      </c>
      <c r="D37" s="10">
        <f>D36/D35</f>
        <v>1.060423244746721</v>
      </c>
      <c r="E37" s="10">
        <f>E36/E35</f>
        <v>1.0163885350318471</v>
      </c>
    </row>
    <row r="38" spans="1:5" ht="15.75" thickBot="1" x14ac:dyDescent="0.3">
      <c r="A38" s="5" t="s">
        <v>22</v>
      </c>
      <c r="B38" s="151" t="s">
        <v>23</v>
      </c>
      <c r="C38" s="11">
        <f t="shared" ref="C38:E40" si="0">C35/B35-1</f>
        <v>0.13689269354959821</v>
      </c>
      <c r="D38" s="11">
        <f t="shared" si="0"/>
        <v>1.8738441215323753E-2</v>
      </c>
      <c r="E38" s="11">
        <f t="shared" si="0"/>
        <v>-0.49104300524517464</v>
      </c>
    </row>
    <row r="39" spans="1:5" ht="15.75" thickBot="1" x14ac:dyDescent="0.3">
      <c r="A39" s="5" t="s">
        <v>24</v>
      </c>
      <c r="B39" s="151" t="s">
        <v>23</v>
      </c>
      <c r="C39" s="11">
        <f t="shared" si="0"/>
        <v>0.15665692172979684</v>
      </c>
      <c r="D39" s="11">
        <f t="shared" si="0"/>
        <v>-1.4652327735941162E-3</v>
      </c>
      <c r="E39" s="11">
        <f t="shared" si="0"/>
        <v>-0.51217774897359636</v>
      </c>
    </row>
    <row r="40" spans="1:5" ht="15.75" customHeight="1" thickBot="1" x14ac:dyDescent="0.3">
      <c r="A40" s="5" t="s">
        <v>25</v>
      </c>
      <c r="B40" s="151" t="s">
        <v>23</v>
      </c>
      <c r="C40" s="11">
        <f t="shared" si="0"/>
        <v>1.738442712521171E-2</v>
      </c>
      <c r="D40" s="11">
        <f t="shared" si="0"/>
        <v>-1.9832052243768716E-2</v>
      </c>
      <c r="E40" s="11">
        <f t="shared" si="0"/>
        <v>-4.1525598324083757E-2</v>
      </c>
    </row>
    <row r="41" spans="1:5" ht="15.75" customHeight="1" thickBot="1" x14ac:dyDescent="0.3">
      <c r="A41" s="1252" t="s">
        <v>633</v>
      </c>
      <c r="B41" s="1253"/>
      <c r="C41" s="1253"/>
      <c r="D41" s="1253"/>
      <c r="E41" s="1300"/>
    </row>
    <row r="42" spans="1:5" x14ac:dyDescent="0.25">
      <c r="A42" s="1250"/>
      <c r="B42" s="8">
        <v>2018</v>
      </c>
      <c r="C42" s="8">
        <v>2019</v>
      </c>
      <c r="D42" s="8">
        <v>2020</v>
      </c>
      <c r="E42" s="8">
        <v>2021</v>
      </c>
    </row>
    <row r="43" spans="1:5" ht="15.75" thickBot="1" x14ac:dyDescent="0.3">
      <c r="A43" s="1251"/>
      <c r="B43" s="9" t="s">
        <v>10</v>
      </c>
      <c r="C43" s="9" t="s">
        <v>11</v>
      </c>
      <c r="D43" s="9" t="s">
        <v>11</v>
      </c>
      <c r="E43" s="9" t="s">
        <v>11</v>
      </c>
    </row>
    <row r="44" spans="1:5" ht="15.75" thickBot="1" x14ac:dyDescent="0.3">
      <c r="A44" s="13" t="s">
        <v>26</v>
      </c>
      <c r="B44" s="14">
        <v>204239</v>
      </c>
      <c r="C44" s="14">
        <f>301593-122806-55981+300</f>
        <v>123106</v>
      </c>
      <c r="D44" s="14">
        <f>301593-122806-55981+300</f>
        <v>123106</v>
      </c>
      <c r="E44" s="14">
        <f>301593-122806-55981+300</f>
        <v>123106</v>
      </c>
    </row>
    <row r="45" spans="1:5" ht="15.75" thickBot="1" x14ac:dyDescent="0.3">
      <c r="A45" s="13" t="s">
        <v>28</v>
      </c>
      <c r="B45" s="14">
        <v>34115</v>
      </c>
      <c r="C45" s="14">
        <f>50376-29105</f>
        <v>21271</v>
      </c>
      <c r="D45" s="14">
        <f>50376-29105</f>
        <v>21271</v>
      </c>
      <c r="E45" s="14">
        <f>50376-29105</f>
        <v>21271</v>
      </c>
    </row>
    <row r="46" spans="1:5" ht="15.75" thickBot="1" x14ac:dyDescent="0.3">
      <c r="A46" s="13" t="s">
        <v>30</v>
      </c>
      <c r="B46" s="15">
        <v>44870</v>
      </c>
      <c r="C46" s="14">
        <v>183216</v>
      </c>
      <c r="D46" s="14">
        <v>182736</v>
      </c>
      <c r="E46" s="14">
        <v>15196</v>
      </c>
    </row>
    <row r="47" spans="1:5" ht="15.75" thickBot="1" x14ac:dyDescent="0.3">
      <c r="A47" s="13" t="s">
        <v>32</v>
      </c>
      <c r="B47" s="15"/>
      <c r="C47" s="14"/>
      <c r="D47" s="14"/>
      <c r="E47" s="14"/>
    </row>
    <row r="48" spans="1:5" ht="15.75" thickBot="1" x14ac:dyDescent="0.3">
      <c r="A48" s="13" t="s">
        <v>34</v>
      </c>
      <c r="B48" s="15"/>
      <c r="C48" s="14"/>
      <c r="D48" s="14"/>
      <c r="E48" s="14"/>
    </row>
    <row r="49" spans="1:5" ht="15.75" thickBot="1" x14ac:dyDescent="0.3">
      <c r="A49" s="13" t="s">
        <v>36</v>
      </c>
      <c r="B49" s="15"/>
      <c r="C49" s="14"/>
      <c r="D49" s="14"/>
      <c r="E49" s="14"/>
    </row>
    <row r="50" spans="1:5" ht="15.75" thickBot="1" x14ac:dyDescent="0.3">
      <c r="A50" s="13" t="s">
        <v>38</v>
      </c>
      <c r="B50" s="15"/>
      <c r="C50" s="14"/>
      <c r="D50" s="14"/>
      <c r="E50" s="14"/>
    </row>
    <row r="51" spans="1:5" ht="15.75" thickBot="1" x14ac:dyDescent="0.3">
      <c r="A51" s="16" t="s">
        <v>40</v>
      </c>
      <c r="B51" s="15">
        <f>B50+B49+B48+B47+B46+B45+B44</f>
        <v>283224</v>
      </c>
      <c r="C51" s="15">
        <f>C50+C49+C48+C47+C46+C45+C44</f>
        <v>327593</v>
      </c>
      <c r="D51" s="15">
        <f>D50+D49+D48+D47+D46+D45+D44</f>
        <v>327113</v>
      </c>
      <c r="E51" s="15">
        <f>E50+E49+E48+E47+E46+E45+E44</f>
        <v>159573</v>
      </c>
    </row>
    <row r="52" spans="1:5" ht="15.75" customHeight="1" thickBot="1" x14ac:dyDescent="0.3">
      <c r="A52" s="17" t="s">
        <v>41</v>
      </c>
      <c r="B52" s="18">
        <f>IF(B51-B36=0,0,"Error")</f>
        <v>0</v>
      </c>
      <c r="C52" s="18">
        <f>IF(C51-C36=0,0,"Error")</f>
        <v>0</v>
      </c>
      <c r="D52" s="18">
        <f>IF(D51-D36=0,0,"Error")</f>
        <v>0</v>
      </c>
      <c r="E52" s="18">
        <f>IF(E51-E36=0,0,"Error")</f>
        <v>0</v>
      </c>
    </row>
    <row r="53" spans="1:5" ht="23.25" customHeight="1" thickBot="1" x14ac:dyDescent="0.3">
      <c r="A53" s="7" t="s">
        <v>140</v>
      </c>
      <c r="B53" s="1529" t="s">
        <v>307</v>
      </c>
      <c r="C53" s="1530"/>
      <c r="D53" s="1530"/>
      <c r="E53" s="1531"/>
    </row>
    <row r="54" spans="1:5" ht="15.75" customHeight="1" thickBot="1" x14ac:dyDescent="0.3">
      <c r="A54" s="5" t="s">
        <v>17</v>
      </c>
      <c r="B54" s="1518" t="s">
        <v>308</v>
      </c>
      <c r="C54" s="1527"/>
      <c r="D54" s="1527"/>
      <c r="E54" s="1528"/>
    </row>
    <row r="55" spans="1:5" ht="15.75" thickBot="1" x14ac:dyDescent="0.3">
      <c r="A55" s="5" t="s">
        <v>18</v>
      </c>
      <c r="B55" s="1248" t="s">
        <v>306</v>
      </c>
      <c r="C55" s="1249"/>
      <c r="D55" s="1249"/>
      <c r="E55" s="1316"/>
    </row>
    <row r="56" spans="1:5" x14ac:dyDescent="0.25">
      <c r="A56" s="1250"/>
      <c r="B56" s="8">
        <v>2018</v>
      </c>
      <c r="C56" s="8">
        <v>2019</v>
      </c>
      <c r="D56" s="8">
        <v>2020</v>
      </c>
      <c r="E56" s="8">
        <v>2021</v>
      </c>
    </row>
    <row r="57" spans="1:5" ht="15.75" thickBot="1" x14ac:dyDescent="0.3">
      <c r="A57" s="1251"/>
      <c r="B57" s="9" t="s">
        <v>10</v>
      </c>
      <c r="C57" s="9" t="s">
        <v>11</v>
      </c>
      <c r="D57" s="9" t="s">
        <v>11</v>
      </c>
      <c r="E57" s="9" t="s">
        <v>11</v>
      </c>
    </row>
    <row r="58" spans="1:5" ht="15.75" thickBot="1" x14ac:dyDescent="0.3">
      <c r="A58" s="5" t="s">
        <v>19</v>
      </c>
      <c r="B58" s="10">
        <v>435</v>
      </c>
      <c r="C58" s="10">
        <v>530</v>
      </c>
      <c r="D58" s="10">
        <v>550</v>
      </c>
      <c r="E58" s="10">
        <v>600</v>
      </c>
    </row>
    <row r="59" spans="1:5" ht="15.75" thickBot="1" x14ac:dyDescent="0.3">
      <c r="A59" s="5" t="s">
        <v>20</v>
      </c>
      <c r="B59" s="10">
        <v>1900</v>
      </c>
      <c r="C59" s="10">
        <v>2330</v>
      </c>
      <c r="D59" s="10">
        <v>2350</v>
      </c>
      <c r="E59" s="10">
        <v>1350</v>
      </c>
    </row>
    <row r="60" spans="1:5" ht="15.75" thickBot="1" x14ac:dyDescent="0.3">
      <c r="A60" s="5" t="s">
        <v>21</v>
      </c>
      <c r="B60" s="10">
        <f>B59/B56</f>
        <v>0.94152626362735381</v>
      </c>
      <c r="C60" s="10">
        <f>C59/C56</f>
        <v>1.1540366518078256</v>
      </c>
      <c r="D60" s="10">
        <f>D59/D56</f>
        <v>1.1633663366336633</v>
      </c>
      <c r="E60" s="10">
        <f>E59/E56</f>
        <v>0.66798614547253832</v>
      </c>
    </row>
    <row r="61" spans="1:5" ht="15.75" thickBot="1" x14ac:dyDescent="0.3">
      <c r="A61" s="5" t="s">
        <v>22</v>
      </c>
      <c r="B61" s="151" t="s">
        <v>23</v>
      </c>
      <c r="C61" s="11">
        <f t="shared" ref="C61:E63" si="1">C58/B58-1</f>
        <v>0.21839080459770122</v>
      </c>
      <c r="D61" s="11">
        <f t="shared" si="1"/>
        <v>3.7735849056603765E-2</v>
      </c>
      <c r="E61" s="11">
        <f t="shared" si="1"/>
        <v>9.0909090909090828E-2</v>
      </c>
    </row>
    <row r="62" spans="1:5" ht="15.75" customHeight="1" thickBot="1" x14ac:dyDescent="0.3">
      <c r="A62" s="5" t="s">
        <v>24</v>
      </c>
      <c r="B62" s="151" t="s">
        <v>23</v>
      </c>
      <c r="C62" s="11">
        <f t="shared" si="1"/>
        <v>0.22631578947368425</v>
      </c>
      <c r="D62" s="11">
        <f t="shared" si="1"/>
        <v>8.5836909871244149E-3</v>
      </c>
      <c r="E62" s="11">
        <f t="shared" si="1"/>
        <v>-0.42553191489361697</v>
      </c>
    </row>
    <row r="63" spans="1:5" ht="15.75" customHeight="1" thickBot="1" x14ac:dyDescent="0.3">
      <c r="A63" s="5" t="s">
        <v>25</v>
      </c>
      <c r="B63" s="151" t="s">
        <v>23</v>
      </c>
      <c r="C63" s="11">
        <f t="shared" si="1"/>
        <v>0.22570840176220641</v>
      </c>
      <c r="D63" s="11">
        <f t="shared" si="1"/>
        <v>8.0843921302000687E-3</v>
      </c>
      <c r="E63" s="11">
        <f t="shared" si="1"/>
        <v>-0.42581616431722236</v>
      </c>
    </row>
    <row r="64" spans="1:5" ht="15.75" customHeight="1" thickBot="1" x14ac:dyDescent="0.3">
      <c r="A64" s="1252" t="s">
        <v>884</v>
      </c>
      <c r="B64" s="1253"/>
      <c r="C64" s="1253"/>
      <c r="D64" s="1253"/>
      <c r="E64" s="1300"/>
    </row>
    <row r="65" spans="1:5" x14ac:dyDescent="0.25">
      <c r="A65" s="1250"/>
      <c r="B65" s="8">
        <v>2018</v>
      </c>
      <c r="C65" s="8">
        <v>2019</v>
      </c>
      <c r="D65" s="8">
        <v>2020</v>
      </c>
      <c r="E65" s="8">
        <v>2021</v>
      </c>
    </row>
    <row r="66" spans="1:5" ht="15.75" thickBot="1" x14ac:dyDescent="0.3">
      <c r="A66" s="1251"/>
      <c r="B66" s="9" t="s">
        <v>10</v>
      </c>
      <c r="C66" s="9" t="s">
        <v>11</v>
      </c>
      <c r="D66" s="9" t="s">
        <v>11</v>
      </c>
      <c r="E66" s="9" t="s">
        <v>11</v>
      </c>
    </row>
    <row r="67" spans="1:5" ht="15.75" thickBot="1" x14ac:dyDescent="0.3">
      <c r="A67" s="13" t="s">
        <v>26</v>
      </c>
      <c r="B67" s="14"/>
      <c r="C67" s="14"/>
      <c r="D67" s="14"/>
      <c r="E67" s="14"/>
    </row>
    <row r="68" spans="1:5" ht="15.75" thickBot="1" x14ac:dyDescent="0.3">
      <c r="A68" s="13" t="s">
        <v>28</v>
      </c>
      <c r="B68" s="14"/>
      <c r="C68" s="14"/>
      <c r="D68" s="14"/>
      <c r="E68" s="14"/>
    </row>
    <row r="69" spans="1:5" ht="15.75" thickBot="1" x14ac:dyDescent="0.3">
      <c r="A69" s="13" t="s">
        <v>30</v>
      </c>
      <c r="B69" s="10">
        <v>1900</v>
      </c>
      <c r="C69" s="10">
        <v>2330</v>
      </c>
      <c r="D69" s="10">
        <v>2350</v>
      </c>
      <c r="E69" s="10">
        <v>1350</v>
      </c>
    </row>
    <row r="70" spans="1:5" ht="15.75" thickBot="1" x14ac:dyDescent="0.3">
      <c r="A70" s="13" t="s">
        <v>32</v>
      </c>
      <c r="B70" s="15"/>
      <c r="C70" s="14"/>
      <c r="D70" s="14"/>
      <c r="E70" s="14"/>
    </row>
    <row r="71" spans="1:5" ht="15.75" thickBot="1" x14ac:dyDescent="0.3">
      <c r="A71" s="13" t="s">
        <v>34</v>
      </c>
      <c r="B71" s="15"/>
      <c r="C71" s="14"/>
      <c r="D71" s="14"/>
      <c r="E71" s="14"/>
    </row>
    <row r="72" spans="1:5" ht="15.75" thickBot="1" x14ac:dyDescent="0.3">
      <c r="A72" s="13" t="s">
        <v>36</v>
      </c>
      <c r="B72" s="15"/>
      <c r="C72" s="14"/>
      <c r="D72" s="14"/>
      <c r="E72" s="14"/>
    </row>
    <row r="73" spans="1:5" ht="15.75" thickBot="1" x14ac:dyDescent="0.3">
      <c r="A73" s="13" t="s">
        <v>38</v>
      </c>
      <c r="B73" s="15"/>
      <c r="C73" s="14"/>
      <c r="D73" s="14"/>
      <c r="E73" s="14"/>
    </row>
    <row r="74" spans="1:5" ht="15.75" customHeight="1" thickBot="1" x14ac:dyDescent="0.3">
      <c r="A74" s="16" t="s">
        <v>43</v>
      </c>
      <c r="B74" s="15">
        <f>B73+B72+B71+B70+B69+B68+B67</f>
        <v>1900</v>
      </c>
      <c r="C74" s="15">
        <f>C73+C72+C71+C70+C69+C68+C67</f>
        <v>2330</v>
      </c>
      <c r="D74" s="15">
        <f>D73+D72+D71+D70+D69+D68+D67</f>
        <v>2350</v>
      </c>
      <c r="E74" s="15">
        <f>E73+E72+E71+E70+E69+E68+E67</f>
        <v>1350</v>
      </c>
    </row>
    <row r="75" spans="1:5" ht="15.75" thickBot="1" x14ac:dyDescent="0.3">
      <c r="A75" s="17" t="s">
        <v>41</v>
      </c>
      <c r="B75" s="18">
        <f>IF(B74-B59=0,0,"Error")</f>
        <v>0</v>
      </c>
      <c r="C75" s="18">
        <f>IF(C74-C59=0,0,"Error")</f>
        <v>0</v>
      </c>
      <c r="D75" s="18">
        <f>IF(D74-D59=0,0,"Error")</f>
        <v>0</v>
      </c>
      <c r="E75" s="18">
        <f>IF(E74-E59=0,0,"Error")</f>
        <v>0</v>
      </c>
    </row>
    <row r="76" spans="1:5" ht="15.75" customHeight="1" thickBot="1" x14ac:dyDescent="0.3">
      <c r="A76" s="6" t="s">
        <v>67</v>
      </c>
      <c r="B76" s="1518" t="s">
        <v>309</v>
      </c>
      <c r="C76" s="1527"/>
      <c r="D76" s="1527"/>
      <c r="E76" s="1528"/>
    </row>
    <row r="77" spans="1:5" ht="15.75" thickBot="1" x14ac:dyDescent="0.3">
      <c r="A77" s="1245" t="s">
        <v>134</v>
      </c>
      <c r="B77" s="1246"/>
      <c r="C77" s="1246"/>
      <c r="D77" s="1246"/>
      <c r="E77" s="1298"/>
    </row>
    <row r="78" spans="1:5" ht="19.5" customHeight="1" thickBot="1" x14ac:dyDescent="0.3">
      <c r="A78" s="158" t="s">
        <v>883</v>
      </c>
      <c r="B78" s="4" t="s">
        <v>23</v>
      </c>
      <c r="C78" s="4">
        <v>0.06</v>
      </c>
      <c r="D78" s="4">
        <v>0.08</v>
      </c>
      <c r="E78" s="4">
        <v>0.09</v>
      </c>
    </row>
    <row r="79" spans="1:5" ht="15.75" thickBot="1" x14ac:dyDescent="0.3">
      <c r="A79" s="157"/>
      <c r="B79" s="4"/>
      <c r="C79" s="4"/>
      <c r="D79" s="4"/>
      <c r="E79" s="4"/>
    </row>
    <row r="80" spans="1:5" ht="23.25" customHeight="1" thickBot="1" x14ac:dyDescent="0.3">
      <c r="A80" s="5" t="s">
        <v>111</v>
      </c>
      <c r="B80" s="4" t="s">
        <v>112</v>
      </c>
      <c r="C80" s="4" t="s">
        <v>113</v>
      </c>
      <c r="D80" s="4" t="s">
        <v>113</v>
      </c>
      <c r="E80" s="4" t="s">
        <v>113</v>
      </c>
    </row>
    <row r="81" spans="1:5" ht="15.75" thickBot="1" x14ac:dyDescent="0.3">
      <c r="A81" s="1273" t="s">
        <v>310</v>
      </c>
      <c r="B81" s="1274"/>
      <c r="C81" s="1274"/>
      <c r="D81" s="1274"/>
      <c r="E81" s="1299"/>
    </row>
    <row r="82" spans="1:5" ht="15.75" customHeight="1" thickBot="1" x14ac:dyDescent="0.3">
      <c r="A82" s="1275" t="s">
        <v>104</v>
      </c>
      <c r="B82" s="1276"/>
      <c r="C82" s="1276"/>
      <c r="D82" s="1276"/>
      <c r="E82" s="1317"/>
    </row>
    <row r="83" spans="1:5" ht="15.75" thickBot="1" x14ac:dyDescent="0.3">
      <c r="A83" s="7" t="s">
        <v>105</v>
      </c>
      <c r="B83" s="1529" t="s">
        <v>311</v>
      </c>
      <c r="C83" s="1530"/>
      <c r="D83" s="1530"/>
      <c r="E83" s="1531"/>
    </row>
    <row r="84" spans="1:5" ht="28.5" customHeight="1" thickBot="1" x14ac:dyDescent="0.3">
      <c r="A84" s="5" t="s">
        <v>17</v>
      </c>
      <c r="B84" s="1532" t="s">
        <v>882</v>
      </c>
      <c r="C84" s="1533"/>
      <c r="D84" s="1533"/>
      <c r="E84" s="1534"/>
    </row>
    <row r="85" spans="1:5" ht="15.75" thickBot="1" x14ac:dyDescent="0.3">
      <c r="A85" s="5" t="s">
        <v>18</v>
      </c>
      <c r="B85" s="1248" t="s">
        <v>306</v>
      </c>
      <c r="C85" s="1249"/>
      <c r="D85" s="1249"/>
      <c r="E85" s="1316"/>
    </row>
    <row r="86" spans="1:5" x14ac:dyDescent="0.25">
      <c r="A86" s="1250"/>
      <c r="B86" s="8">
        <v>2018</v>
      </c>
      <c r="C86" s="8">
        <v>2019</v>
      </c>
      <c r="D86" s="8">
        <v>2020</v>
      </c>
      <c r="E86" s="8">
        <v>2021</v>
      </c>
    </row>
    <row r="87" spans="1:5" ht="15.75" thickBot="1" x14ac:dyDescent="0.3">
      <c r="A87" s="1251"/>
      <c r="B87" s="9"/>
      <c r="C87" s="9" t="s">
        <v>11</v>
      </c>
      <c r="D87" s="9" t="s">
        <v>11</v>
      </c>
      <c r="E87" s="9" t="s">
        <v>11</v>
      </c>
    </row>
    <row r="88" spans="1:5" ht="15.75" thickBot="1" x14ac:dyDescent="0.3">
      <c r="A88" s="5" t="s">
        <v>19</v>
      </c>
      <c r="B88" s="10">
        <v>48</v>
      </c>
      <c r="C88" s="60">
        <v>51</v>
      </c>
      <c r="D88" s="60">
        <v>55</v>
      </c>
      <c r="E88" s="60">
        <v>60</v>
      </c>
    </row>
    <row r="89" spans="1:5" ht="15.75" thickBot="1" x14ac:dyDescent="0.3">
      <c r="A89" s="5" t="s">
        <v>20</v>
      </c>
      <c r="B89" s="10">
        <f>2100+1000</f>
        <v>3100</v>
      </c>
      <c r="C89" s="10">
        <f>2240+1250</f>
        <v>3490</v>
      </c>
      <c r="D89" s="10">
        <f>2420+1500</f>
        <v>3920</v>
      </c>
      <c r="E89" s="10">
        <f>2640+1800</f>
        <v>4440</v>
      </c>
    </row>
    <row r="90" spans="1:5" ht="15.75" thickBot="1" x14ac:dyDescent="0.3">
      <c r="A90" s="5" t="s">
        <v>21</v>
      </c>
      <c r="B90" s="10">
        <f>B89/B88</f>
        <v>64.583333333333329</v>
      </c>
      <c r="C90" s="10">
        <f>C89/C88</f>
        <v>68.431372549019613</v>
      </c>
      <c r="D90" s="10">
        <f>D89/D88</f>
        <v>71.272727272727266</v>
      </c>
      <c r="E90" s="10">
        <f>E89/E88</f>
        <v>74</v>
      </c>
    </row>
    <row r="91" spans="1:5" ht="15.75" thickBot="1" x14ac:dyDescent="0.3">
      <c r="A91" s="5" t="s">
        <v>22</v>
      </c>
      <c r="B91" s="151" t="s">
        <v>23</v>
      </c>
      <c r="C91" s="11">
        <f t="shared" ref="C91:E93" si="2">C88/B88-1</f>
        <v>6.25E-2</v>
      </c>
      <c r="D91" s="11">
        <f t="shared" si="2"/>
        <v>7.8431372549019551E-2</v>
      </c>
      <c r="E91" s="11">
        <f t="shared" si="2"/>
        <v>9.0909090909090828E-2</v>
      </c>
    </row>
    <row r="92" spans="1:5" ht="15.75" customHeight="1" thickBot="1" x14ac:dyDescent="0.3">
      <c r="A92" s="5" t="s">
        <v>24</v>
      </c>
      <c r="B92" s="151" t="s">
        <v>23</v>
      </c>
      <c r="C92" s="11">
        <f t="shared" si="2"/>
        <v>0.12580645161290316</v>
      </c>
      <c r="D92" s="11">
        <f t="shared" si="2"/>
        <v>0.12320916905444124</v>
      </c>
      <c r="E92" s="11">
        <f t="shared" si="2"/>
        <v>0.13265306122448983</v>
      </c>
    </row>
    <row r="93" spans="1:5" ht="15.75" customHeight="1" thickBot="1" x14ac:dyDescent="0.3">
      <c r="A93" s="5" t="s">
        <v>25</v>
      </c>
      <c r="B93" s="151" t="s">
        <v>23</v>
      </c>
      <c r="C93" s="11">
        <f t="shared" si="2"/>
        <v>5.9582542694497365E-2</v>
      </c>
      <c r="D93" s="11">
        <f t="shared" si="2"/>
        <v>4.1521229486845446E-2</v>
      </c>
      <c r="E93" s="11">
        <f t="shared" si="2"/>
        <v>3.8265306122449161E-2</v>
      </c>
    </row>
    <row r="94" spans="1:5" ht="15.75" customHeight="1" thickBot="1" x14ac:dyDescent="0.3">
      <c r="A94" s="1252" t="s">
        <v>633</v>
      </c>
      <c r="B94" s="1253"/>
      <c r="C94" s="1253"/>
      <c r="D94" s="1253"/>
      <c r="E94" s="1300"/>
    </row>
    <row r="95" spans="1:5" x14ac:dyDescent="0.25">
      <c r="A95" s="1250"/>
      <c r="B95" s="8">
        <v>2018</v>
      </c>
      <c r="C95" s="8">
        <v>2019</v>
      </c>
      <c r="D95" s="8">
        <v>2020</v>
      </c>
      <c r="E95" s="8">
        <v>2021</v>
      </c>
    </row>
    <row r="96" spans="1:5" ht="15.75" thickBot="1" x14ac:dyDescent="0.3">
      <c r="A96" s="1251"/>
      <c r="B96" s="9" t="s">
        <v>10</v>
      </c>
      <c r="C96" s="9" t="s">
        <v>11</v>
      </c>
      <c r="D96" s="9" t="s">
        <v>11</v>
      </c>
      <c r="E96" s="9" t="s">
        <v>11</v>
      </c>
    </row>
    <row r="97" spans="1:5" ht="15.75" thickBot="1" x14ac:dyDescent="0.3">
      <c r="A97" s="13" t="s">
        <v>26</v>
      </c>
      <c r="B97" s="14"/>
      <c r="C97" s="14"/>
      <c r="D97" s="14"/>
      <c r="E97" s="14"/>
    </row>
    <row r="98" spans="1:5" ht="15.75" thickBot="1" x14ac:dyDescent="0.3">
      <c r="A98" s="13" t="s">
        <v>28</v>
      </c>
      <c r="B98" s="14"/>
      <c r="C98" s="14"/>
      <c r="D98" s="14"/>
      <c r="E98" s="14"/>
    </row>
    <row r="99" spans="1:5" ht="15.75" thickBot="1" x14ac:dyDescent="0.3">
      <c r="A99" s="13" t="s">
        <v>30</v>
      </c>
      <c r="B99" s="10">
        <f>2100+1000</f>
        <v>3100</v>
      </c>
      <c r="C99" s="10">
        <f>2240+1250</f>
        <v>3490</v>
      </c>
      <c r="D99" s="10">
        <f>2420+1500</f>
        <v>3920</v>
      </c>
      <c r="E99" s="10">
        <f>2640+1800</f>
        <v>4440</v>
      </c>
    </row>
    <row r="100" spans="1:5" ht="15.75" thickBot="1" x14ac:dyDescent="0.3">
      <c r="A100" s="13" t="s">
        <v>32</v>
      </c>
      <c r="B100" s="15"/>
      <c r="C100" s="14"/>
      <c r="D100" s="14"/>
      <c r="E100" s="14"/>
    </row>
    <row r="101" spans="1:5" ht="15.75" thickBot="1" x14ac:dyDescent="0.3">
      <c r="A101" s="13" t="s">
        <v>34</v>
      </c>
      <c r="B101" s="15"/>
      <c r="C101" s="14"/>
      <c r="D101" s="14"/>
      <c r="E101" s="14"/>
    </row>
    <row r="102" spans="1:5" ht="15.75" thickBot="1" x14ac:dyDescent="0.3">
      <c r="A102" s="13" t="s">
        <v>36</v>
      </c>
      <c r="B102" s="15"/>
      <c r="C102" s="14"/>
      <c r="D102" s="14"/>
      <c r="E102" s="14"/>
    </row>
    <row r="103" spans="1:5" ht="15.75" thickBot="1" x14ac:dyDescent="0.3">
      <c r="A103" s="13" t="s">
        <v>38</v>
      </c>
      <c r="B103" s="15"/>
      <c r="C103" s="14"/>
      <c r="D103" s="14"/>
      <c r="E103" s="14"/>
    </row>
    <row r="104" spans="1:5" ht="15.75" customHeight="1" thickBot="1" x14ac:dyDescent="0.3">
      <c r="A104" s="16" t="s">
        <v>40</v>
      </c>
      <c r="B104" s="15">
        <f>B103+B102+B101+B100+B99+B98+B97</f>
        <v>3100</v>
      </c>
      <c r="C104" s="15">
        <f>C103+C102+C101+C100+C99+C98+C97</f>
        <v>3490</v>
      </c>
      <c r="D104" s="15">
        <f>D103+D102+D101+D100+D99+D98+D97</f>
        <v>3920</v>
      </c>
      <c r="E104" s="15">
        <f>E103+E102+E101+E100+E99+E98+E97</f>
        <v>4440</v>
      </c>
    </row>
    <row r="105" spans="1:5" ht="15.75" thickBot="1" x14ac:dyDescent="0.3">
      <c r="A105" s="17" t="s">
        <v>41</v>
      </c>
      <c r="B105" s="18">
        <f>IF(B104-B89=0,0,"Error")</f>
        <v>0</v>
      </c>
      <c r="C105" s="18">
        <f>IF(C104-C89=0,0,"Error")</f>
        <v>0</v>
      </c>
      <c r="D105" s="18">
        <f>IF(D104-D89=0,0,"Error")</f>
        <v>0</v>
      </c>
      <c r="E105" s="18">
        <f>IF(E104-E89=0,0,"Error")</f>
        <v>0</v>
      </c>
    </row>
    <row r="106" spans="1:5" ht="30" customHeight="1" thickBot="1" x14ac:dyDescent="0.3">
      <c r="A106" s="6" t="s">
        <v>75</v>
      </c>
      <c r="B106" s="1518" t="s">
        <v>312</v>
      </c>
      <c r="C106" s="1527"/>
      <c r="D106" s="1527"/>
      <c r="E106" s="1528"/>
    </row>
    <row r="107" spans="1:5" ht="15.75" thickBot="1" x14ac:dyDescent="0.3">
      <c r="A107" s="1245" t="s">
        <v>76</v>
      </c>
      <c r="B107" s="1246"/>
      <c r="C107" s="1246"/>
      <c r="D107" s="1246"/>
      <c r="E107" s="1298"/>
    </row>
    <row r="108" spans="1:5" ht="15.75" thickBot="1" x14ac:dyDescent="0.3">
      <c r="A108" s="150" t="s">
        <v>313</v>
      </c>
      <c r="B108" s="4" t="s">
        <v>23</v>
      </c>
      <c r="C108" s="4">
        <v>0.09</v>
      </c>
      <c r="D108" s="4">
        <v>0.01</v>
      </c>
      <c r="E108" s="4">
        <v>0.01</v>
      </c>
    </row>
    <row r="109" spans="1:5" ht="15.75" thickBot="1" x14ac:dyDescent="0.3">
      <c r="A109" s="150" t="s">
        <v>314</v>
      </c>
      <c r="B109" s="4" t="s">
        <v>23</v>
      </c>
      <c r="C109" s="4">
        <v>0.16666666666666674</v>
      </c>
      <c r="D109" s="4">
        <v>0.14285714285714279</v>
      </c>
      <c r="E109" s="4">
        <v>0.125</v>
      </c>
    </row>
    <row r="110" spans="1:5" ht="15.75" thickBot="1" x14ac:dyDescent="0.3">
      <c r="A110" s="5"/>
      <c r="B110" s="4"/>
      <c r="C110" s="4"/>
      <c r="D110" s="4"/>
      <c r="E110" s="4"/>
    </row>
    <row r="111" spans="1:5" ht="15.75" thickBot="1" x14ac:dyDescent="0.3">
      <c r="A111" s="1273" t="s">
        <v>77</v>
      </c>
      <c r="B111" s="1274"/>
      <c r="C111" s="1274"/>
      <c r="D111" s="1274"/>
      <c r="E111" s="1299"/>
    </row>
    <row r="112" spans="1:5" ht="15.75" customHeight="1" thickBot="1" x14ac:dyDescent="0.3">
      <c r="A112" s="1275" t="s">
        <v>104</v>
      </c>
      <c r="B112" s="1276"/>
      <c r="C112" s="1276"/>
      <c r="D112" s="1276"/>
      <c r="E112" s="1317"/>
    </row>
    <row r="113" spans="1:6" ht="15.75" thickBot="1" x14ac:dyDescent="0.3">
      <c r="A113" s="7" t="s">
        <v>16</v>
      </c>
      <c r="B113" s="1529" t="s">
        <v>315</v>
      </c>
      <c r="C113" s="1244"/>
      <c r="D113" s="1244"/>
      <c r="E113" s="1315"/>
    </row>
    <row r="114" spans="1:6" ht="24.75" customHeight="1" thickBot="1" x14ac:dyDescent="0.3">
      <c r="A114" s="5" t="s">
        <v>17</v>
      </c>
      <c r="B114" s="1518" t="s">
        <v>316</v>
      </c>
      <c r="C114" s="1527"/>
      <c r="D114" s="1527"/>
      <c r="E114" s="1528"/>
    </row>
    <row r="115" spans="1:6" ht="15.75" thickBot="1" x14ac:dyDescent="0.3">
      <c r="A115" s="5" t="s">
        <v>18</v>
      </c>
      <c r="B115" s="1248" t="s">
        <v>306</v>
      </c>
      <c r="C115" s="1249"/>
      <c r="D115" s="1249"/>
      <c r="E115" s="1316"/>
    </row>
    <row r="116" spans="1:6" ht="15.75" customHeight="1" x14ac:dyDescent="0.25">
      <c r="A116" s="1250"/>
      <c r="B116" s="8">
        <v>2018</v>
      </c>
      <c r="C116" s="8">
        <v>2019</v>
      </c>
      <c r="D116" s="8">
        <v>2020</v>
      </c>
      <c r="E116" s="8">
        <v>2021</v>
      </c>
    </row>
    <row r="117" spans="1:6" ht="15.75" thickBot="1" x14ac:dyDescent="0.3">
      <c r="A117" s="1251"/>
      <c r="B117" s="9" t="s">
        <v>10</v>
      </c>
      <c r="C117" s="9" t="s">
        <v>11</v>
      </c>
      <c r="D117" s="9" t="s">
        <v>11</v>
      </c>
      <c r="E117" s="9" t="s">
        <v>11</v>
      </c>
    </row>
    <row r="118" spans="1:6" ht="15.75" thickBot="1" x14ac:dyDescent="0.3">
      <c r="A118" s="5" t="s">
        <v>19</v>
      </c>
      <c r="B118" s="10">
        <v>216</v>
      </c>
      <c r="C118" s="10">
        <v>226</v>
      </c>
      <c r="D118" s="10">
        <v>226</v>
      </c>
      <c r="E118" s="10">
        <v>226</v>
      </c>
    </row>
    <row r="119" spans="1:6" ht="15.75" thickBot="1" x14ac:dyDescent="0.3">
      <c r="A119" s="5" t="s">
        <v>20</v>
      </c>
      <c r="B119" s="10">
        <v>273802</v>
      </c>
      <c r="C119" s="10">
        <f>371721-26233-7740</f>
        <v>337748</v>
      </c>
      <c r="D119" s="10">
        <f>371721-26233-7740</f>
        <v>337748</v>
      </c>
      <c r="E119" s="10">
        <v>327748</v>
      </c>
    </row>
    <row r="120" spans="1:6" ht="15.75" thickBot="1" x14ac:dyDescent="0.3">
      <c r="A120" s="5" t="s">
        <v>21</v>
      </c>
      <c r="B120" s="10">
        <f>B119/B118</f>
        <v>1267.601851851852</v>
      </c>
      <c r="C120" s="10">
        <f>C119/C118</f>
        <v>1494.4601769911505</v>
      </c>
      <c r="D120" s="10">
        <f>D119/D118</f>
        <v>1494.4601769911505</v>
      </c>
      <c r="E120" s="10">
        <f>E119/E118</f>
        <v>1450.212389380531</v>
      </c>
    </row>
    <row r="121" spans="1:6" ht="15.75" thickBot="1" x14ac:dyDescent="0.3">
      <c r="A121" s="5" t="s">
        <v>22</v>
      </c>
      <c r="B121" s="151" t="s">
        <v>23</v>
      </c>
      <c r="C121" s="11">
        <f t="shared" ref="C121:E123" si="3">C118/B118-1</f>
        <v>4.629629629629628E-2</v>
      </c>
      <c r="D121" s="11">
        <f t="shared" si="3"/>
        <v>0</v>
      </c>
      <c r="E121" s="11">
        <f t="shared" si="3"/>
        <v>0</v>
      </c>
    </row>
    <row r="122" spans="1:6" ht="15.75" thickBot="1" x14ac:dyDescent="0.3">
      <c r="A122" s="5" t="s">
        <v>24</v>
      </c>
      <c r="B122" s="151" t="s">
        <v>23</v>
      </c>
      <c r="C122" s="11">
        <f t="shared" si="3"/>
        <v>0.23354833054543067</v>
      </c>
      <c r="D122" s="11">
        <f t="shared" si="3"/>
        <v>0</v>
      </c>
      <c r="E122" s="11">
        <f t="shared" si="3"/>
        <v>-2.9607873325674716E-2</v>
      </c>
    </row>
    <row r="123" spans="1:6" ht="15.75" thickBot="1" x14ac:dyDescent="0.3">
      <c r="A123" s="5" t="s">
        <v>25</v>
      </c>
      <c r="B123" s="151" t="s">
        <v>23</v>
      </c>
      <c r="C123" s="11">
        <f t="shared" si="3"/>
        <v>0.17896654600802209</v>
      </c>
      <c r="D123" s="11">
        <f t="shared" si="3"/>
        <v>0</v>
      </c>
      <c r="E123" s="11">
        <f t="shared" si="3"/>
        <v>-2.9607873325674827E-2</v>
      </c>
    </row>
    <row r="124" spans="1:6" ht="15.75" thickBot="1" x14ac:dyDescent="0.3">
      <c r="A124" s="1252" t="s">
        <v>881</v>
      </c>
      <c r="B124" s="1253"/>
      <c r="C124" s="1253"/>
      <c r="D124" s="1253"/>
      <c r="E124" s="1300"/>
    </row>
    <row r="125" spans="1:6" x14ac:dyDescent="0.25">
      <c r="A125" s="1250"/>
      <c r="B125" s="8">
        <v>2018</v>
      </c>
      <c r="C125" s="8">
        <v>2019</v>
      </c>
      <c r="D125" s="8">
        <v>2020</v>
      </c>
      <c r="E125" s="8">
        <v>2021</v>
      </c>
    </row>
    <row r="126" spans="1:6" ht="15.75" thickBot="1" x14ac:dyDescent="0.3">
      <c r="A126" s="1251"/>
      <c r="B126" s="9" t="s">
        <v>10</v>
      </c>
      <c r="C126" s="9" t="s">
        <v>11</v>
      </c>
      <c r="D126" s="9" t="s">
        <v>11</v>
      </c>
      <c r="E126" s="9" t="s">
        <v>11</v>
      </c>
    </row>
    <row r="127" spans="1:6" ht="15.75" thickBot="1" x14ac:dyDescent="0.3">
      <c r="A127" s="13" t="s">
        <v>26</v>
      </c>
      <c r="B127" s="14">
        <f>204742-1800</f>
        <v>202942</v>
      </c>
      <c r="C127" s="14">
        <f>261829-22479</f>
        <v>239350</v>
      </c>
      <c r="D127" s="14">
        <f>261829-22479</f>
        <v>239350</v>
      </c>
      <c r="E127" s="14">
        <f>261829-22479</f>
        <v>239350</v>
      </c>
      <c r="F127" s="12"/>
    </row>
    <row r="128" spans="1:6" ht="15.75" thickBot="1" x14ac:dyDescent="0.3">
      <c r="A128" s="13" t="s">
        <v>28</v>
      </c>
      <c r="B128" s="14">
        <f>32930</f>
        <v>32930</v>
      </c>
      <c r="C128" s="14">
        <f>42708-3754</f>
        <v>38954</v>
      </c>
      <c r="D128" s="14">
        <f>42708-3754</f>
        <v>38954</v>
      </c>
      <c r="E128" s="14">
        <f>42708-3754</f>
        <v>38954</v>
      </c>
      <c r="F128" s="12"/>
    </row>
    <row r="129" spans="1:5" ht="15.75" thickBot="1" x14ac:dyDescent="0.3">
      <c r="A129" s="13" t="s">
        <v>30</v>
      </c>
      <c r="B129" s="15">
        <v>36596</v>
      </c>
      <c r="C129" s="14">
        <v>57870</v>
      </c>
      <c r="D129" s="14">
        <v>57870</v>
      </c>
      <c r="E129" s="14">
        <v>47870</v>
      </c>
    </row>
    <row r="130" spans="1:5" ht="15.75" thickBot="1" x14ac:dyDescent="0.3">
      <c r="A130" s="13" t="s">
        <v>32</v>
      </c>
      <c r="B130" s="15"/>
      <c r="C130" s="14"/>
      <c r="D130" s="14"/>
      <c r="E130" s="14"/>
    </row>
    <row r="131" spans="1:5" ht="15.75" thickBot="1" x14ac:dyDescent="0.3">
      <c r="A131" s="13" t="s">
        <v>34</v>
      </c>
      <c r="B131" s="15">
        <v>1334</v>
      </c>
      <c r="C131" s="14">
        <v>1574</v>
      </c>
      <c r="D131" s="14">
        <v>1574</v>
      </c>
      <c r="E131" s="14">
        <v>1574</v>
      </c>
    </row>
    <row r="132" spans="1:5" ht="15.75" thickBot="1" x14ac:dyDescent="0.3">
      <c r="A132" s="13" t="s">
        <v>36</v>
      </c>
      <c r="B132" s="15"/>
      <c r="C132" s="14"/>
      <c r="D132" s="14"/>
      <c r="E132" s="14"/>
    </row>
    <row r="133" spans="1:5" ht="15.75" thickBot="1" x14ac:dyDescent="0.3">
      <c r="A133" s="13" t="s">
        <v>38</v>
      </c>
      <c r="B133" s="15"/>
      <c r="C133" s="14"/>
      <c r="D133" s="14"/>
      <c r="E133" s="14"/>
    </row>
    <row r="134" spans="1:5" ht="15.75" thickBot="1" x14ac:dyDescent="0.3">
      <c r="A134" s="13" t="s">
        <v>58</v>
      </c>
      <c r="B134" s="15"/>
      <c r="C134" s="14"/>
      <c r="D134" s="14"/>
      <c r="E134" s="14"/>
    </row>
    <row r="135" spans="1:5" ht="15.75" thickBot="1" x14ac:dyDescent="0.3">
      <c r="A135" s="13" t="s">
        <v>880</v>
      </c>
      <c r="B135" s="15"/>
      <c r="C135" s="14"/>
      <c r="D135" s="14"/>
      <c r="E135" s="14"/>
    </row>
    <row r="136" spans="1:5" ht="15.75" thickBot="1" x14ac:dyDescent="0.3">
      <c r="A136" s="135" t="s">
        <v>40</v>
      </c>
      <c r="B136" s="15">
        <f>B133+B132+B131+B130+B129+B128+B127+B134+B135</f>
        <v>273802</v>
      </c>
      <c r="C136" s="15">
        <f>C133+C132+C131+C130+C129+C128+C127+C134+C135</f>
        <v>337748</v>
      </c>
      <c r="D136" s="15">
        <f>D133+D132+D131+D130+D129+D128+D127+D134+D135</f>
        <v>337748</v>
      </c>
      <c r="E136" s="15">
        <f>E133+E132+E131+E130+E129+E128+E127+E134+E135</f>
        <v>327748</v>
      </c>
    </row>
    <row r="137" spans="1:5" ht="15.75" customHeight="1" thickBot="1" x14ac:dyDescent="0.3">
      <c r="A137" s="17" t="s">
        <v>41</v>
      </c>
      <c r="B137" s="18">
        <f>IF(B136-B119=0,0,"Error")</f>
        <v>0</v>
      </c>
      <c r="C137" s="18">
        <f>IF(C136-C119=0,0,"Error")</f>
        <v>0</v>
      </c>
      <c r="D137" s="18">
        <f>IF(D136-D119=0,0,"Error")</f>
        <v>0</v>
      </c>
      <c r="E137" s="18">
        <f>IF(E136-E119=0,0,"Error")</f>
        <v>0</v>
      </c>
    </row>
    <row r="138" spans="1:5" ht="23.25" customHeight="1" thickBot="1" x14ac:dyDescent="0.3">
      <c r="A138" s="7" t="s">
        <v>42</v>
      </c>
      <c r="B138" s="1518" t="s">
        <v>317</v>
      </c>
      <c r="C138" s="1527"/>
      <c r="D138" s="1527"/>
      <c r="E138" s="1528"/>
    </row>
    <row r="139" spans="1:5" ht="21" customHeight="1" thickBot="1" x14ac:dyDescent="0.3">
      <c r="A139" s="5" t="s">
        <v>17</v>
      </c>
      <c r="B139" s="1518" t="s">
        <v>318</v>
      </c>
      <c r="C139" s="1527"/>
      <c r="D139" s="1527"/>
      <c r="E139" s="1528"/>
    </row>
    <row r="140" spans="1:5" ht="15.75" thickBot="1" x14ac:dyDescent="0.3">
      <c r="A140" s="5" t="s">
        <v>18</v>
      </c>
      <c r="B140" s="1248" t="s">
        <v>306</v>
      </c>
      <c r="C140" s="1249"/>
      <c r="D140" s="1249"/>
      <c r="E140" s="1316"/>
    </row>
    <row r="141" spans="1:5" x14ac:dyDescent="0.25">
      <c r="A141" s="1250"/>
      <c r="B141" s="8">
        <v>2018</v>
      </c>
      <c r="C141" s="8">
        <v>2019</v>
      </c>
      <c r="D141" s="8">
        <v>2020</v>
      </c>
      <c r="E141" s="8">
        <v>2021</v>
      </c>
    </row>
    <row r="142" spans="1:5" ht="15.75" thickBot="1" x14ac:dyDescent="0.3">
      <c r="A142" s="1251"/>
      <c r="B142" s="9" t="s">
        <v>10</v>
      </c>
      <c r="C142" s="9" t="s">
        <v>11</v>
      </c>
      <c r="D142" s="9" t="s">
        <v>11</v>
      </c>
      <c r="E142" s="9" t="s">
        <v>11</v>
      </c>
    </row>
    <row r="143" spans="1:5" ht="15.75" thickBot="1" x14ac:dyDescent="0.3">
      <c r="A143" s="5" t="s">
        <v>19</v>
      </c>
      <c r="B143" s="10">
        <v>6</v>
      </c>
      <c r="C143" s="10">
        <v>7</v>
      </c>
      <c r="D143" s="10">
        <v>8</v>
      </c>
      <c r="E143" s="10">
        <v>9</v>
      </c>
    </row>
    <row r="144" spans="1:5" ht="15.75" thickBot="1" x14ac:dyDescent="0.3">
      <c r="A144" s="5" t="s">
        <v>20</v>
      </c>
      <c r="B144" s="10">
        <v>2300</v>
      </c>
      <c r="C144" s="10">
        <v>3839</v>
      </c>
      <c r="D144" s="10">
        <v>3869</v>
      </c>
      <c r="E144" s="10">
        <v>3889</v>
      </c>
    </row>
    <row r="145" spans="1:5" ht="15.75" thickBot="1" x14ac:dyDescent="0.3">
      <c r="A145" s="5" t="s">
        <v>21</v>
      </c>
      <c r="B145" s="10">
        <f>B144/B143</f>
        <v>383.33333333333331</v>
      </c>
      <c r="C145" s="10">
        <f>C144/C143</f>
        <v>548.42857142857144</v>
      </c>
      <c r="D145" s="10">
        <f>D144/D143</f>
        <v>483.625</v>
      </c>
      <c r="E145" s="10">
        <f>E144/E143</f>
        <v>432.11111111111109</v>
      </c>
    </row>
    <row r="146" spans="1:5" ht="15.75" thickBot="1" x14ac:dyDescent="0.3">
      <c r="A146" s="5" t="s">
        <v>22</v>
      </c>
      <c r="B146" s="151" t="s">
        <v>23</v>
      </c>
      <c r="C146" s="11">
        <f t="shared" ref="C146:E148" si="4">C143/B143-1</f>
        <v>0.16666666666666674</v>
      </c>
      <c r="D146" s="11">
        <f t="shared" si="4"/>
        <v>0.14285714285714279</v>
      </c>
      <c r="E146" s="11">
        <f t="shared" si="4"/>
        <v>0.125</v>
      </c>
    </row>
    <row r="147" spans="1:5" ht="15.75" customHeight="1" thickBot="1" x14ac:dyDescent="0.3">
      <c r="A147" s="5" t="s">
        <v>24</v>
      </c>
      <c r="B147" s="151" t="s">
        <v>23</v>
      </c>
      <c r="C147" s="11">
        <f t="shared" si="4"/>
        <v>0.66913043478260859</v>
      </c>
      <c r="D147" s="11">
        <f t="shared" si="4"/>
        <v>7.814535035165493E-3</v>
      </c>
      <c r="E147" s="11">
        <f t="shared" si="4"/>
        <v>5.1692943913155265E-3</v>
      </c>
    </row>
    <row r="148" spans="1:5" ht="15.75" customHeight="1" thickBot="1" x14ac:dyDescent="0.3">
      <c r="A148" s="5" t="s">
        <v>25</v>
      </c>
      <c r="B148" s="151" t="s">
        <v>23</v>
      </c>
      <c r="C148" s="11">
        <f t="shared" si="4"/>
        <v>0.43068322981366469</v>
      </c>
      <c r="D148" s="11">
        <f t="shared" si="4"/>
        <v>-0.11816228184423028</v>
      </c>
      <c r="E148" s="11">
        <f t="shared" si="4"/>
        <v>-0.10651618276327512</v>
      </c>
    </row>
    <row r="149" spans="1:5" ht="15.75" customHeight="1" thickBot="1" x14ac:dyDescent="0.3">
      <c r="A149" s="1252" t="s">
        <v>634</v>
      </c>
      <c r="B149" s="1253"/>
      <c r="C149" s="1253"/>
      <c r="D149" s="1253"/>
      <c r="E149" s="1300"/>
    </row>
    <row r="150" spans="1:5" x14ac:dyDescent="0.25">
      <c r="A150" s="1250"/>
      <c r="B150" s="8">
        <v>2018</v>
      </c>
      <c r="C150" s="8">
        <v>2019</v>
      </c>
      <c r="D150" s="8">
        <v>2020</v>
      </c>
      <c r="E150" s="8">
        <v>2021</v>
      </c>
    </row>
    <row r="151" spans="1:5" ht="15.75" thickBot="1" x14ac:dyDescent="0.3">
      <c r="A151" s="1251"/>
      <c r="B151" s="9" t="s">
        <v>10</v>
      </c>
      <c r="C151" s="9" t="s">
        <v>11</v>
      </c>
      <c r="D151" s="9" t="s">
        <v>11</v>
      </c>
      <c r="E151" s="9" t="s">
        <v>11</v>
      </c>
    </row>
    <row r="152" spans="1:5" ht="15.75" thickBot="1" x14ac:dyDescent="0.3">
      <c r="A152" s="13" t="s">
        <v>26</v>
      </c>
      <c r="B152" s="14">
        <v>1800</v>
      </c>
      <c r="C152" s="14">
        <v>3144</v>
      </c>
      <c r="D152" s="14">
        <v>3144</v>
      </c>
      <c r="E152" s="14">
        <v>3144</v>
      </c>
    </row>
    <row r="153" spans="1:5" ht="15.75" thickBot="1" x14ac:dyDescent="0.3">
      <c r="A153" s="13" t="s">
        <v>28</v>
      </c>
      <c r="B153" s="14">
        <v>300</v>
      </c>
      <c r="C153" s="14">
        <v>525</v>
      </c>
      <c r="D153" s="14">
        <v>525</v>
      </c>
      <c r="E153" s="14">
        <v>525</v>
      </c>
    </row>
    <row r="154" spans="1:5" ht="15.75" thickBot="1" x14ac:dyDescent="0.3">
      <c r="A154" s="13" t="s">
        <v>30</v>
      </c>
      <c r="B154" s="15">
        <v>200</v>
      </c>
      <c r="C154" s="14">
        <v>170</v>
      </c>
      <c r="D154" s="14">
        <v>200</v>
      </c>
      <c r="E154" s="14">
        <v>220</v>
      </c>
    </row>
    <row r="155" spans="1:5" ht="15.75" thickBot="1" x14ac:dyDescent="0.3">
      <c r="A155" s="13" t="s">
        <v>32</v>
      </c>
      <c r="B155" s="15"/>
      <c r="C155" s="14"/>
      <c r="D155" s="14"/>
      <c r="E155" s="14"/>
    </row>
    <row r="156" spans="1:5" ht="15.75" thickBot="1" x14ac:dyDescent="0.3">
      <c r="A156" s="13" t="s">
        <v>34</v>
      </c>
      <c r="B156" s="15"/>
      <c r="C156" s="14"/>
      <c r="D156" s="14"/>
      <c r="E156" s="14"/>
    </row>
    <row r="157" spans="1:5" ht="15.75" thickBot="1" x14ac:dyDescent="0.3">
      <c r="A157" s="13" t="s">
        <v>36</v>
      </c>
      <c r="B157" s="15"/>
      <c r="C157" s="14"/>
      <c r="D157" s="14"/>
      <c r="E157" s="14"/>
    </row>
    <row r="158" spans="1:5" ht="15.75" thickBot="1" x14ac:dyDescent="0.3">
      <c r="A158" s="13" t="s">
        <v>38</v>
      </c>
      <c r="B158" s="15"/>
      <c r="C158" s="14"/>
      <c r="D158" s="14"/>
      <c r="E158" s="14"/>
    </row>
    <row r="159" spans="1:5" ht="15.75" customHeight="1" thickBot="1" x14ac:dyDescent="0.3">
      <c r="A159" s="135" t="s">
        <v>43</v>
      </c>
      <c r="B159" s="15">
        <f>B158+B157+B156+B155+B154+B153+B152</f>
        <v>2300</v>
      </c>
      <c r="C159" s="15">
        <f>C158+C157+C156+C155+C154+C153+C152</f>
        <v>3839</v>
      </c>
      <c r="D159" s="15">
        <f>D158+D157+D156+D155+D154+D153+D152</f>
        <v>3869</v>
      </c>
      <c r="E159" s="15">
        <f>E158+E157+E156+E155+E154+E153+E152</f>
        <v>3889</v>
      </c>
    </row>
    <row r="160" spans="1:5" ht="15.75" thickBot="1" x14ac:dyDescent="0.3">
      <c r="A160" s="17" t="s">
        <v>41</v>
      </c>
      <c r="B160" s="18">
        <f>IF(B159-B144=0,0,"Error")</f>
        <v>0</v>
      </c>
      <c r="C160" s="18">
        <f>IF(C159-C144=0,0,"Error")</f>
        <v>0</v>
      </c>
      <c r="D160" s="18">
        <f>IF(D159-D144=0,0,"Error")</f>
        <v>0</v>
      </c>
      <c r="E160" s="18">
        <f>IF(E159-E144=0,0,"Error")</f>
        <v>0</v>
      </c>
    </row>
    <row r="161" spans="1:5" ht="15.75" customHeight="1" thickBot="1" x14ac:dyDescent="0.3">
      <c r="A161" s="6" t="s">
        <v>78</v>
      </c>
      <c r="B161" s="1518" t="s">
        <v>319</v>
      </c>
      <c r="C161" s="1527"/>
      <c r="D161" s="1527"/>
      <c r="E161" s="1528"/>
    </row>
    <row r="162" spans="1:5" ht="15.75" thickBot="1" x14ac:dyDescent="0.3">
      <c r="A162" s="1245" t="s">
        <v>158</v>
      </c>
      <c r="B162" s="1246"/>
      <c r="C162" s="1246"/>
      <c r="D162" s="1246"/>
      <c r="E162" s="1298"/>
    </row>
    <row r="163" spans="1:5" ht="15.75" thickBot="1" x14ac:dyDescent="0.3">
      <c r="A163" s="13" t="s">
        <v>879</v>
      </c>
      <c r="B163" s="4" t="s">
        <v>23</v>
      </c>
      <c r="C163" s="4">
        <v>0.11</v>
      </c>
      <c r="D163" s="4">
        <v>0</v>
      </c>
      <c r="E163" s="4">
        <v>0</v>
      </c>
    </row>
    <row r="164" spans="1:5" ht="24.75" thickBot="1" x14ac:dyDescent="0.3">
      <c r="A164" s="13" t="s">
        <v>878</v>
      </c>
      <c r="B164" s="4" t="s">
        <v>23</v>
      </c>
      <c r="C164" s="4">
        <v>0.2</v>
      </c>
      <c r="D164" s="4">
        <v>0</v>
      </c>
      <c r="E164" s="4">
        <v>0.1</v>
      </c>
    </row>
    <row r="165" spans="1:5" ht="15.75" thickBot="1" x14ac:dyDescent="0.3">
      <c r="A165" s="1273" t="s">
        <v>205</v>
      </c>
      <c r="B165" s="1274"/>
      <c r="C165" s="1274"/>
      <c r="D165" s="1274"/>
      <c r="E165" s="1299"/>
    </row>
    <row r="166" spans="1:5" ht="15.75" thickBot="1" x14ac:dyDescent="0.3">
      <c r="A166" s="1275" t="s">
        <v>63</v>
      </c>
      <c r="B166" s="1276"/>
      <c r="C166" s="1276"/>
      <c r="D166" s="1276"/>
      <c r="E166" s="1317"/>
    </row>
    <row r="167" spans="1:5" ht="15.75" thickBot="1" x14ac:dyDescent="0.3">
      <c r="A167" s="1275" t="s">
        <v>56</v>
      </c>
      <c r="B167" s="1276"/>
      <c r="C167" s="1276"/>
      <c r="D167" s="1276"/>
      <c r="E167" s="1317"/>
    </row>
    <row r="168" spans="1:5" ht="15.75" customHeight="1" thickBot="1" x14ac:dyDescent="0.3">
      <c r="A168" s="20" t="s">
        <v>79</v>
      </c>
      <c r="B168" s="1241" t="s">
        <v>124</v>
      </c>
      <c r="C168" s="1242"/>
      <c r="D168" s="1242"/>
      <c r="E168" s="1318"/>
    </row>
    <row r="169" spans="1:5" ht="15.75" thickBot="1" x14ac:dyDescent="0.3">
      <c r="A169" s="7" t="s">
        <v>16</v>
      </c>
      <c r="B169" s="1241" t="s">
        <v>877</v>
      </c>
      <c r="C169" s="1242"/>
      <c r="D169" s="1242"/>
      <c r="E169" s="1318"/>
    </row>
    <row r="170" spans="1:5" ht="25.5" customHeight="1" thickBot="1" x14ac:dyDescent="0.3">
      <c r="A170" s="5" t="s">
        <v>17</v>
      </c>
      <c r="B170" s="1333" t="s">
        <v>320</v>
      </c>
      <c r="C170" s="1334"/>
      <c r="D170" s="1334"/>
      <c r="E170" s="1335"/>
    </row>
    <row r="171" spans="1:5" ht="15.75" customHeight="1" thickBot="1" x14ac:dyDescent="0.3">
      <c r="A171" s="5" t="s">
        <v>18</v>
      </c>
      <c r="B171" s="1248" t="s">
        <v>306</v>
      </c>
      <c r="C171" s="1249"/>
      <c r="D171" s="1249"/>
      <c r="E171" s="1316"/>
    </row>
    <row r="172" spans="1:5" x14ac:dyDescent="0.25">
      <c r="A172" s="1250"/>
      <c r="B172" s="8">
        <v>2018</v>
      </c>
      <c r="C172" s="8">
        <v>2019</v>
      </c>
      <c r="D172" s="8">
        <v>2020</v>
      </c>
      <c r="E172" s="8">
        <v>2021</v>
      </c>
    </row>
    <row r="173" spans="1:5" ht="15.75" thickBot="1" x14ac:dyDescent="0.3">
      <c r="A173" s="1251"/>
      <c r="B173" s="9" t="s">
        <v>10</v>
      </c>
      <c r="C173" s="9" t="s">
        <v>11</v>
      </c>
      <c r="D173" s="9" t="s">
        <v>11</v>
      </c>
      <c r="E173" s="9" t="s">
        <v>11</v>
      </c>
    </row>
    <row r="174" spans="1:5" ht="15.75" thickBot="1" x14ac:dyDescent="0.3">
      <c r="A174" s="5" t="s">
        <v>19</v>
      </c>
      <c r="B174" s="10">
        <v>9</v>
      </c>
      <c r="C174" s="10">
        <f>10+2</f>
        <v>12</v>
      </c>
      <c r="D174" s="10">
        <v>10</v>
      </c>
      <c r="E174" s="10">
        <v>10</v>
      </c>
    </row>
    <row r="175" spans="1:5" ht="22.5" customHeight="1" thickBot="1" x14ac:dyDescent="0.3">
      <c r="A175" s="5" t="s">
        <v>20</v>
      </c>
      <c r="B175" s="10">
        <v>5000</v>
      </c>
      <c r="C175" s="10">
        <v>3260</v>
      </c>
      <c r="D175" s="10">
        <v>3260</v>
      </c>
      <c r="E175" s="10">
        <v>3260</v>
      </c>
    </row>
    <row r="176" spans="1:5" ht="15.75" thickBot="1" x14ac:dyDescent="0.3">
      <c r="A176" s="5" t="s">
        <v>21</v>
      </c>
      <c r="B176" s="10">
        <f>B175/B174</f>
        <v>555.55555555555554</v>
      </c>
      <c r="C176" s="10">
        <f>C175/C174</f>
        <v>271.66666666666669</v>
      </c>
      <c r="D176" s="10">
        <f>D175/D174</f>
        <v>326</v>
      </c>
      <c r="E176" s="10">
        <f>E175/E174</f>
        <v>326</v>
      </c>
    </row>
    <row r="177" spans="1:5" ht="15.75" thickBot="1" x14ac:dyDescent="0.3">
      <c r="A177" s="5" t="s">
        <v>22</v>
      </c>
      <c r="B177" s="151" t="s">
        <v>23</v>
      </c>
      <c r="C177" s="11">
        <f t="shared" ref="C177:E179" si="5">C174/B174-1</f>
        <v>0.33333333333333326</v>
      </c>
      <c r="D177" s="11">
        <f t="shared" si="5"/>
        <v>-0.16666666666666663</v>
      </c>
      <c r="E177" s="11">
        <f t="shared" si="5"/>
        <v>0</v>
      </c>
    </row>
    <row r="178" spans="1:5" ht="15.75" customHeight="1" thickBot="1" x14ac:dyDescent="0.3">
      <c r="A178" s="5" t="s">
        <v>24</v>
      </c>
      <c r="B178" s="151" t="s">
        <v>23</v>
      </c>
      <c r="C178" s="11">
        <f t="shared" si="5"/>
        <v>-0.34799999999999998</v>
      </c>
      <c r="D178" s="11">
        <f t="shared" si="5"/>
        <v>0</v>
      </c>
      <c r="E178" s="11">
        <f t="shared" si="5"/>
        <v>0</v>
      </c>
    </row>
    <row r="179" spans="1:5" ht="15.75" thickBot="1" x14ac:dyDescent="0.3">
      <c r="A179" s="5" t="s">
        <v>25</v>
      </c>
      <c r="B179" s="151" t="s">
        <v>23</v>
      </c>
      <c r="C179" s="11">
        <f t="shared" si="5"/>
        <v>-0.5109999999999999</v>
      </c>
      <c r="D179" s="11">
        <f t="shared" si="5"/>
        <v>0.19999999999999996</v>
      </c>
      <c r="E179" s="11">
        <f t="shared" si="5"/>
        <v>0</v>
      </c>
    </row>
    <row r="180" spans="1:5" ht="15.75" customHeight="1" thickBot="1" x14ac:dyDescent="0.3">
      <c r="A180" s="1252" t="s">
        <v>633</v>
      </c>
      <c r="B180" s="1253"/>
      <c r="C180" s="1253"/>
      <c r="D180" s="1253"/>
      <c r="E180" s="1300"/>
    </row>
    <row r="181" spans="1:5" x14ac:dyDescent="0.25">
      <c r="A181" s="1250"/>
      <c r="B181" s="8">
        <v>2018</v>
      </c>
      <c r="C181" s="8">
        <v>2019</v>
      </c>
      <c r="D181" s="8">
        <v>2020</v>
      </c>
      <c r="E181" s="8">
        <v>2021</v>
      </c>
    </row>
    <row r="182" spans="1:5" ht="15.75" thickBot="1" x14ac:dyDescent="0.3">
      <c r="A182" s="1251"/>
      <c r="B182" s="9" t="s">
        <v>10</v>
      </c>
      <c r="C182" s="9" t="s">
        <v>11</v>
      </c>
      <c r="D182" s="9" t="s">
        <v>11</v>
      </c>
      <c r="E182" s="9" t="s">
        <v>11</v>
      </c>
    </row>
    <row r="183" spans="1:5" ht="15.75" thickBot="1" x14ac:dyDescent="0.3">
      <c r="A183" s="13" t="s">
        <v>58</v>
      </c>
      <c r="B183" s="14"/>
      <c r="C183" s="14"/>
      <c r="D183" s="14"/>
      <c r="E183" s="14"/>
    </row>
    <row r="184" spans="1:5" ht="15.75" customHeight="1" thickBot="1" x14ac:dyDescent="0.3">
      <c r="A184" s="13" t="s">
        <v>59</v>
      </c>
      <c r="B184" s="10">
        <v>5000</v>
      </c>
      <c r="C184" s="10">
        <v>3260</v>
      </c>
      <c r="D184" s="10">
        <v>3260</v>
      </c>
      <c r="E184" s="10">
        <v>3260</v>
      </c>
    </row>
    <row r="185" spans="1:5" ht="15.75" thickBot="1" x14ac:dyDescent="0.3">
      <c r="A185" s="16" t="s">
        <v>40</v>
      </c>
      <c r="B185" s="15">
        <f>B184+B183</f>
        <v>5000</v>
      </c>
      <c r="C185" s="15">
        <f>C184+C183</f>
        <v>3260</v>
      </c>
      <c r="D185" s="15">
        <f>D184+D183</f>
        <v>3260</v>
      </c>
      <c r="E185" s="15">
        <f>E184+E183</f>
        <v>3260</v>
      </c>
    </row>
    <row r="186" spans="1:5" ht="15" customHeight="1" x14ac:dyDescent="0.25">
      <c r="A186" s="1254" t="s">
        <v>60</v>
      </c>
      <c r="B186" s="1322"/>
      <c r="C186" s="1289"/>
      <c r="D186" s="1289"/>
      <c r="E186" s="1290"/>
    </row>
    <row r="187" spans="1:5" x14ac:dyDescent="0.25">
      <c r="A187" s="1255"/>
      <c r="B187" s="1291"/>
      <c r="C187" s="1292"/>
      <c r="D187" s="1292"/>
      <c r="E187" s="1293"/>
    </row>
    <row r="188" spans="1:5" ht="15.75" thickBot="1" x14ac:dyDescent="0.3">
      <c r="A188" s="1256"/>
      <c r="B188" s="1294"/>
      <c r="C188" s="1295"/>
      <c r="D188" s="1295"/>
      <c r="E188" s="1296"/>
    </row>
    <row r="189" spans="1:5" ht="15.75" customHeight="1" thickBot="1" x14ac:dyDescent="0.3">
      <c r="A189" s="20" t="s">
        <v>61</v>
      </c>
      <c r="B189" s="1241" t="s">
        <v>124</v>
      </c>
      <c r="C189" s="1242"/>
      <c r="D189" s="1242"/>
      <c r="E189" s="1318"/>
    </row>
    <row r="190" spans="1:5" ht="15.75" thickBot="1" x14ac:dyDescent="0.3">
      <c r="A190" s="7" t="s">
        <v>42</v>
      </c>
      <c r="B190" s="1243" t="s">
        <v>876</v>
      </c>
      <c r="C190" s="1244"/>
      <c r="D190" s="1244"/>
      <c r="E190" s="1315"/>
    </row>
    <row r="191" spans="1:5" ht="27" customHeight="1" thickBot="1" x14ac:dyDescent="0.3">
      <c r="A191" s="5" t="s">
        <v>17</v>
      </c>
      <c r="B191" s="1541" t="s">
        <v>875</v>
      </c>
      <c r="C191" s="1542"/>
      <c r="D191" s="1542"/>
      <c r="E191" s="1543"/>
    </row>
    <row r="192" spans="1:5" ht="23.25" customHeight="1" thickBot="1" x14ac:dyDescent="0.3">
      <c r="A192" s="5" t="s">
        <v>18</v>
      </c>
      <c r="B192" s="1544" t="s">
        <v>321</v>
      </c>
      <c r="C192" s="1545"/>
      <c r="D192" s="1545"/>
      <c r="E192" s="1546"/>
    </row>
    <row r="193" spans="1:5" x14ac:dyDescent="0.25">
      <c r="A193" s="1250"/>
      <c r="B193" s="8">
        <v>2018</v>
      </c>
      <c r="C193" s="8">
        <v>2019</v>
      </c>
      <c r="D193" s="8">
        <v>2020</v>
      </c>
      <c r="E193" s="8">
        <v>2021</v>
      </c>
    </row>
    <row r="194" spans="1:5" ht="15.75" thickBot="1" x14ac:dyDescent="0.3">
      <c r="A194" s="1251"/>
      <c r="B194" s="9" t="s">
        <v>10</v>
      </c>
      <c r="C194" s="9" t="s">
        <v>11</v>
      </c>
      <c r="D194" s="9" t="s">
        <v>11</v>
      </c>
      <c r="E194" s="9" t="s">
        <v>11</v>
      </c>
    </row>
    <row r="195" spans="1:5" ht="15.75" thickBot="1" x14ac:dyDescent="0.3">
      <c r="A195" s="5" t="s">
        <v>19</v>
      </c>
      <c r="B195" s="10">
        <v>10</v>
      </c>
      <c r="C195" s="10">
        <v>13</v>
      </c>
      <c r="D195" s="10">
        <v>11</v>
      </c>
      <c r="E195" s="10">
        <v>12</v>
      </c>
    </row>
    <row r="196" spans="1:5" ht="15.75" thickBot="1" x14ac:dyDescent="0.3">
      <c r="A196" s="5" t="s">
        <v>20</v>
      </c>
      <c r="B196" s="10">
        <v>2000</v>
      </c>
      <c r="C196" s="10">
        <v>3740</v>
      </c>
      <c r="D196" s="10">
        <v>2000</v>
      </c>
      <c r="E196" s="10">
        <v>3350</v>
      </c>
    </row>
    <row r="197" spans="1:5" ht="15.75" thickBot="1" x14ac:dyDescent="0.3">
      <c r="A197" s="5" t="s">
        <v>21</v>
      </c>
      <c r="B197" s="10">
        <f>B196/B195</f>
        <v>200</v>
      </c>
      <c r="C197" s="10">
        <f>C196/C195</f>
        <v>287.69230769230768</v>
      </c>
      <c r="D197" s="10">
        <f>D196/D195</f>
        <v>181.81818181818181</v>
      </c>
      <c r="E197" s="10">
        <f>E196/E195</f>
        <v>279.16666666666669</v>
      </c>
    </row>
    <row r="198" spans="1:5" ht="15.75" thickBot="1" x14ac:dyDescent="0.3">
      <c r="A198" s="5" t="s">
        <v>22</v>
      </c>
      <c r="B198" s="151" t="s">
        <v>23</v>
      </c>
      <c r="C198" s="11">
        <f t="shared" ref="C198:E200" si="6">C195/B195-1</f>
        <v>0.30000000000000004</v>
      </c>
      <c r="D198" s="11">
        <f t="shared" si="6"/>
        <v>-0.15384615384615385</v>
      </c>
      <c r="E198" s="11">
        <f t="shared" si="6"/>
        <v>9.0909090909090828E-2</v>
      </c>
    </row>
    <row r="199" spans="1:5" ht="15.75" customHeight="1" thickBot="1" x14ac:dyDescent="0.3">
      <c r="A199" s="5" t="s">
        <v>24</v>
      </c>
      <c r="B199" s="151" t="s">
        <v>23</v>
      </c>
      <c r="C199" s="11">
        <f t="shared" si="6"/>
        <v>0.87000000000000011</v>
      </c>
      <c r="D199" s="11">
        <f t="shared" si="6"/>
        <v>-0.46524064171122992</v>
      </c>
      <c r="E199" s="11">
        <f t="shared" si="6"/>
        <v>0.67500000000000004</v>
      </c>
    </row>
    <row r="200" spans="1:5" ht="15.75" thickBot="1" x14ac:dyDescent="0.3">
      <c r="A200" s="5" t="s">
        <v>25</v>
      </c>
      <c r="B200" s="151" t="s">
        <v>23</v>
      </c>
      <c r="C200" s="11">
        <f t="shared" si="6"/>
        <v>0.43846153846153846</v>
      </c>
      <c r="D200" s="11">
        <f t="shared" si="6"/>
        <v>-0.36801166747690806</v>
      </c>
      <c r="E200" s="11">
        <f t="shared" si="6"/>
        <v>0.53541666666666687</v>
      </c>
    </row>
    <row r="201" spans="1:5" ht="15.75" customHeight="1" thickBot="1" x14ac:dyDescent="0.3">
      <c r="A201" s="1252" t="s">
        <v>874</v>
      </c>
      <c r="B201" s="1253"/>
      <c r="C201" s="1253"/>
      <c r="D201" s="1253"/>
      <c r="E201" s="1300"/>
    </row>
    <row r="202" spans="1:5" ht="15.75" customHeight="1" x14ac:dyDescent="0.25">
      <c r="A202" s="1250"/>
      <c r="B202" s="8">
        <v>2018</v>
      </c>
      <c r="C202" s="8">
        <v>2019</v>
      </c>
      <c r="D202" s="8">
        <v>2020</v>
      </c>
      <c r="E202" s="8">
        <v>2021</v>
      </c>
    </row>
    <row r="203" spans="1:5" ht="15.75" thickBot="1" x14ac:dyDescent="0.3">
      <c r="A203" s="1251"/>
      <c r="B203" s="9" t="s">
        <v>10</v>
      </c>
      <c r="C203" s="9" t="s">
        <v>11</v>
      </c>
      <c r="D203" s="9" t="s">
        <v>11</v>
      </c>
      <c r="E203" s="9" t="s">
        <v>11</v>
      </c>
    </row>
    <row r="204" spans="1:5" ht="15.75" thickBot="1" x14ac:dyDescent="0.3">
      <c r="A204" s="13" t="s">
        <v>58</v>
      </c>
      <c r="B204" s="14"/>
      <c r="C204" s="14"/>
      <c r="D204" s="14"/>
      <c r="E204" s="14"/>
    </row>
    <row r="205" spans="1:5" ht="15.75" thickBot="1" x14ac:dyDescent="0.3">
      <c r="A205" s="13" t="s">
        <v>59</v>
      </c>
      <c r="B205" s="10">
        <v>2000</v>
      </c>
      <c r="C205" s="10">
        <v>3740</v>
      </c>
      <c r="D205" s="10">
        <v>2000</v>
      </c>
      <c r="E205" s="10">
        <v>3350</v>
      </c>
    </row>
    <row r="206" spans="1:5" ht="15.75" thickBot="1" x14ac:dyDescent="0.3">
      <c r="A206" s="16" t="s">
        <v>43</v>
      </c>
      <c r="B206" s="15">
        <f>B205+B204</f>
        <v>2000</v>
      </c>
      <c r="C206" s="15">
        <f>C205+C204</f>
        <v>3740</v>
      </c>
      <c r="D206" s="15">
        <f>D205+D204</f>
        <v>2000</v>
      </c>
      <c r="E206" s="15">
        <f>E205+E204</f>
        <v>3350</v>
      </c>
    </row>
    <row r="207" spans="1:5" ht="15.75" thickBot="1" x14ac:dyDescent="0.3">
      <c r="A207" s="7" t="s">
        <v>44</v>
      </c>
      <c r="B207" s="1535" t="s">
        <v>322</v>
      </c>
      <c r="C207" s="1536"/>
      <c r="D207" s="1536"/>
      <c r="E207" s="1537"/>
    </row>
    <row r="208" spans="1:5" ht="15.75" customHeight="1" thickBot="1" x14ac:dyDescent="0.3">
      <c r="A208" s="5" t="s">
        <v>17</v>
      </c>
      <c r="B208" s="156" t="s">
        <v>873</v>
      </c>
      <c r="C208" s="155"/>
      <c r="D208" s="155"/>
      <c r="E208" s="154"/>
    </row>
    <row r="209" spans="1:5" ht="15.75" thickBot="1" x14ac:dyDescent="0.3">
      <c r="A209" s="5" t="s">
        <v>18</v>
      </c>
      <c r="B209" s="1538" t="s">
        <v>108</v>
      </c>
      <c r="C209" s="1539"/>
      <c r="D209" s="1539"/>
      <c r="E209" s="1540"/>
    </row>
    <row r="210" spans="1:5" x14ac:dyDescent="0.25">
      <c r="A210" s="1250"/>
      <c r="B210" s="8">
        <v>2018</v>
      </c>
      <c r="C210" s="8">
        <v>2019</v>
      </c>
      <c r="D210" s="8">
        <v>2020</v>
      </c>
      <c r="E210" s="8">
        <v>2021</v>
      </c>
    </row>
    <row r="211" spans="1:5" ht="15.75" thickBot="1" x14ac:dyDescent="0.3">
      <c r="A211" s="1251"/>
      <c r="B211" s="9" t="s">
        <v>10</v>
      </c>
      <c r="C211" s="9" t="s">
        <v>11</v>
      </c>
      <c r="D211" s="9" t="s">
        <v>11</v>
      </c>
      <c r="E211" s="9" t="s">
        <v>11</v>
      </c>
    </row>
    <row r="212" spans="1:5" ht="15.75" thickBot="1" x14ac:dyDescent="0.3">
      <c r="A212" s="5" t="s">
        <v>19</v>
      </c>
      <c r="B212" s="10"/>
      <c r="C212" s="10"/>
      <c r="D212" s="10">
        <v>14</v>
      </c>
      <c r="E212" s="10">
        <v>4</v>
      </c>
    </row>
    <row r="213" spans="1:5" ht="23.25" customHeight="1" thickBot="1" x14ac:dyDescent="0.3">
      <c r="A213" s="5" t="s">
        <v>20</v>
      </c>
      <c r="B213" s="10"/>
      <c r="C213" s="10"/>
      <c r="D213" s="10">
        <v>1740</v>
      </c>
      <c r="E213" s="10">
        <v>390</v>
      </c>
    </row>
    <row r="214" spans="1:5" ht="15.75" thickBot="1" x14ac:dyDescent="0.3">
      <c r="A214" s="5" t="s">
        <v>21</v>
      </c>
      <c r="B214" s="10"/>
      <c r="C214" s="10" t="e">
        <f>C213/C212</f>
        <v>#DIV/0!</v>
      </c>
      <c r="D214" s="10">
        <f>D213/D212</f>
        <v>124.28571428571429</v>
      </c>
      <c r="E214" s="10">
        <f>E213/E212</f>
        <v>97.5</v>
      </c>
    </row>
    <row r="215" spans="1:5" ht="15.75" thickBot="1" x14ac:dyDescent="0.3">
      <c r="A215" s="5" t="s">
        <v>22</v>
      </c>
      <c r="B215" s="151" t="s">
        <v>23</v>
      </c>
      <c r="C215" s="11" t="e">
        <f t="shared" ref="C215:E217" si="7">C212/B212-1</f>
        <v>#DIV/0!</v>
      </c>
      <c r="D215" s="11" t="e">
        <f t="shared" si="7"/>
        <v>#DIV/0!</v>
      </c>
      <c r="E215" s="11">
        <f t="shared" si="7"/>
        <v>-0.7142857142857143</v>
      </c>
    </row>
    <row r="216" spans="1:5" ht="15.75" customHeight="1" thickBot="1" x14ac:dyDescent="0.3">
      <c r="A216" s="5" t="s">
        <v>24</v>
      </c>
      <c r="B216" s="151" t="s">
        <v>23</v>
      </c>
      <c r="C216" s="11" t="e">
        <f t="shared" si="7"/>
        <v>#DIV/0!</v>
      </c>
      <c r="D216" s="11" t="e">
        <f t="shared" si="7"/>
        <v>#DIV/0!</v>
      </c>
      <c r="E216" s="11">
        <f t="shared" si="7"/>
        <v>-0.77586206896551724</v>
      </c>
    </row>
    <row r="217" spans="1:5" ht="15.75" thickBot="1" x14ac:dyDescent="0.3">
      <c r="A217" s="5" t="s">
        <v>25</v>
      </c>
      <c r="B217" s="151" t="s">
        <v>23</v>
      </c>
      <c r="C217" s="11" t="e">
        <f t="shared" si="7"/>
        <v>#DIV/0!</v>
      </c>
      <c r="D217" s="11" t="e">
        <f t="shared" si="7"/>
        <v>#DIV/0!</v>
      </c>
      <c r="E217" s="11">
        <f t="shared" si="7"/>
        <v>-0.21551724137931039</v>
      </c>
    </row>
    <row r="218" spans="1:5" ht="15.75" customHeight="1" thickBot="1" x14ac:dyDescent="0.3">
      <c r="A218" s="1252" t="s">
        <v>872</v>
      </c>
      <c r="B218" s="1253"/>
      <c r="C218" s="1253"/>
      <c r="D218" s="1253"/>
      <c r="E218" s="1300"/>
    </row>
    <row r="219" spans="1:5" x14ac:dyDescent="0.25">
      <c r="A219" s="1250"/>
      <c r="B219" s="8">
        <v>2018</v>
      </c>
      <c r="C219" s="8">
        <v>2019</v>
      </c>
      <c r="D219" s="8">
        <v>2020</v>
      </c>
      <c r="E219" s="8">
        <v>2021</v>
      </c>
    </row>
    <row r="220" spans="1:5" ht="15.75" thickBot="1" x14ac:dyDescent="0.3">
      <c r="A220" s="1251"/>
      <c r="B220" s="9" t="s">
        <v>10</v>
      </c>
      <c r="C220" s="9" t="s">
        <v>11</v>
      </c>
      <c r="D220" s="9" t="s">
        <v>11</v>
      </c>
      <c r="E220" s="9" t="s">
        <v>11</v>
      </c>
    </row>
    <row r="221" spans="1:5" ht="15.75" thickBot="1" x14ac:dyDescent="0.3">
      <c r="A221" s="13" t="s">
        <v>58</v>
      </c>
      <c r="B221" s="14"/>
      <c r="C221" s="14"/>
      <c r="D221" s="14"/>
      <c r="E221" s="14"/>
    </row>
    <row r="222" spans="1:5" ht="15.75" thickBot="1" x14ac:dyDescent="0.3">
      <c r="A222" s="13" t="s">
        <v>59</v>
      </c>
      <c r="B222" s="10"/>
      <c r="C222" s="10"/>
      <c r="D222" s="10">
        <v>1740</v>
      </c>
      <c r="E222" s="10">
        <v>390</v>
      </c>
    </row>
    <row r="223" spans="1:5" ht="15.75" customHeight="1" thickBot="1" x14ac:dyDescent="0.3">
      <c r="A223" s="16" t="s">
        <v>52</v>
      </c>
      <c r="B223" s="15">
        <f>B222+B221</f>
        <v>0</v>
      </c>
      <c r="C223" s="15">
        <f>C222+C221</f>
        <v>0</v>
      </c>
      <c r="D223" s="15">
        <f>D222+D221</f>
        <v>1740</v>
      </c>
      <c r="E223" s="15">
        <f>E222+E221</f>
        <v>390</v>
      </c>
    </row>
    <row r="224" spans="1:5" ht="15.75" thickBot="1" x14ac:dyDescent="0.3">
      <c r="A224" s="13" t="s">
        <v>58</v>
      </c>
      <c r="B224" s="14"/>
      <c r="C224" s="14"/>
      <c r="D224" s="14"/>
      <c r="E224" s="14"/>
    </row>
    <row r="225" spans="1:5" ht="15.75" thickBot="1" x14ac:dyDescent="0.3">
      <c r="A225" s="13" t="s">
        <v>59</v>
      </c>
      <c r="B225" s="15"/>
      <c r="C225" s="10"/>
      <c r="D225" s="10">
        <v>1740</v>
      </c>
      <c r="E225" s="10">
        <v>390</v>
      </c>
    </row>
    <row r="226" spans="1:5" ht="15.75" thickBot="1" x14ac:dyDescent="0.3">
      <c r="A226" s="16" t="s">
        <v>52</v>
      </c>
      <c r="B226" s="15">
        <f>B225+B224</f>
        <v>0</v>
      </c>
      <c r="C226" s="15">
        <f>C225+C224</f>
        <v>0</v>
      </c>
      <c r="D226" s="15">
        <f>D225+D224</f>
        <v>1740</v>
      </c>
      <c r="E226" s="15">
        <f>E225+E224</f>
        <v>390</v>
      </c>
    </row>
    <row r="227" spans="1:5" ht="15.75" thickBot="1" x14ac:dyDescent="0.3">
      <c r="A227" s="22"/>
      <c r="B227" s="23"/>
      <c r="C227" s="23"/>
      <c r="D227" s="23"/>
      <c r="E227" s="23"/>
    </row>
    <row r="228" spans="1:5" ht="24.75" thickBot="1" x14ac:dyDescent="0.3">
      <c r="A228" s="6" t="s">
        <v>82</v>
      </c>
      <c r="B228" s="24">
        <f>B36+B59+B89+B119+B144+B175+B196+B213</f>
        <v>571326</v>
      </c>
      <c r="C228" s="24">
        <f>C36+C59+C89+C119+C144+C175+C196+C213</f>
        <v>682000</v>
      </c>
      <c r="D228" s="24">
        <f>D36+D59+D89+D119+D144+D175+D196+D213</f>
        <v>682000</v>
      </c>
      <c r="E228" s="24">
        <f>E36+E59+E89+E119+E144+E175+E196+E213</f>
        <v>504000</v>
      </c>
    </row>
    <row r="229" spans="1:5" ht="24.75" thickBot="1" x14ac:dyDescent="0.3">
      <c r="A229" s="6" t="s">
        <v>83</v>
      </c>
      <c r="B229" s="24">
        <f>B51+B74+B104+B136+B159+B185+B206+B226</f>
        <v>571326</v>
      </c>
      <c r="C229" s="24">
        <f>C51+C74+C104+C136+C159+C185+C206+C226</f>
        <v>682000</v>
      </c>
      <c r="D229" s="24">
        <f>D51+D74+D104+D136+D159+D185+D206+D226</f>
        <v>682000</v>
      </c>
      <c r="E229" s="24">
        <f>E51+E74+E104+E136+E159+E185+E206+E226</f>
        <v>504000</v>
      </c>
    </row>
    <row r="230" spans="1:5" ht="24.75" thickBot="1" x14ac:dyDescent="0.3">
      <c r="A230" s="25" t="s">
        <v>84</v>
      </c>
      <c r="B230" s="26"/>
      <c r="C230" s="27">
        <f>C229/B229-1</f>
        <v>0.19371427171177236</v>
      </c>
      <c r="D230" s="27">
        <f>D229/C229-1</f>
        <v>0</v>
      </c>
      <c r="E230" s="27">
        <f>E229/D229-1</f>
        <v>-0.26099706744868034</v>
      </c>
    </row>
    <row r="231" spans="1:5" ht="15.75" thickBot="1" x14ac:dyDescent="0.3">
      <c r="A231" s="13" t="s">
        <v>26</v>
      </c>
      <c r="B231" s="14">
        <f>B44+B67+B97+B127+B152</f>
        <v>408981</v>
      </c>
      <c r="C231" s="14">
        <f>C44+C67+C97+C127+C152</f>
        <v>365600</v>
      </c>
      <c r="D231" s="14">
        <f>D44+D67+D97+D127+D152</f>
        <v>365600</v>
      </c>
      <c r="E231" s="14">
        <f>E44+E67+E97+E127+E152</f>
        <v>365600</v>
      </c>
    </row>
    <row r="232" spans="1:5" ht="15.75" thickBot="1" x14ac:dyDescent="0.3">
      <c r="A232" s="28" t="s">
        <v>85</v>
      </c>
      <c r="B232" s="15"/>
      <c r="C232" s="29">
        <f>C231/B231-1</f>
        <v>-0.10607094217090773</v>
      </c>
      <c r="D232" s="29">
        <f>D231/C231-1</f>
        <v>0</v>
      </c>
      <c r="E232" s="29">
        <f>E231/D231-1</f>
        <v>0</v>
      </c>
    </row>
    <row r="233" spans="1:5" ht="15.75" thickBot="1" x14ac:dyDescent="0.3">
      <c r="A233" s="13" t="s">
        <v>28</v>
      </c>
      <c r="B233" s="14">
        <f>B45+B68+B98+B128+B153</f>
        <v>67345</v>
      </c>
      <c r="C233" s="14">
        <f>C45+C68+C98+C128+C153</f>
        <v>60750</v>
      </c>
      <c r="D233" s="14">
        <f>D45+D68+D98+D128+D153</f>
        <v>60750</v>
      </c>
      <c r="E233" s="14">
        <f>E45+E68+E98+E128+E153</f>
        <v>60750</v>
      </c>
    </row>
    <row r="234" spans="1:5" ht="24.75" thickBot="1" x14ac:dyDescent="0.3">
      <c r="A234" s="28" t="s">
        <v>86</v>
      </c>
      <c r="B234" s="29"/>
      <c r="C234" s="29">
        <f>C233/B233-1</f>
        <v>-9.7928576731754369E-2</v>
      </c>
      <c r="D234" s="29">
        <f>D233/C233-1</f>
        <v>0</v>
      </c>
      <c r="E234" s="29">
        <f>E233/D233-1</f>
        <v>0</v>
      </c>
    </row>
    <row r="235" spans="1:5" ht="15.75" thickBot="1" x14ac:dyDescent="0.3">
      <c r="A235" s="13" t="s">
        <v>30</v>
      </c>
      <c r="B235" s="14">
        <f>B46+B69+B99+B129+B154</f>
        <v>86666</v>
      </c>
      <c r="C235" s="14">
        <f>C46+C69+C99+C129+C154</f>
        <v>247076</v>
      </c>
      <c r="D235" s="14">
        <f>D46+D69+D99+D129+D154</f>
        <v>247076</v>
      </c>
      <c r="E235" s="14">
        <f>E46+E69+E99+E129+E154</f>
        <v>69076</v>
      </c>
    </row>
    <row r="236" spans="1:5" ht="15.75" thickBot="1" x14ac:dyDescent="0.3">
      <c r="A236" s="28" t="s">
        <v>87</v>
      </c>
      <c r="B236" s="14"/>
      <c r="C236" s="29">
        <f>C235/B235-1</f>
        <v>1.8508988530681005</v>
      </c>
      <c r="D236" s="29">
        <f>D235/C235-1</f>
        <v>0</v>
      </c>
      <c r="E236" s="29">
        <f>E235/D235-1</f>
        <v>-0.7204261037089803</v>
      </c>
    </row>
    <row r="237" spans="1:5" ht="12" customHeight="1" thickBot="1" x14ac:dyDescent="0.3">
      <c r="A237" s="13" t="s">
        <v>32</v>
      </c>
      <c r="B237" s="14">
        <f>B47+B70+B100+B130+B155</f>
        <v>0</v>
      </c>
      <c r="C237" s="14">
        <f>C47+C70+C100+C130+C155</f>
        <v>0</v>
      </c>
      <c r="D237" s="14">
        <f>D47+D70+D100+D130+D155</f>
        <v>0</v>
      </c>
      <c r="E237" s="14">
        <f>E47+E70+E100+E130+E155</f>
        <v>0</v>
      </c>
    </row>
    <row r="238" spans="1:5" ht="15.75" thickBot="1" x14ac:dyDescent="0.3">
      <c r="A238" s="28" t="s">
        <v>88</v>
      </c>
      <c r="B238" s="15"/>
      <c r="C238" s="29" t="e">
        <f>C237/B237-1</f>
        <v>#DIV/0!</v>
      </c>
      <c r="D238" s="29" t="e">
        <f>D237/C237-1</f>
        <v>#DIV/0!</v>
      </c>
      <c r="E238" s="29" t="e">
        <f>E237/D237-1</f>
        <v>#DIV/0!</v>
      </c>
    </row>
    <row r="239" spans="1:5" ht="15.75" thickBot="1" x14ac:dyDescent="0.3">
      <c r="A239" s="13" t="s">
        <v>34</v>
      </c>
      <c r="B239" s="14">
        <f>B48+B71+B101+B131+B156</f>
        <v>1334</v>
      </c>
      <c r="C239" s="14">
        <f>C48+C71+C101+C131+C156</f>
        <v>1574</v>
      </c>
      <c r="D239" s="14">
        <f>D48+D71+D101+D131+D156</f>
        <v>1574</v>
      </c>
      <c r="E239" s="14">
        <f>E48+E71+E101+E131+E156</f>
        <v>1574</v>
      </c>
    </row>
    <row r="240" spans="1:5" ht="14.25" customHeight="1" thickBot="1" x14ac:dyDescent="0.3">
      <c r="A240" s="28" t="s">
        <v>89</v>
      </c>
      <c r="B240" s="15"/>
      <c r="C240" s="29">
        <f>C239/B239-1</f>
        <v>0.17991004497751129</v>
      </c>
      <c r="D240" s="29">
        <f>D239/C239-1</f>
        <v>0</v>
      </c>
      <c r="E240" s="29">
        <f>E239/D239-1</f>
        <v>0</v>
      </c>
    </row>
    <row r="241" spans="1:5" ht="10.5" customHeight="1" thickBot="1" x14ac:dyDescent="0.3">
      <c r="A241" s="13" t="s">
        <v>36</v>
      </c>
      <c r="B241" s="14">
        <f>B49+B72+B102+B133+B157</f>
        <v>0</v>
      </c>
      <c r="C241" s="14">
        <f>C49+C72+C102+C133+C157</f>
        <v>0</v>
      </c>
      <c r="D241" s="14">
        <f>D49+D72+D102+D133+D157</f>
        <v>0</v>
      </c>
      <c r="E241" s="14">
        <f>E49+E72+E102+E133+E157</f>
        <v>0</v>
      </c>
    </row>
    <row r="242" spans="1:5" ht="15.75" thickBot="1" x14ac:dyDescent="0.3">
      <c r="A242" s="28" t="s">
        <v>90</v>
      </c>
      <c r="B242" s="15"/>
      <c r="C242" s="29" t="e">
        <f>C241/B241-1</f>
        <v>#DIV/0!</v>
      </c>
      <c r="D242" s="29" t="e">
        <f>D241/C241-1</f>
        <v>#DIV/0!</v>
      </c>
      <c r="E242" s="29" t="e">
        <f>E241/D241-1</f>
        <v>#DIV/0!</v>
      </c>
    </row>
    <row r="243" spans="1:5" ht="15.75" thickBot="1" x14ac:dyDescent="0.3">
      <c r="A243" s="13" t="s">
        <v>38</v>
      </c>
      <c r="B243" s="14">
        <f>B50+B73+B103+B133+B158</f>
        <v>0</v>
      </c>
      <c r="C243" s="14">
        <f>C50+C73+C103+C133+C158</f>
        <v>0</v>
      </c>
      <c r="D243" s="14">
        <f>D50+D73+D103+D133+D158</f>
        <v>0</v>
      </c>
      <c r="E243" s="14">
        <f>E50+E73+E103+E133+E158</f>
        <v>0</v>
      </c>
    </row>
    <row r="244" spans="1:5" ht="24.75" thickBot="1" x14ac:dyDescent="0.3">
      <c r="A244" s="28" t="s">
        <v>91</v>
      </c>
      <c r="B244" s="15"/>
      <c r="C244" s="29" t="e">
        <f>C243/B243-1</f>
        <v>#DIV/0!</v>
      </c>
      <c r="D244" s="29" t="e">
        <f>D243/C243-1</f>
        <v>#DIV/0!</v>
      </c>
      <c r="E244" s="29" t="e">
        <f>E243/D243-1</f>
        <v>#DIV/0!</v>
      </c>
    </row>
    <row r="245" spans="1:5" ht="9.75" customHeight="1" thickBot="1" x14ac:dyDescent="0.3">
      <c r="A245" s="13" t="s">
        <v>92</v>
      </c>
      <c r="B245" s="14"/>
      <c r="C245" s="14">
        <f>C183+C204+C224</f>
        <v>0</v>
      </c>
      <c r="D245" s="14">
        <f>D183+D204+D224</f>
        <v>0</v>
      </c>
      <c r="E245" s="14">
        <f>E183+E204+E224</f>
        <v>0</v>
      </c>
    </row>
    <row r="246" spans="1:5" ht="11.25" customHeight="1" thickBot="1" x14ac:dyDescent="0.3">
      <c r="A246" s="28" t="s">
        <v>93</v>
      </c>
      <c r="B246" s="15"/>
      <c r="C246" s="29" t="e">
        <f>C245/B245-1</f>
        <v>#DIV/0!</v>
      </c>
      <c r="D246" s="29" t="e">
        <f>D245/C245-1</f>
        <v>#DIV/0!</v>
      </c>
      <c r="E246" s="29" t="e">
        <f>E245/D245-1</f>
        <v>#DIV/0!</v>
      </c>
    </row>
    <row r="247" spans="1:5" ht="15" customHeight="1" thickBot="1" x14ac:dyDescent="0.3">
      <c r="A247" s="13" t="s">
        <v>94</v>
      </c>
      <c r="B247" s="14">
        <f>B185+B206+B225</f>
        <v>7000</v>
      </c>
      <c r="C247" s="14">
        <f>C185+C206+C225+C135</f>
        <v>7000</v>
      </c>
      <c r="D247" s="14">
        <f>D185+D206+D225+D135</f>
        <v>7000</v>
      </c>
      <c r="E247" s="14">
        <f>E185+E206+E225+E135</f>
        <v>7000</v>
      </c>
    </row>
    <row r="248" spans="1:5" ht="15.75" thickBot="1" x14ac:dyDescent="0.3">
      <c r="A248" s="28" t="s">
        <v>95</v>
      </c>
      <c r="B248" s="15"/>
      <c r="C248" s="29">
        <f>C247/B247-1</f>
        <v>0</v>
      </c>
      <c r="D248" s="29">
        <f>D247/C247-1</f>
        <v>0</v>
      </c>
      <c r="E248" s="29">
        <f>E247/D247-1</f>
        <v>0</v>
      </c>
    </row>
    <row r="249" spans="1:5" ht="15.75" thickBot="1" x14ac:dyDescent="0.3">
      <c r="A249" s="17" t="s">
        <v>41</v>
      </c>
      <c r="B249" s="18">
        <f>IF(B229-B228=0,0,"Error")</f>
        <v>0</v>
      </c>
      <c r="C249" s="18">
        <f>IF(C229-C228=0,0,"Error")</f>
        <v>0</v>
      </c>
      <c r="D249" s="18">
        <f>IF(D229-D228=0,0,"Error")</f>
        <v>0</v>
      </c>
      <c r="E249" s="18">
        <f>IF(E229-E228=0,0,"Error")</f>
        <v>0</v>
      </c>
    </row>
    <row r="250" spans="1:5" ht="24.75" thickBot="1" x14ac:dyDescent="0.3">
      <c r="A250" s="30" t="s">
        <v>96</v>
      </c>
      <c r="B250" s="14">
        <v>226</v>
      </c>
      <c r="C250" s="14">
        <v>226</v>
      </c>
      <c r="D250" s="14">
        <v>226</v>
      </c>
      <c r="E250" s="14">
        <v>226</v>
      </c>
    </row>
    <row r="251" spans="1:5" ht="24.75" thickBot="1" x14ac:dyDescent="0.3">
      <c r="A251" s="30" t="s">
        <v>97</v>
      </c>
      <c r="B251" s="14" t="s">
        <v>23</v>
      </c>
      <c r="C251" s="14" t="s">
        <v>23</v>
      </c>
      <c r="D251" s="14" t="s">
        <v>23</v>
      </c>
      <c r="E251" s="14" t="s">
        <v>23</v>
      </c>
    </row>
  </sheetData>
  <mergeCells count="82">
    <mergeCell ref="B209:E209"/>
    <mergeCell ref="A210:A211"/>
    <mergeCell ref="B161:E161"/>
    <mergeCell ref="A219:A220"/>
    <mergeCell ref="B189:E189"/>
    <mergeCell ref="B190:E190"/>
    <mergeCell ref="B191:E191"/>
    <mergeCell ref="B192:E192"/>
    <mergeCell ref="B170:E170"/>
    <mergeCell ref="B171:E171"/>
    <mergeCell ref="A172:A173"/>
    <mergeCell ref="A180:E180"/>
    <mergeCell ref="A181:A182"/>
    <mergeCell ref="A218:E218"/>
    <mergeCell ref="A193:A194"/>
    <mergeCell ref="A201:E201"/>
    <mergeCell ref="A202:A203"/>
    <mergeCell ref="B207:E207"/>
    <mergeCell ref="A186:A188"/>
    <mergeCell ref="B186:E188"/>
    <mergeCell ref="A162:E162"/>
    <mergeCell ref="A165:E165"/>
    <mergeCell ref="A166:E166"/>
    <mergeCell ref="A167:E167"/>
    <mergeCell ref="B168:E168"/>
    <mergeCell ref="B169:E169"/>
    <mergeCell ref="A116:A117"/>
    <mergeCell ref="A124:E124"/>
    <mergeCell ref="A125:A126"/>
    <mergeCell ref="A149:E149"/>
    <mergeCell ref="A150:A151"/>
    <mergeCell ref="B55:E55"/>
    <mergeCell ref="B138:E138"/>
    <mergeCell ref="B139:E139"/>
    <mergeCell ref="B140:E140"/>
    <mergeCell ref="A141:A142"/>
    <mergeCell ref="B84:E84"/>
    <mergeCell ref="B85:E85"/>
    <mergeCell ref="A86:A87"/>
    <mergeCell ref="B113:E113"/>
    <mergeCell ref="A95:A96"/>
    <mergeCell ref="B106:E106"/>
    <mergeCell ref="A107:E107"/>
    <mergeCell ref="A111:E111"/>
    <mergeCell ref="A112:E112"/>
    <mergeCell ref="B114:E114"/>
    <mergeCell ref="B115:E115"/>
    <mergeCell ref="A94:E94"/>
    <mergeCell ref="A56:A57"/>
    <mergeCell ref="A64:E64"/>
    <mergeCell ref="A65:A66"/>
    <mergeCell ref="B76:E76"/>
    <mergeCell ref="A77:E77"/>
    <mergeCell ref="A81:E81"/>
    <mergeCell ref="A82:E82"/>
    <mergeCell ref="B83:E83"/>
    <mergeCell ref="B32:E32"/>
    <mergeCell ref="A33:A34"/>
    <mergeCell ref="A41:E41"/>
    <mergeCell ref="A42:A43"/>
    <mergeCell ref="B54:E54"/>
    <mergeCell ref="B53:E53"/>
    <mergeCell ref="A14:E14"/>
    <mergeCell ref="A15:E15"/>
    <mergeCell ref="B16:E16"/>
    <mergeCell ref="A17:A18"/>
    <mergeCell ref="B31:E31"/>
    <mergeCell ref="A23:E23"/>
    <mergeCell ref="A28:E28"/>
    <mergeCell ref="A29:E29"/>
    <mergeCell ref="B30:E30"/>
    <mergeCell ref="B22:E22"/>
    <mergeCell ref="A1:E1"/>
    <mergeCell ref="A2:E2"/>
    <mergeCell ref="B11:E11"/>
    <mergeCell ref="B12:E12"/>
    <mergeCell ref="B13:E13"/>
    <mergeCell ref="B6:E6"/>
    <mergeCell ref="B7:E7"/>
    <mergeCell ref="B8:E8"/>
    <mergeCell ref="C9:E9"/>
    <mergeCell ref="C10:E1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19</vt:i4>
      </vt:variant>
    </vt:vector>
  </HeadingPairs>
  <TitlesOfParts>
    <vt:vector size="53" baseType="lpstr">
      <vt:lpstr>1. Presidenca</vt:lpstr>
      <vt:lpstr>2. Kuvendi</vt:lpstr>
      <vt:lpstr>18. SHISH</vt:lpstr>
      <vt:lpstr>20. Drejtoria e Arkivave</vt:lpstr>
      <vt:lpstr>22. Akademia e Shkencave</vt:lpstr>
      <vt:lpstr>24-KLSH</vt:lpstr>
      <vt:lpstr>29. ZABGJ</vt:lpstr>
      <vt:lpstr>30. Gjykata Kushtetuese</vt:lpstr>
      <vt:lpstr>50. Instat</vt:lpstr>
      <vt:lpstr>55. Magjistratura</vt:lpstr>
      <vt:lpstr>57. Qendra e Kinematografise</vt:lpstr>
      <vt:lpstr>63. Komisioneri Publik</vt:lpstr>
      <vt:lpstr>63. KLD</vt:lpstr>
      <vt:lpstr>63. KPK</vt:lpstr>
      <vt:lpstr>63. KPA</vt:lpstr>
      <vt:lpstr>66. Avokati i Popullit</vt:lpstr>
      <vt:lpstr>67. KMSHC</vt:lpstr>
      <vt:lpstr>76. ILDKPKI</vt:lpstr>
      <vt:lpstr>77. Autoriteti i Konkurrences</vt:lpstr>
      <vt:lpstr>87-DAP</vt:lpstr>
      <vt:lpstr>87. Komiteti i Kulteve</vt:lpstr>
      <vt:lpstr>87. Inspektoriati Qendror</vt:lpstr>
      <vt:lpstr>87. DSIK</vt:lpstr>
      <vt:lpstr>87. APP</vt:lpstr>
      <vt:lpstr>87. Agjencia e Auditimit</vt:lpstr>
      <vt:lpstr>87. ADISA</vt:lpstr>
      <vt:lpstr>87. ASIG</vt:lpstr>
      <vt:lpstr>87. AZHT</vt:lpstr>
      <vt:lpstr>87. AKCESK</vt:lpstr>
      <vt:lpstr>87. ASPA</vt:lpstr>
      <vt:lpstr>90. KPP</vt:lpstr>
      <vt:lpstr>91. Kom. Mbro. nga Diskriminimi</vt:lpstr>
      <vt:lpstr>92. ISKK</vt:lpstr>
      <vt:lpstr>95. AIDSSH</vt:lpstr>
      <vt:lpstr>'1. Presidenca'!Print_Area</vt:lpstr>
      <vt:lpstr>'2. Kuvendi'!Print_Area</vt:lpstr>
      <vt:lpstr>'20. Drejtoria e Arkivave'!Print_Area</vt:lpstr>
      <vt:lpstr>'29. ZABGJ'!Print_Area</vt:lpstr>
      <vt:lpstr>'30. Gjykata Kushtetuese'!Print_Area</vt:lpstr>
      <vt:lpstr>'55. Magjistratura'!Print_Area</vt:lpstr>
      <vt:lpstr>'57. Qendra e Kinematografise'!Print_Area</vt:lpstr>
      <vt:lpstr>'63. KLD'!Print_Area</vt:lpstr>
      <vt:lpstr>'63. KPA'!Print_Area</vt:lpstr>
      <vt:lpstr>'63. KPK'!Print_Area</vt:lpstr>
      <vt:lpstr>'67. KMSHC'!Print_Area</vt:lpstr>
      <vt:lpstr>'77. Autoriteti i Konkurrences'!Print_Area</vt:lpstr>
      <vt:lpstr>'87. Agjencia e Auditimit'!Print_Area</vt:lpstr>
      <vt:lpstr>'87. AKCESK'!Print_Area</vt:lpstr>
      <vt:lpstr>'87. DSIK'!Print_Area</vt:lpstr>
      <vt:lpstr>'87. Komiteti i Kulteve'!Print_Area</vt:lpstr>
      <vt:lpstr>'87-DAP'!Print_Area</vt:lpstr>
      <vt:lpstr>'90. KPP'!Print_Area</vt:lpstr>
      <vt:lpstr>'95. AIDSSH'!Print_Area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Emanuela Xhelita</dc:creator>
  <cp:lastModifiedBy>Valion Cenalia</cp:lastModifiedBy>
  <dcterms:created xsi:type="dcterms:W3CDTF">2018-06-18T11:23:34Z</dcterms:created>
  <dcterms:modified xsi:type="dcterms:W3CDTF">2018-10-18T13:51:36Z</dcterms:modified>
</cp:coreProperties>
</file>