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45" windowWidth="22995" windowHeight="9735" tabRatio="637" activeTab="1"/>
  </bookViews>
  <sheets>
    <sheet name="Formati 1 Misioni" sheetId="1" r:id="rId1"/>
    <sheet name="01110-PMA" sheetId="23" r:id="rId2"/>
    <sheet name="01120-MSHP" sheetId="14" r:id="rId3"/>
    <sheet name="01140-DPT" sheetId="22" r:id="rId4"/>
    <sheet name="01150-DPD" sheetId="17" r:id="rId5"/>
    <sheet name="01160-DPPP" sheetId="18" r:id="rId6"/>
    <sheet name="04130-Zhvillimi Ekonomik" sheetId="20" r:id="rId7"/>
    <sheet name="04160-Mbikqyrja e Tregut" sheetId="19" r:id="rId8"/>
    <sheet name="10220-ISSH" sheetId="16" r:id="rId9"/>
    <sheet name="10550-Tregu i Punes" sheetId="15" r:id="rId10"/>
    <sheet name="04170-Inspektimi ne Pune" sheetId="21" r:id="rId11"/>
    <sheet name="09240-Arsimi Profesional" sheetId="12" r:id="rId12"/>
    <sheet name="06190-Strehimi" sheetId="24" r:id="rId13"/>
  </sheets>
  <externalReferences>
    <externalReference r:id="rId14"/>
    <externalReference r:id="rId15"/>
  </externalReferences>
  <definedNames>
    <definedName name="_xlnm.Print_Area" localSheetId="1">'01110-PMA'!$A$1:$E$222</definedName>
    <definedName name="_xlnm.Print_Area" localSheetId="4">'01150-DPD'!$A$1:$E$373</definedName>
    <definedName name="_xlnm.Print_Area" localSheetId="6">'04130-Zhvillimi Ekonomik'!$A$1:$E$723</definedName>
    <definedName name="_xlnm.Print_Area" localSheetId="8">'10220-ISSH'!$A$1:$E$618</definedName>
    <definedName name="_xlnm.Print_Area" localSheetId="9">'10550-Tregu i Punes'!$A$1:$E$189</definedName>
    <definedName name="_xlnm.Print_Area" localSheetId="0">'Formati 1 Misioni'!$A$1:$G$19</definedName>
  </definedNames>
  <calcPr calcId="144525"/>
</workbook>
</file>

<file path=xl/calcChain.xml><?xml version="1.0" encoding="utf-8"?>
<calcChain xmlns="http://schemas.openxmlformats.org/spreadsheetml/2006/main">
  <c r="E160" i="24" l="1"/>
  <c r="E161" i="24" s="1"/>
  <c r="D160" i="24"/>
  <c r="D161" i="24" s="1"/>
  <c r="C160" i="24"/>
  <c r="C161" i="24" s="1"/>
  <c r="B160" i="24"/>
  <c r="E141" i="24"/>
  <c r="D141" i="24"/>
  <c r="C141" i="24"/>
  <c r="B141" i="24"/>
  <c r="E134" i="24"/>
  <c r="E135" i="24" s="1"/>
  <c r="D134" i="24"/>
  <c r="D135" i="24" s="1"/>
  <c r="C134" i="24"/>
  <c r="C135" i="24" s="1"/>
  <c r="B134" i="24"/>
  <c r="B135" i="24" s="1"/>
  <c r="E126" i="24"/>
  <c r="D126" i="24"/>
  <c r="C126" i="24"/>
  <c r="E125" i="24"/>
  <c r="D125" i="24"/>
  <c r="C125" i="24"/>
  <c r="E124" i="24"/>
  <c r="E127" i="24" s="1"/>
  <c r="D124" i="24"/>
  <c r="D127" i="24" s="1"/>
  <c r="C124" i="24"/>
  <c r="C127" i="24" s="1"/>
  <c r="B124" i="24"/>
  <c r="E114" i="24"/>
  <c r="E115" i="24" s="1"/>
  <c r="D114" i="24"/>
  <c r="D115" i="24" s="1"/>
  <c r="C114" i="24"/>
  <c r="C115" i="24" s="1"/>
  <c r="B114" i="24"/>
  <c r="B115" i="24" s="1"/>
  <c r="E108" i="24"/>
  <c r="D108" i="24"/>
  <c r="C108" i="24"/>
  <c r="E107" i="24"/>
  <c r="D107" i="24"/>
  <c r="C107" i="24"/>
  <c r="E106" i="24"/>
  <c r="E109" i="24" s="1"/>
  <c r="D106" i="24"/>
  <c r="D109" i="24" s="1"/>
  <c r="C106" i="24"/>
  <c r="C109" i="24" s="1"/>
  <c r="B106" i="24"/>
  <c r="E92" i="24"/>
  <c r="E93" i="24" s="1"/>
  <c r="E94" i="24" s="1"/>
  <c r="D92" i="24"/>
  <c r="D93" i="24" s="1"/>
  <c r="D94" i="24" s="1"/>
  <c r="C92" i="24"/>
  <c r="C93" i="24" s="1"/>
  <c r="C94" i="24" s="1"/>
  <c r="B92" i="24"/>
  <c r="B93" i="24" s="1"/>
  <c r="B94" i="24" s="1"/>
  <c r="E80" i="24"/>
  <c r="D80" i="24"/>
  <c r="C80" i="24"/>
  <c r="E79" i="24"/>
  <c r="D79" i="24"/>
  <c r="C79" i="24"/>
  <c r="E78" i="24"/>
  <c r="E81" i="24" s="1"/>
  <c r="D78" i="24"/>
  <c r="D81" i="24" s="1"/>
  <c r="C78" i="24"/>
  <c r="C81" i="24" s="1"/>
  <c r="B78" i="24"/>
  <c r="E68" i="24"/>
  <c r="E156" i="24" s="1"/>
  <c r="D68" i="24"/>
  <c r="D156" i="24" s="1"/>
  <c r="C68" i="24"/>
  <c r="C156" i="24" s="1"/>
  <c r="B68" i="24"/>
  <c r="B156" i="24" s="1"/>
  <c r="B142" i="24" s="1"/>
  <c r="B162" i="24" s="1"/>
  <c r="E57" i="24"/>
  <c r="D57" i="24"/>
  <c r="C57" i="24"/>
  <c r="E56" i="24"/>
  <c r="D56" i="24"/>
  <c r="C56" i="24"/>
  <c r="E55" i="24"/>
  <c r="E58" i="24" s="1"/>
  <c r="D55" i="24"/>
  <c r="D58" i="24" s="1"/>
  <c r="C55" i="24"/>
  <c r="C58" i="24" s="1"/>
  <c r="B55" i="24"/>
  <c r="E45" i="24"/>
  <c r="E46" i="24" s="1"/>
  <c r="E47" i="24" s="1"/>
  <c r="D45" i="24"/>
  <c r="D46" i="24" s="1"/>
  <c r="D47" i="24" s="1"/>
  <c r="C45" i="24"/>
  <c r="C46" i="24" s="1"/>
  <c r="C47" i="24" s="1"/>
  <c r="B45" i="24"/>
  <c r="B46" i="24" s="1"/>
  <c r="B47" i="24" s="1"/>
  <c r="E34" i="24"/>
  <c r="D34" i="24"/>
  <c r="C34" i="24"/>
  <c r="E33" i="24"/>
  <c r="D33" i="24"/>
  <c r="C33" i="24"/>
  <c r="E32" i="24"/>
  <c r="E35" i="24" s="1"/>
  <c r="D32" i="24"/>
  <c r="D35" i="24" s="1"/>
  <c r="C32" i="24"/>
  <c r="C35" i="24" s="1"/>
  <c r="B32" i="24"/>
  <c r="D157" i="24" l="1"/>
  <c r="D142" i="24"/>
  <c r="C157" i="24"/>
  <c r="C142" i="24"/>
  <c r="E157" i="24"/>
  <c r="E142" i="24"/>
  <c r="B69" i="24"/>
  <c r="B70" i="24" s="1"/>
  <c r="D69" i="24"/>
  <c r="D70" i="24" s="1"/>
  <c r="C69" i="24"/>
  <c r="C70" i="24" s="1"/>
  <c r="E69" i="24"/>
  <c r="E70" i="24" s="1"/>
  <c r="E124" i="23"/>
  <c r="D124" i="23"/>
  <c r="E142" i="23"/>
  <c r="E218" i="23" s="1"/>
  <c r="D142" i="23"/>
  <c r="C218" i="23"/>
  <c r="D218" i="23"/>
  <c r="B218" i="23"/>
  <c r="C216" i="23"/>
  <c r="D216" i="23"/>
  <c r="E216" i="23"/>
  <c r="B216" i="23"/>
  <c r="C214" i="23"/>
  <c r="D214" i="23"/>
  <c r="E214" i="23"/>
  <c r="B214" i="23"/>
  <c r="C212" i="23"/>
  <c r="D212" i="23"/>
  <c r="E212" i="23"/>
  <c r="B212" i="23"/>
  <c r="C210" i="23"/>
  <c r="D210" i="23"/>
  <c r="E210" i="23"/>
  <c r="B210" i="23"/>
  <c r="C208" i="23"/>
  <c r="D208" i="23"/>
  <c r="E208" i="23"/>
  <c r="B208" i="23"/>
  <c r="B206" i="23"/>
  <c r="C204" i="23"/>
  <c r="D204" i="23"/>
  <c r="E204" i="23"/>
  <c r="B204" i="23"/>
  <c r="C202" i="23"/>
  <c r="D202" i="23"/>
  <c r="E202" i="23"/>
  <c r="D199" i="23"/>
  <c r="E199" i="23"/>
  <c r="B199" i="23"/>
  <c r="B202" i="23"/>
  <c r="C133" i="23"/>
  <c r="C115" i="23"/>
  <c r="C199" i="23" s="1"/>
  <c r="E162" i="24" l="1"/>
  <c r="E143" i="24"/>
  <c r="C162" i="24"/>
  <c r="C143" i="24"/>
  <c r="D162" i="24"/>
  <c r="D143" i="24"/>
  <c r="B200" i="23"/>
  <c r="E197" i="23"/>
  <c r="D197" i="23"/>
  <c r="C197" i="23"/>
  <c r="B197" i="23"/>
  <c r="E190" i="23"/>
  <c r="D190" i="23"/>
  <c r="C190" i="23"/>
  <c r="E189" i="23"/>
  <c r="D189" i="23"/>
  <c r="C189" i="23"/>
  <c r="E188" i="23"/>
  <c r="D188" i="23"/>
  <c r="C188" i="23"/>
  <c r="B188" i="23"/>
  <c r="E179" i="23"/>
  <c r="D179" i="23"/>
  <c r="C179" i="23"/>
  <c r="B179" i="23"/>
  <c r="E172" i="23"/>
  <c r="D172" i="23"/>
  <c r="C172" i="23"/>
  <c r="E171" i="23"/>
  <c r="D171" i="23"/>
  <c r="C171" i="23"/>
  <c r="E170" i="23"/>
  <c r="D170" i="23"/>
  <c r="C170" i="23"/>
  <c r="B170" i="23"/>
  <c r="E161" i="23"/>
  <c r="D161" i="23"/>
  <c r="C161" i="23"/>
  <c r="B161" i="23"/>
  <c r="E154" i="23"/>
  <c r="D154" i="23"/>
  <c r="C154" i="23"/>
  <c r="E153" i="23"/>
  <c r="D153" i="23"/>
  <c r="C153" i="23"/>
  <c r="E152" i="23"/>
  <c r="D152" i="23"/>
  <c r="C152" i="23"/>
  <c r="B152" i="23"/>
  <c r="E143" i="23"/>
  <c r="D143" i="23"/>
  <c r="C143" i="23"/>
  <c r="B143" i="23"/>
  <c r="E136" i="23"/>
  <c r="D136" i="23"/>
  <c r="C136" i="23"/>
  <c r="E135" i="23"/>
  <c r="D135" i="23"/>
  <c r="C135" i="23"/>
  <c r="E134" i="23"/>
  <c r="D134" i="23"/>
  <c r="C134" i="23"/>
  <c r="B134" i="23"/>
  <c r="C155" i="23" l="1"/>
  <c r="E155" i="23"/>
  <c r="C191" i="23"/>
  <c r="E191" i="23"/>
  <c r="C173" i="23"/>
  <c r="D191" i="23"/>
  <c r="D173" i="23"/>
  <c r="E173" i="23"/>
  <c r="D155" i="23"/>
  <c r="C137" i="23"/>
  <c r="D137" i="23"/>
  <c r="E137" i="23"/>
  <c r="D35" i="23"/>
  <c r="D206" i="23" s="1"/>
  <c r="E35" i="23"/>
  <c r="E206" i="23" s="1"/>
  <c r="C35" i="23"/>
  <c r="C206" i="23" s="1"/>
  <c r="H18" i="23" l="1"/>
  <c r="I18" i="23"/>
  <c r="B26" i="23" l="1"/>
  <c r="C26" i="23"/>
  <c r="D26" i="23"/>
  <c r="E26" i="23"/>
  <c r="C27" i="23"/>
  <c r="D27" i="23"/>
  <c r="E27" i="23"/>
  <c r="C28" i="23"/>
  <c r="D28" i="23"/>
  <c r="E28" i="23"/>
  <c r="B40" i="23"/>
  <c r="C40" i="23"/>
  <c r="D40" i="23"/>
  <c r="E40" i="23"/>
  <c r="B41" i="23"/>
  <c r="C41" i="23"/>
  <c r="D41" i="23"/>
  <c r="E41" i="23"/>
  <c r="B49" i="23"/>
  <c r="C49" i="23"/>
  <c r="D49" i="23"/>
  <c r="E49" i="23"/>
  <c r="C50" i="23"/>
  <c r="D50" i="23"/>
  <c r="E50" i="23"/>
  <c r="C51" i="23"/>
  <c r="D51" i="23"/>
  <c r="E51" i="23"/>
  <c r="B63" i="23"/>
  <c r="C63" i="23"/>
  <c r="D63" i="23"/>
  <c r="E63" i="23"/>
  <c r="B72" i="23"/>
  <c r="C72" i="23"/>
  <c r="D72" i="23"/>
  <c r="E72" i="23"/>
  <c r="C73" i="23"/>
  <c r="D73" i="23"/>
  <c r="E73" i="23"/>
  <c r="C74" i="23"/>
  <c r="D74" i="23"/>
  <c r="E74" i="23"/>
  <c r="B86" i="23"/>
  <c r="C86" i="23"/>
  <c r="D86" i="23"/>
  <c r="E86" i="23"/>
  <c r="B87" i="23"/>
  <c r="C87" i="23"/>
  <c r="D87" i="23"/>
  <c r="E87" i="23"/>
  <c r="B98" i="23"/>
  <c r="C98" i="23"/>
  <c r="D98" i="23"/>
  <c r="E98" i="23"/>
  <c r="C99" i="23"/>
  <c r="D99" i="23"/>
  <c r="E99" i="23"/>
  <c r="C100" i="23"/>
  <c r="D100" i="23"/>
  <c r="E100" i="23"/>
  <c r="B107" i="23"/>
  <c r="C107" i="23"/>
  <c r="D107" i="23"/>
  <c r="E107" i="23"/>
  <c r="B116" i="23"/>
  <c r="C116" i="23"/>
  <c r="D116" i="23"/>
  <c r="E116" i="23"/>
  <c r="C117" i="23"/>
  <c r="D117" i="23"/>
  <c r="E117" i="23"/>
  <c r="C118" i="23"/>
  <c r="D118" i="23"/>
  <c r="E118" i="23"/>
  <c r="B125" i="23"/>
  <c r="C125" i="23"/>
  <c r="D125" i="23"/>
  <c r="E125" i="23"/>
  <c r="D217" i="23" l="1"/>
  <c r="D75" i="23"/>
  <c r="E219" i="23"/>
  <c r="C219" i="23"/>
  <c r="C119" i="23"/>
  <c r="E101" i="23"/>
  <c r="C101" i="23"/>
  <c r="C215" i="23"/>
  <c r="E213" i="23"/>
  <c r="C213" i="23"/>
  <c r="E211" i="23"/>
  <c r="C211" i="23"/>
  <c r="E203" i="23"/>
  <c r="D215" i="23"/>
  <c r="D209" i="23"/>
  <c r="D119" i="23"/>
  <c r="C52" i="23"/>
  <c r="C207" i="23"/>
  <c r="E205" i="23"/>
  <c r="D52" i="23"/>
  <c r="C203" i="23"/>
  <c r="C29" i="23"/>
  <c r="D207" i="23"/>
  <c r="C205" i="23"/>
  <c r="E29" i="23"/>
  <c r="D219" i="23"/>
  <c r="E217" i="23"/>
  <c r="C217" i="23"/>
  <c r="E215" i="23"/>
  <c r="D213" i="23"/>
  <c r="D211" i="23"/>
  <c r="E209" i="23"/>
  <c r="C209" i="23"/>
  <c r="E207" i="23"/>
  <c r="D205" i="23"/>
  <c r="D200" i="23"/>
  <c r="D220" i="23" s="1"/>
  <c r="B220" i="23"/>
  <c r="E119" i="23"/>
  <c r="D101" i="23"/>
  <c r="E75" i="23"/>
  <c r="C75" i="23"/>
  <c r="E52" i="23"/>
  <c r="D29" i="23"/>
  <c r="C200" i="23"/>
  <c r="E200" i="23"/>
  <c r="D203" i="23"/>
  <c r="C201" i="23" l="1"/>
  <c r="C220" i="23"/>
  <c r="E201" i="23"/>
  <c r="E220" i="23"/>
  <c r="D201" i="23"/>
  <c r="E372" i="22" l="1"/>
  <c r="D372" i="22"/>
  <c r="E373" i="22" s="1"/>
  <c r="C372" i="22"/>
  <c r="B372" i="22"/>
  <c r="C373" i="22" s="1"/>
  <c r="E370" i="22"/>
  <c r="E371" i="22" s="1"/>
  <c r="D370" i="22"/>
  <c r="C370" i="22"/>
  <c r="D371" i="22" s="1"/>
  <c r="B370" i="22"/>
  <c r="E368" i="22"/>
  <c r="D368" i="22"/>
  <c r="E369" i="22" s="1"/>
  <c r="C368" i="22"/>
  <c r="B368" i="22"/>
  <c r="C369" i="22" s="1"/>
  <c r="E366" i="22"/>
  <c r="E367" i="22" s="1"/>
  <c r="D366" i="22"/>
  <c r="C366" i="22"/>
  <c r="D367" i="22" s="1"/>
  <c r="B366" i="22"/>
  <c r="E364" i="22"/>
  <c r="D364" i="22"/>
  <c r="E365" i="22" s="1"/>
  <c r="C364" i="22"/>
  <c r="B364" i="22"/>
  <c r="C365" i="22" s="1"/>
  <c r="E362" i="22"/>
  <c r="E363" i="22" s="1"/>
  <c r="D362" i="22"/>
  <c r="C362" i="22"/>
  <c r="D363" i="22" s="1"/>
  <c r="B362" i="22"/>
  <c r="E360" i="22"/>
  <c r="D360" i="22"/>
  <c r="E361" i="22" s="1"/>
  <c r="C360" i="22"/>
  <c r="B360" i="22"/>
  <c r="C361" i="22" s="1"/>
  <c r="E358" i="22"/>
  <c r="E359" i="22" s="1"/>
  <c r="D358" i="22"/>
  <c r="C358" i="22"/>
  <c r="D359" i="22" s="1"/>
  <c r="B358" i="22"/>
  <c r="E356" i="22"/>
  <c r="D356" i="22"/>
  <c r="E357" i="22" s="1"/>
  <c r="C356" i="22"/>
  <c r="B356" i="22"/>
  <c r="C357" i="22" s="1"/>
  <c r="E354" i="22"/>
  <c r="E374" i="22" s="1"/>
  <c r="C354" i="22"/>
  <c r="C374" i="22" s="1"/>
  <c r="E353" i="22"/>
  <c r="D353" i="22"/>
  <c r="C353" i="22"/>
  <c r="B353" i="22"/>
  <c r="E347" i="22"/>
  <c r="E351" i="22" s="1"/>
  <c r="D347" i="22"/>
  <c r="D351" i="22" s="1"/>
  <c r="C347" i="22"/>
  <c r="C351" i="22" s="1"/>
  <c r="B347" i="22"/>
  <c r="B351" i="22" s="1"/>
  <c r="D333" i="22"/>
  <c r="C333" i="22"/>
  <c r="E332" i="22"/>
  <c r="D332" i="22"/>
  <c r="C332" i="22"/>
  <c r="E331" i="22"/>
  <c r="E334" i="22" s="1"/>
  <c r="D331" i="22"/>
  <c r="D334" i="22" s="1"/>
  <c r="C331" i="22"/>
  <c r="C334" i="22" s="1"/>
  <c r="B331" i="22"/>
  <c r="E322" i="22"/>
  <c r="E323" i="22" s="1"/>
  <c r="D322" i="22"/>
  <c r="D323" i="22" s="1"/>
  <c r="C322" i="22"/>
  <c r="C323" i="22" s="1"/>
  <c r="B322" i="22"/>
  <c r="B323" i="22" s="1"/>
  <c r="E310" i="22"/>
  <c r="D310" i="22"/>
  <c r="C310" i="22"/>
  <c r="E309" i="22"/>
  <c r="D309" i="22"/>
  <c r="C309" i="22"/>
  <c r="E308" i="22"/>
  <c r="D308" i="22"/>
  <c r="E311" i="22" s="1"/>
  <c r="C308" i="22"/>
  <c r="B308" i="22"/>
  <c r="C311" i="22" s="1"/>
  <c r="E293" i="22"/>
  <c r="D293" i="22"/>
  <c r="C293" i="22"/>
  <c r="B293" i="22"/>
  <c r="E287" i="22"/>
  <c r="D287" i="22"/>
  <c r="C287" i="22"/>
  <c r="E286" i="22"/>
  <c r="D286" i="22"/>
  <c r="C286" i="22"/>
  <c r="E285" i="22"/>
  <c r="D285" i="22"/>
  <c r="C285" i="22"/>
  <c r="E275" i="22"/>
  <c r="D275" i="22"/>
  <c r="C275" i="22"/>
  <c r="B275" i="22"/>
  <c r="E269" i="22"/>
  <c r="D269" i="22"/>
  <c r="C269" i="22"/>
  <c r="E268" i="22"/>
  <c r="D268" i="22"/>
  <c r="C268" i="22"/>
  <c r="E267" i="22"/>
  <c r="D267" i="22"/>
  <c r="C267" i="22"/>
  <c r="E258" i="22"/>
  <c r="D258" i="22"/>
  <c r="C258" i="22"/>
  <c r="B258" i="22"/>
  <c r="E251" i="22"/>
  <c r="D251" i="22"/>
  <c r="C251" i="22"/>
  <c r="E250" i="22"/>
  <c r="D250" i="22"/>
  <c r="C250" i="22"/>
  <c r="E249" i="22"/>
  <c r="E252" i="22" s="1"/>
  <c r="D249" i="22"/>
  <c r="C249" i="22"/>
  <c r="D252" i="22" s="1"/>
  <c r="B249" i="22"/>
  <c r="E239" i="22"/>
  <c r="D239" i="22"/>
  <c r="C239" i="22"/>
  <c r="B239" i="22"/>
  <c r="E232" i="22"/>
  <c r="D232" i="22"/>
  <c r="C232" i="22"/>
  <c r="E231" i="22"/>
  <c r="D231" i="22"/>
  <c r="C231" i="22"/>
  <c r="E230" i="22"/>
  <c r="D230" i="22"/>
  <c r="E233" i="22" s="1"/>
  <c r="C230" i="22"/>
  <c r="B230" i="22"/>
  <c r="C233" i="22" s="1"/>
  <c r="E220" i="22"/>
  <c r="D220" i="22"/>
  <c r="C220" i="22"/>
  <c r="B220" i="22"/>
  <c r="E213" i="22"/>
  <c r="D213" i="22"/>
  <c r="C213" i="22"/>
  <c r="E212" i="22"/>
  <c r="D212" i="22"/>
  <c r="C212" i="22"/>
  <c r="E211" i="22"/>
  <c r="E214" i="22" s="1"/>
  <c r="D211" i="22"/>
  <c r="C211" i="22"/>
  <c r="D214" i="22" s="1"/>
  <c r="B211" i="22"/>
  <c r="E199" i="22"/>
  <c r="E200" i="22" s="1"/>
  <c r="D199" i="22"/>
  <c r="D200" i="22" s="1"/>
  <c r="C199" i="22"/>
  <c r="C200" i="22" s="1"/>
  <c r="B199" i="22"/>
  <c r="B200" i="22" s="1"/>
  <c r="E185" i="22"/>
  <c r="D185" i="22"/>
  <c r="C185" i="22"/>
  <c r="E184" i="22"/>
  <c r="D184" i="22"/>
  <c r="C184" i="22"/>
  <c r="E183" i="22"/>
  <c r="D183" i="22"/>
  <c r="E186" i="22" s="1"/>
  <c r="C183" i="22"/>
  <c r="B183" i="22"/>
  <c r="C186" i="22" s="1"/>
  <c r="E166" i="22"/>
  <c r="D166" i="22"/>
  <c r="C166" i="22"/>
  <c r="B166" i="22"/>
  <c r="E159" i="22"/>
  <c r="D159" i="22"/>
  <c r="C159" i="22"/>
  <c r="E158" i="22"/>
  <c r="D158" i="22"/>
  <c r="C158" i="22"/>
  <c r="E157" i="22"/>
  <c r="E160" i="22" s="1"/>
  <c r="D157" i="22"/>
  <c r="C157" i="22"/>
  <c r="D160" i="22" s="1"/>
  <c r="B157" i="22"/>
  <c r="E148" i="22"/>
  <c r="D148" i="22"/>
  <c r="C148" i="22"/>
  <c r="B148" i="22"/>
  <c r="E141" i="22"/>
  <c r="D141" i="22"/>
  <c r="C141" i="22"/>
  <c r="E140" i="22"/>
  <c r="D140" i="22"/>
  <c r="C140" i="22"/>
  <c r="E139" i="22"/>
  <c r="D139" i="22"/>
  <c r="E142" i="22" s="1"/>
  <c r="C139" i="22"/>
  <c r="B139" i="22"/>
  <c r="C142" i="22" s="1"/>
  <c r="E130" i="22"/>
  <c r="D130" i="22"/>
  <c r="C130" i="22"/>
  <c r="B130" i="22"/>
  <c r="E123" i="22"/>
  <c r="D123" i="22"/>
  <c r="C123" i="22"/>
  <c r="E122" i="22"/>
  <c r="D122" i="22"/>
  <c r="C122" i="22"/>
  <c r="E121" i="22"/>
  <c r="E124" i="22" s="1"/>
  <c r="D121" i="22"/>
  <c r="C121" i="22"/>
  <c r="D124" i="22" s="1"/>
  <c r="B121" i="22"/>
  <c r="E112" i="22"/>
  <c r="D112" i="22"/>
  <c r="C112" i="22"/>
  <c r="B112" i="22"/>
  <c r="E105" i="22"/>
  <c r="D105" i="22"/>
  <c r="C105" i="22"/>
  <c r="E104" i="22"/>
  <c r="D104" i="22"/>
  <c r="C104" i="22"/>
  <c r="E103" i="22"/>
  <c r="D103" i="22"/>
  <c r="E106" i="22" s="1"/>
  <c r="C103" i="22"/>
  <c r="B103" i="22"/>
  <c r="C106" i="22" s="1"/>
  <c r="E91" i="22"/>
  <c r="D91" i="22"/>
  <c r="C91" i="22"/>
  <c r="B91" i="22"/>
  <c r="E85" i="22"/>
  <c r="D85" i="22"/>
  <c r="C85" i="22"/>
  <c r="E84" i="22"/>
  <c r="D84" i="22"/>
  <c r="C84" i="22"/>
  <c r="E83" i="22"/>
  <c r="D83" i="22"/>
  <c r="C83" i="22"/>
  <c r="E72" i="22"/>
  <c r="D72" i="22"/>
  <c r="C72" i="22"/>
  <c r="B72" i="22"/>
  <c r="E65" i="22"/>
  <c r="D65" i="22"/>
  <c r="C65" i="22"/>
  <c r="E64" i="22"/>
  <c r="D64" i="22"/>
  <c r="C64" i="22"/>
  <c r="E63" i="22"/>
  <c r="D63" i="22"/>
  <c r="D66" i="22" s="1"/>
  <c r="C63" i="22"/>
  <c r="B63" i="22"/>
  <c r="C66" i="22" s="1"/>
  <c r="E51" i="22"/>
  <c r="E52" i="22" s="1"/>
  <c r="D51" i="22"/>
  <c r="D52" i="22" s="1"/>
  <c r="C51" i="22"/>
  <c r="C52" i="22" s="1"/>
  <c r="B51" i="22"/>
  <c r="B52" i="22" s="1"/>
  <c r="E39" i="22"/>
  <c r="D39" i="22"/>
  <c r="C39" i="22"/>
  <c r="E38" i="22"/>
  <c r="D38" i="22"/>
  <c r="C38" i="22"/>
  <c r="E37" i="22"/>
  <c r="E40" i="22" s="1"/>
  <c r="D37" i="22"/>
  <c r="C37" i="22"/>
  <c r="C40" i="22" s="1"/>
  <c r="B37" i="22"/>
  <c r="D40" i="22" l="1"/>
  <c r="E66" i="22"/>
  <c r="D106" i="22"/>
  <c r="C124" i="22"/>
  <c r="D142" i="22"/>
  <c r="C160" i="22"/>
  <c r="D186" i="22"/>
  <c r="C214" i="22"/>
  <c r="D233" i="22"/>
  <c r="C252" i="22"/>
  <c r="D311" i="22"/>
  <c r="B354" i="22"/>
  <c r="B374" i="22" s="1"/>
  <c r="D354" i="22"/>
  <c r="E355" i="22" s="1"/>
  <c r="C355" i="22"/>
  <c r="D357" i="22"/>
  <c r="C359" i="22"/>
  <c r="D361" i="22"/>
  <c r="C363" i="22"/>
  <c r="D365" i="22"/>
  <c r="C367" i="22"/>
  <c r="D369" i="22"/>
  <c r="C371" i="22"/>
  <c r="D373" i="22"/>
  <c r="E49" i="21"/>
  <c r="D49" i="21"/>
  <c r="C49" i="21"/>
  <c r="B49" i="21"/>
  <c r="D355" i="22" l="1"/>
  <c r="D374" i="22"/>
  <c r="B38" i="20"/>
  <c r="C38" i="20"/>
  <c r="D38" i="20"/>
  <c r="D41" i="20" s="1"/>
  <c r="E38" i="20"/>
  <c r="C39" i="20"/>
  <c r="D39" i="20"/>
  <c r="E39" i="20"/>
  <c r="C40" i="20"/>
  <c r="D40" i="20"/>
  <c r="E40" i="20"/>
  <c r="C41" i="20"/>
  <c r="E41" i="20"/>
  <c r="B66" i="20"/>
  <c r="C66" i="20"/>
  <c r="D66" i="20"/>
  <c r="E66" i="20"/>
  <c r="B70" i="20"/>
  <c r="C70" i="20"/>
  <c r="D70" i="20"/>
  <c r="E70" i="20"/>
  <c r="B89" i="20"/>
  <c r="C89" i="20"/>
  <c r="C92" i="20" s="1"/>
  <c r="D89" i="20"/>
  <c r="E89" i="20"/>
  <c r="E92" i="20" s="1"/>
  <c r="C90" i="20"/>
  <c r="D90" i="20"/>
  <c r="E90" i="20"/>
  <c r="C91" i="20"/>
  <c r="D91" i="20"/>
  <c r="E91" i="20"/>
  <c r="D92" i="20"/>
  <c r="B119" i="20"/>
  <c r="C119" i="20"/>
  <c r="D119" i="20"/>
  <c r="E119" i="20"/>
  <c r="B123" i="20"/>
  <c r="C123" i="20"/>
  <c r="D123" i="20"/>
  <c r="E123" i="20"/>
  <c r="B134" i="20"/>
  <c r="C134" i="20"/>
  <c r="D134" i="20"/>
  <c r="D137" i="20" s="1"/>
  <c r="E134" i="20"/>
  <c r="C135" i="20"/>
  <c r="D135" i="20"/>
  <c r="E135" i="20"/>
  <c r="C136" i="20"/>
  <c r="D136" i="20"/>
  <c r="E136" i="20"/>
  <c r="C137" i="20"/>
  <c r="E137" i="20"/>
  <c r="B142" i="20"/>
  <c r="C142" i="20"/>
  <c r="D142" i="20"/>
  <c r="E142" i="20"/>
  <c r="B154" i="20"/>
  <c r="C154" i="20"/>
  <c r="C157" i="20" s="1"/>
  <c r="D154" i="20"/>
  <c r="E154" i="20"/>
  <c r="E157" i="20" s="1"/>
  <c r="C155" i="20"/>
  <c r="D155" i="20"/>
  <c r="E155" i="20"/>
  <c r="C156" i="20"/>
  <c r="D156" i="20"/>
  <c r="E156" i="20"/>
  <c r="D157" i="20"/>
  <c r="B163" i="20"/>
  <c r="C163" i="20"/>
  <c r="D163" i="20"/>
  <c r="E163" i="20"/>
  <c r="B177" i="20"/>
  <c r="C177" i="20"/>
  <c r="D177" i="20"/>
  <c r="D180" i="20" s="1"/>
  <c r="E177" i="20"/>
  <c r="C178" i="20"/>
  <c r="D178" i="20"/>
  <c r="E178" i="20"/>
  <c r="C179" i="20"/>
  <c r="D179" i="20"/>
  <c r="E179" i="20"/>
  <c r="C180" i="20"/>
  <c r="E180" i="20"/>
  <c r="B185" i="20"/>
  <c r="C185" i="20"/>
  <c r="D185" i="20"/>
  <c r="E185" i="20"/>
  <c r="B197" i="20"/>
  <c r="C197" i="20"/>
  <c r="C200" i="20" s="1"/>
  <c r="D197" i="20"/>
  <c r="E197" i="20"/>
  <c r="E200" i="20" s="1"/>
  <c r="C198" i="20"/>
  <c r="D198" i="20"/>
  <c r="E198" i="20"/>
  <c r="C199" i="20"/>
  <c r="D199" i="20"/>
  <c r="E199" i="20"/>
  <c r="D200" i="20"/>
  <c r="B205" i="20"/>
  <c r="C205" i="20"/>
  <c r="D205" i="20"/>
  <c r="E205" i="20"/>
  <c r="B230" i="20"/>
  <c r="C230" i="20"/>
  <c r="D230" i="20"/>
  <c r="D233" i="20" s="1"/>
  <c r="E230" i="20"/>
  <c r="C231" i="20"/>
  <c r="D231" i="20"/>
  <c r="E231" i="20"/>
  <c r="C232" i="20"/>
  <c r="D232" i="20"/>
  <c r="E232" i="20"/>
  <c r="C233" i="20"/>
  <c r="E233" i="20"/>
  <c r="B244" i="20"/>
  <c r="C244" i="20"/>
  <c r="D244" i="20"/>
  <c r="E244" i="20"/>
  <c r="B245" i="20"/>
  <c r="C245" i="20"/>
  <c r="D245" i="20"/>
  <c r="E245" i="20"/>
  <c r="B253" i="20"/>
  <c r="C253" i="20"/>
  <c r="C256" i="20" s="1"/>
  <c r="D253" i="20"/>
  <c r="E253" i="20"/>
  <c r="E256" i="20" s="1"/>
  <c r="C254" i="20"/>
  <c r="D254" i="20"/>
  <c r="E254" i="20"/>
  <c r="C255" i="20"/>
  <c r="D255" i="20"/>
  <c r="E255" i="20"/>
  <c r="D256" i="20"/>
  <c r="B267" i="20"/>
  <c r="C267" i="20"/>
  <c r="D267" i="20"/>
  <c r="E267" i="20"/>
  <c r="B268" i="20"/>
  <c r="C268" i="20"/>
  <c r="D268" i="20"/>
  <c r="E268" i="20"/>
  <c r="B276" i="20"/>
  <c r="C276" i="20"/>
  <c r="D276" i="20"/>
  <c r="D279" i="20" s="1"/>
  <c r="E276" i="20"/>
  <c r="C277" i="20"/>
  <c r="D277" i="20"/>
  <c r="E277" i="20"/>
  <c r="C278" i="20"/>
  <c r="D278" i="20"/>
  <c r="E278" i="20"/>
  <c r="C279" i="20"/>
  <c r="E279" i="20"/>
  <c r="B290" i="20"/>
  <c r="C290" i="20"/>
  <c r="D290" i="20"/>
  <c r="E290" i="20"/>
  <c r="B291" i="20"/>
  <c r="C291" i="20"/>
  <c r="D291" i="20"/>
  <c r="E291" i="20"/>
  <c r="B299" i="20"/>
  <c r="C299" i="20"/>
  <c r="C302" i="20" s="1"/>
  <c r="D299" i="20"/>
  <c r="E299" i="20"/>
  <c r="E302" i="20" s="1"/>
  <c r="C300" i="20"/>
  <c r="D300" i="20"/>
  <c r="E300" i="20"/>
  <c r="C301" i="20"/>
  <c r="D301" i="20"/>
  <c r="E301" i="20"/>
  <c r="D302" i="20"/>
  <c r="B313" i="20"/>
  <c r="C313" i="20"/>
  <c r="D313" i="20"/>
  <c r="E313" i="20"/>
  <c r="B314" i="20"/>
  <c r="C314" i="20"/>
  <c r="D314" i="20"/>
  <c r="E314" i="20"/>
  <c r="B325" i="20"/>
  <c r="C325" i="20"/>
  <c r="D325" i="20"/>
  <c r="D328" i="20" s="1"/>
  <c r="E325" i="20"/>
  <c r="C326" i="20"/>
  <c r="D326" i="20"/>
  <c r="E326" i="20"/>
  <c r="C327" i="20"/>
  <c r="D327" i="20"/>
  <c r="E327" i="20"/>
  <c r="C328" i="20"/>
  <c r="E328" i="20"/>
  <c r="B334" i="20"/>
  <c r="C334" i="20"/>
  <c r="D334" i="20"/>
  <c r="E334" i="20"/>
  <c r="B346" i="20"/>
  <c r="C346" i="20"/>
  <c r="C349" i="20" s="1"/>
  <c r="D346" i="20"/>
  <c r="E346" i="20"/>
  <c r="E349" i="20" s="1"/>
  <c r="C347" i="20"/>
  <c r="D347" i="20"/>
  <c r="E347" i="20"/>
  <c r="C348" i="20"/>
  <c r="D348" i="20"/>
  <c r="E348" i="20"/>
  <c r="D349" i="20"/>
  <c r="B355" i="20"/>
  <c r="C355" i="20"/>
  <c r="D355" i="20"/>
  <c r="E355" i="20"/>
  <c r="B366" i="20"/>
  <c r="C366" i="20"/>
  <c r="D366" i="20"/>
  <c r="D369" i="20" s="1"/>
  <c r="E366" i="20"/>
  <c r="C367" i="20"/>
  <c r="D367" i="20"/>
  <c r="E367" i="20"/>
  <c r="C368" i="20"/>
  <c r="D368" i="20"/>
  <c r="E368" i="20"/>
  <c r="C369" i="20"/>
  <c r="E369" i="20"/>
  <c r="B375" i="20"/>
  <c r="C375" i="20"/>
  <c r="D375" i="20"/>
  <c r="E375" i="20"/>
  <c r="B384" i="20"/>
  <c r="C384" i="20"/>
  <c r="C387" i="20" s="1"/>
  <c r="D384" i="20"/>
  <c r="E384" i="20"/>
  <c r="E387" i="20" s="1"/>
  <c r="C385" i="20"/>
  <c r="D385" i="20"/>
  <c r="E385" i="20"/>
  <c r="C386" i="20"/>
  <c r="D386" i="20"/>
  <c r="E386" i="20"/>
  <c r="D387" i="20"/>
  <c r="B393" i="20"/>
  <c r="C393" i="20"/>
  <c r="D393" i="20"/>
  <c r="E393" i="20"/>
  <c r="B410" i="20"/>
  <c r="C410" i="20"/>
  <c r="D410" i="20"/>
  <c r="D413" i="20" s="1"/>
  <c r="E410" i="20"/>
  <c r="C413" i="20"/>
  <c r="E413" i="20"/>
  <c r="B426" i="20"/>
  <c r="C426" i="20"/>
  <c r="D426" i="20"/>
  <c r="E426" i="20"/>
  <c r="B427" i="20"/>
  <c r="C427" i="20"/>
  <c r="D427" i="20"/>
  <c r="E427" i="20"/>
  <c r="C432" i="20"/>
  <c r="D432" i="20"/>
  <c r="E432" i="20" s="1"/>
  <c r="C448" i="20"/>
  <c r="D448" i="20"/>
  <c r="E448" i="20"/>
  <c r="B454" i="20"/>
  <c r="B455" i="20"/>
  <c r="B456" i="20"/>
  <c r="D456" i="20"/>
  <c r="B457" i="20"/>
  <c r="C457" i="20"/>
  <c r="C446" i="20" s="1"/>
  <c r="D457" i="20"/>
  <c r="D461" i="20" s="1"/>
  <c r="E457" i="20"/>
  <c r="B458" i="20"/>
  <c r="C458" i="20"/>
  <c r="D458" i="20"/>
  <c r="E458" i="20" s="1"/>
  <c r="B459" i="20"/>
  <c r="B460" i="20"/>
  <c r="B461" i="20" s="1"/>
  <c r="B469" i="20"/>
  <c r="B470" i="20" s="1"/>
  <c r="C470" i="20"/>
  <c r="D470" i="20"/>
  <c r="E470" i="20"/>
  <c r="E473" i="20" s="1"/>
  <c r="C471" i="20"/>
  <c r="D471" i="20"/>
  <c r="E471" i="20"/>
  <c r="D472" i="20"/>
  <c r="E472" i="20"/>
  <c r="D473" i="20"/>
  <c r="B477" i="20"/>
  <c r="B478" i="20"/>
  <c r="B479" i="20"/>
  <c r="B480" i="20"/>
  <c r="C480" i="20"/>
  <c r="D480" i="20"/>
  <c r="E480" i="20"/>
  <c r="B481" i="20"/>
  <c r="C481" i="20"/>
  <c r="C710" i="20" s="1"/>
  <c r="D481" i="20"/>
  <c r="E481" i="20"/>
  <c r="B482" i="20"/>
  <c r="C482" i="20"/>
  <c r="C484" i="20" s="1"/>
  <c r="C485" i="20" s="1"/>
  <c r="D482" i="20"/>
  <c r="D484" i="20" s="1"/>
  <c r="D485" i="20" s="1"/>
  <c r="E482" i="20"/>
  <c r="E484" i="20" s="1"/>
  <c r="E485" i="20" s="1"/>
  <c r="B483" i="20"/>
  <c r="B484" i="20" s="1"/>
  <c r="B485" i="20" s="1"/>
  <c r="B496" i="20"/>
  <c r="C496" i="20"/>
  <c r="D496" i="20"/>
  <c r="D499" i="20" s="1"/>
  <c r="E496" i="20"/>
  <c r="C497" i="20"/>
  <c r="D497" i="20"/>
  <c r="E497" i="20"/>
  <c r="C498" i="20"/>
  <c r="D498" i="20"/>
  <c r="E498" i="20"/>
  <c r="C499" i="20"/>
  <c r="E499" i="20"/>
  <c r="B504" i="20"/>
  <c r="B505" i="20"/>
  <c r="C505" i="20"/>
  <c r="D505" i="20"/>
  <c r="E505" i="20"/>
  <c r="B517" i="20"/>
  <c r="C517" i="20"/>
  <c r="D517" i="20"/>
  <c r="D520" i="20" s="1"/>
  <c r="E517" i="20"/>
  <c r="C518" i="20"/>
  <c r="D518" i="20"/>
  <c r="E518" i="20"/>
  <c r="C519" i="20"/>
  <c r="D519" i="20"/>
  <c r="E519" i="20"/>
  <c r="C520" i="20"/>
  <c r="E520" i="20"/>
  <c r="B526" i="20"/>
  <c r="C526" i="20"/>
  <c r="D526" i="20"/>
  <c r="E526" i="20"/>
  <c r="B537" i="20"/>
  <c r="C537" i="20"/>
  <c r="C540" i="20" s="1"/>
  <c r="D537" i="20"/>
  <c r="E537" i="20"/>
  <c r="E540" i="20" s="1"/>
  <c r="C538" i="20"/>
  <c r="D538" i="20"/>
  <c r="E538" i="20"/>
  <c r="C539" i="20"/>
  <c r="D539" i="20"/>
  <c r="E539" i="20"/>
  <c r="D540" i="20"/>
  <c r="B544" i="20"/>
  <c r="B546" i="20" s="1"/>
  <c r="C546" i="20"/>
  <c r="D546" i="20"/>
  <c r="E546" i="20"/>
  <c r="B555" i="20"/>
  <c r="C555" i="20"/>
  <c r="C558" i="20" s="1"/>
  <c r="D555" i="20"/>
  <c r="E555" i="20"/>
  <c r="E558" i="20" s="1"/>
  <c r="C556" i="20"/>
  <c r="D556" i="20"/>
  <c r="E556" i="20"/>
  <c r="C557" i="20"/>
  <c r="D557" i="20"/>
  <c r="E557" i="20"/>
  <c r="D558" i="20"/>
  <c r="B564" i="20"/>
  <c r="C564" i="20"/>
  <c r="D564" i="20"/>
  <c r="E564" i="20"/>
  <c r="B581" i="20"/>
  <c r="C581" i="20"/>
  <c r="D581" i="20"/>
  <c r="D584" i="20" s="1"/>
  <c r="E581" i="20"/>
  <c r="C582" i="20"/>
  <c r="D582" i="20"/>
  <c r="E582" i="20"/>
  <c r="C583" i="20"/>
  <c r="D583" i="20"/>
  <c r="E583" i="20"/>
  <c r="C584" i="20"/>
  <c r="E584" i="20"/>
  <c r="B597" i="20"/>
  <c r="C597" i="20"/>
  <c r="D597" i="20"/>
  <c r="E597" i="20"/>
  <c r="B598" i="20"/>
  <c r="C598" i="20"/>
  <c r="D598" i="20"/>
  <c r="E598" i="20"/>
  <c r="B606" i="20"/>
  <c r="C606" i="20"/>
  <c r="C609" i="20" s="1"/>
  <c r="D606" i="20"/>
  <c r="E606" i="20"/>
  <c r="E609" i="20" s="1"/>
  <c r="C607" i="20"/>
  <c r="D607" i="20"/>
  <c r="E607" i="20"/>
  <c r="C608" i="20"/>
  <c r="D608" i="20"/>
  <c r="E608" i="20"/>
  <c r="D609" i="20"/>
  <c r="B620" i="20"/>
  <c r="C620" i="20"/>
  <c r="D620" i="20"/>
  <c r="E620" i="20"/>
  <c r="B621" i="20"/>
  <c r="C621" i="20"/>
  <c r="D621" i="20"/>
  <c r="E621" i="20"/>
  <c r="B632" i="20"/>
  <c r="C632" i="20"/>
  <c r="D632" i="20"/>
  <c r="D635" i="20" s="1"/>
  <c r="E632" i="20"/>
  <c r="C633" i="20"/>
  <c r="D633" i="20"/>
  <c r="E633" i="20"/>
  <c r="C634" i="20"/>
  <c r="D634" i="20"/>
  <c r="E634" i="20"/>
  <c r="C635" i="20"/>
  <c r="E635" i="20"/>
  <c r="B641" i="20"/>
  <c r="C641" i="20"/>
  <c r="D641" i="20"/>
  <c r="E641" i="20"/>
  <c r="B650" i="20"/>
  <c r="C650" i="20"/>
  <c r="C653" i="20" s="1"/>
  <c r="D650" i="20"/>
  <c r="E650" i="20"/>
  <c r="E653" i="20" s="1"/>
  <c r="C651" i="20"/>
  <c r="D651" i="20"/>
  <c r="E651" i="20"/>
  <c r="C652" i="20"/>
  <c r="D652" i="20"/>
  <c r="E652" i="20"/>
  <c r="D653" i="20"/>
  <c r="B659" i="20"/>
  <c r="C659" i="20"/>
  <c r="D659" i="20"/>
  <c r="E659" i="20"/>
  <c r="B670" i="20"/>
  <c r="C670" i="20"/>
  <c r="D670" i="20"/>
  <c r="D673" i="20" s="1"/>
  <c r="E670" i="20"/>
  <c r="C671" i="20"/>
  <c r="D671" i="20"/>
  <c r="E671" i="20"/>
  <c r="C672" i="20"/>
  <c r="D672" i="20"/>
  <c r="E672" i="20"/>
  <c r="C673" i="20"/>
  <c r="E673" i="20"/>
  <c r="B679" i="20"/>
  <c r="C679" i="20"/>
  <c r="D679" i="20"/>
  <c r="E679" i="20"/>
  <c r="B688" i="20"/>
  <c r="C688" i="20"/>
  <c r="C691" i="20" s="1"/>
  <c r="D688" i="20"/>
  <c r="E688" i="20"/>
  <c r="E691" i="20" s="1"/>
  <c r="C689" i="20"/>
  <c r="D689" i="20"/>
  <c r="E689" i="20"/>
  <c r="C690" i="20"/>
  <c r="D690" i="20"/>
  <c r="E690" i="20"/>
  <c r="D691" i="20"/>
  <c r="B697" i="20"/>
  <c r="C697" i="20"/>
  <c r="D697" i="20"/>
  <c r="E697" i="20"/>
  <c r="B702" i="20"/>
  <c r="C702" i="20"/>
  <c r="D702" i="20"/>
  <c r="E702" i="20"/>
  <c r="D703" i="20"/>
  <c r="B704" i="20"/>
  <c r="C705" i="20" s="1"/>
  <c r="C704" i="20"/>
  <c r="D704" i="20"/>
  <c r="E704" i="20"/>
  <c r="E705" i="20"/>
  <c r="C706" i="20"/>
  <c r="D706" i="20"/>
  <c r="D707" i="20"/>
  <c r="B708" i="20"/>
  <c r="C708" i="20"/>
  <c r="D708" i="20"/>
  <c r="E708" i="20"/>
  <c r="B710" i="20"/>
  <c r="D710" i="20"/>
  <c r="D711" i="20" s="1"/>
  <c r="B712" i="20"/>
  <c r="D712" i="20"/>
  <c r="B714" i="20"/>
  <c r="C714" i="20"/>
  <c r="D714" i="20"/>
  <c r="E714" i="20"/>
  <c r="E715" i="20" s="1"/>
  <c r="D715" i="20"/>
  <c r="B716" i="20"/>
  <c r="C716" i="20"/>
  <c r="D716" i="20"/>
  <c r="D717" i="20" s="1"/>
  <c r="E716" i="20"/>
  <c r="C717" i="20"/>
  <c r="E717" i="20"/>
  <c r="B718" i="20"/>
  <c r="C718" i="20"/>
  <c r="C719" i="20" s="1"/>
  <c r="D718" i="20"/>
  <c r="E718" i="20"/>
  <c r="E719" i="20" s="1"/>
  <c r="D719" i="20"/>
  <c r="C715" i="20" l="1"/>
  <c r="E709" i="20"/>
  <c r="C709" i="20"/>
  <c r="C711" i="20"/>
  <c r="B706" i="20"/>
  <c r="C707" i="20" s="1"/>
  <c r="C472" i="20"/>
  <c r="E712" i="20"/>
  <c r="E713" i="20" s="1"/>
  <c r="C712" i="20"/>
  <c r="C713" i="20" s="1"/>
  <c r="D446" i="20"/>
  <c r="D449" i="20" s="1"/>
  <c r="B446" i="20"/>
  <c r="C449" i="20" s="1"/>
  <c r="D713" i="20"/>
  <c r="D709" i="20"/>
  <c r="D700" i="20"/>
  <c r="B700" i="20"/>
  <c r="C700" i="20"/>
  <c r="C461" i="20"/>
  <c r="E710" i="20"/>
  <c r="E711" i="20" s="1"/>
  <c r="C473" i="20"/>
  <c r="C447" i="20"/>
  <c r="C462" i="20"/>
  <c r="C699" i="20"/>
  <c r="D447" i="20"/>
  <c r="D462" i="20"/>
  <c r="B447" i="20"/>
  <c r="D705" i="20"/>
  <c r="E703" i="20"/>
  <c r="C703" i="20"/>
  <c r="E456" i="20"/>
  <c r="B699" i="20" l="1"/>
  <c r="B720" i="20" s="1"/>
  <c r="D699" i="20"/>
  <c r="D701" i="20"/>
  <c r="D720" i="20"/>
  <c r="C720" i="20"/>
  <c r="C701" i="20"/>
  <c r="D450" i="20"/>
  <c r="B462" i="20"/>
  <c r="C450" i="20"/>
  <c r="E706" i="20"/>
  <c r="E446" i="20"/>
  <c r="E461" i="20"/>
  <c r="E447" i="20" l="1"/>
  <c r="E450" i="20" s="1"/>
  <c r="E449" i="20"/>
  <c r="E699" i="20"/>
  <c r="E462" i="20"/>
  <c r="E707" i="20"/>
  <c r="E700" i="20"/>
  <c r="E701" i="20" l="1"/>
  <c r="E720" i="20"/>
  <c r="E785" i="19" l="1"/>
  <c r="E775" i="19" s="1"/>
  <c r="D785" i="19"/>
  <c r="C785" i="19"/>
  <c r="C775" i="19" s="1"/>
  <c r="B785" i="19"/>
  <c r="E777" i="19"/>
  <c r="D777" i="19"/>
  <c r="C777" i="19"/>
  <c r="D775" i="19"/>
  <c r="B775" i="19"/>
  <c r="B776" i="19" s="1"/>
  <c r="E764" i="19"/>
  <c r="D764" i="19"/>
  <c r="D754" i="19" s="1"/>
  <c r="C764" i="19"/>
  <c r="B764" i="19"/>
  <c r="B754" i="19" s="1"/>
  <c r="B755" i="19" s="1"/>
  <c r="E756" i="19"/>
  <c r="D756" i="19"/>
  <c r="C756" i="19"/>
  <c r="E754" i="19"/>
  <c r="E757" i="19" s="1"/>
  <c r="C754" i="19"/>
  <c r="E743" i="19"/>
  <c r="E733" i="19" s="1"/>
  <c r="D743" i="19"/>
  <c r="C743" i="19"/>
  <c r="C733" i="19" s="1"/>
  <c r="B743" i="19"/>
  <c r="E735" i="19"/>
  <c r="D735" i="19"/>
  <c r="C735" i="19"/>
  <c r="D733" i="19"/>
  <c r="B733" i="19"/>
  <c r="B734" i="19" s="1"/>
  <c r="E722" i="19"/>
  <c r="D722" i="19"/>
  <c r="D712" i="19" s="1"/>
  <c r="C722" i="19"/>
  <c r="B722" i="19"/>
  <c r="B712" i="19" s="1"/>
  <c r="B713" i="19" s="1"/>
  <c r="E714" i="19"/>
  <c r="D714" i="19"/>
  <c r="C714" i="19"/>
  <c r="E712" i="19"/>
  <c r="E715" i="19" s="1"/>
  <c r="C712" i="19"/>
  <c r="E701" i="19"/>
  <c r="E691" i="19" s="1"/>
  <c r="D701" i="19"/>
  <c r="C701" i="19"/>
  <c r="C691" i="19" s="1"/>
  <c r="B701" i="19"/>
  <c r="E693" i="19"/>
  <c r="D693" i="19"/>
  <c r="C693" i="19"/>
  <c r="D691" i="19"/>
  <c r="B691" i="19"/>
  <c r="B692" i="19" s="1"/>
  <c r="E680" i="19"/>
  <c r="E681" i="19" s="1"/>
  <c r="D680" i="19"/>
  <c r="D681" i="19" s="1"/>
  <c r="C680" i="19"/>
  <c r="C681" i="19" s="1"/>
  <c r="B680" i="19"/>
  <c r="B681" i="19" s="1"/>
  <c r="E668" i="19"/>
  <c r="D668" i="19"/>
  <c r="C668" i="19"/>
  <c r="E667" i="19"/>
  <c r="D667" i="19"/>
  <c r="C667" i="19"/>
  <c r="E666" i="19"/>
  <c r="E669" i="19" s="1"/>
  <c r="D666" i="19"/>
  <c r="C666" i="19"/>
  <c r="D669" i="19" s="1"/>
  <c r="B666" i="19"/>
  <c r="E657" i="19"/>
  <c r="D657" i="19"/>
  <c r="D658" i="19" s="1"/>
  <c r="C657" i="19"/>
  <c r="B657" i="19"/>
  <c r="B658" i="19" s="1"/>
  <c r="E644" i="19"/>
  <c r="D644" i="19"/>
  <c r="C644" i="19"/>
  <c r="B643" i="19"/>
  <c r="D642" i="19"/>
  <c r="E618" i="19"/>
  <c r="D618" i="19"/>
  <c r="E619" i="19" s="1"/>
  <c r="C618" i="19"/>
  <c r="B618" i="19"/>
  <c r="C619" i="19" s="1"/>
  <c r="E616" i="19"/>
  <c r="E617" i="19" s="1"/>
  <c r="D616" i="19"/>
  <c r="C616" i="19"/>
  <c r="D617" i="19" s="1"/>
  <c r="B616" i="19"/>
  <c r="E614" i="19"/>
  <c r="D614" i="19"/>
  <c r="E615" i="19" s="1"/>
  <c r="C614" i="19"/>
  <c r="B614" i="19"/>
  <c r="C615" i="19" s="1"/>
  <c r="E612" i="19"/>
  <c r="E613" i="19" s="1"/>
  <c r="D612" i="19"/>
  <c r="C612" i="19"/>
  <c r="D613" i="19" s="1"/>
  <c r="B612" i="19"/>
  <c r="E610" i="19"/>
  <c r="D610" i="19"/>
  <c r="E611" i="19" s="1"/>
  <c r="C610" i="19"/>
  <c r="B610" i="19"/>
  <c r="C611" i="19" s="1"/>
  <c r="E608" i="19"/>
  <c r="E609" i="19" s="1"/>
  <c r="D608" i="19"/>
  <c r="C608" i="19"/>
  <c r="D609" i="19" s="1"/>
  <c r="B608" i="19"/>
  <c r="E606" i="19"/>
  <c r="D606" i="19"/>
  <c r="E607" i="19" s="1"/>
  <c r="C606" i="19"/>
  <c r="B606" i="19"/>
  <c r="C607" i="19" s="1"/>
  <c r="E604" i="19"/>
  <c r="E605" i="19" s="1"/>
  <c r="D604" i="19"/>
  <c r="C604" i="19"/>
  <c r="D605" i="19" s="1"/>
  <c r="B604" i="19"/>
  <c r="E602" i="19"/>
  <c r="D602" i="19"/>
  <c r="E603" i="19" s="1"/>
  <c r="C602" i="19"/>
  <c r="B602" i="19"/>
  <c r="C603" i="19" s="1"/>
  <c r="E600" i="19"/>
  <c r="E620" i="19" s="1"/>
  <c r="C600" i="19"/>
  <c r="C620" i="19" s="1"/>
  <c r="E599" i="19"/>
  <c r="D599" i="19"/>
  <c r="C599" i="19"/>
  <c r="B599" i="19"/>
  <c r="E597" i="19"/>
  <c r="D597" i="19"/>
  <c r="C597" i="19"/>
  <c r="B597" i="19"/>
  <c r="E590" i="19"/>
  <c r="D590" i="19"/>
  <c r="C590" i="19"/>
  <c r="E589" i="19"/>
  <c r="D589" i="19"/>
  <c r="C589" i="19"/>
  <c r="E588" i="19"/>
  <c r="D588" i="19"/>
  <c r="E591" i="19" s="1"/>
  <c r="C588" i="19"/>
  <c r="B588" i="19"/>
  <c r="C591" i="19" s="1"/>
  <c r="E579" i="19"/>
  <c r="D579" i="19"/>
  <c r="C579" i="19"/>
  <c r="B579" i="19"/>
  <c r="E572" i="19"/>
  <c r="D572" i="19"/>
  <c r="C572" i="19"/>
  <c r="E571" i="19"/>
  <c r="D571" i="19"/>
  <c r="C571" i="19"/>
  <c r="E570" i="19"/>
  <c r="E573" i="19" s="1"/>
  <c r="D570" i="19"/>
  <c r="C570" i="19"/>
  <c r="D573" i="19" s="1"/>
  <c r="B570" i="19"/>
  <c r="E559" i="19"/>
  <c r="D559" i="19"/>
  <c r="C559" i="19"/>
  <c r="B559" i="19"/>
  <c r="E552" i="19"/>
  <c r="D552" i="19"/>
  <c r="C552" i="19"/>
  <c r="E551" i="19"/>
  <c r="D551" i="19"/>
  <c r="C551" i="19"/>
  <c r="E550" i="19"/>
  <c r="D550" i="19"/>
  <c r="E553" i="19" s="1"/>
  <c r="C550" i="19"/>
  <c r="B550" i="19"/>
  <c r="C553" i="19" s="1"/>
  <c r="E541" i="19"/>
  <c r="D541" i="19"/>
  <c r="C541" i="19"/>
  <c r="B541" i="19"/>
  <c r="E534" i="19"/>
  <c r="D534" i="19"/>
  <c r="C534" i="19"/>
  <c r="E533" i="19"/>
  <c r="D533" i="19"/>
  <c r="C533" i="19"/>
  <c r="E532" i="19"/>
  <c r="E535" i="19" s="1"/>
  <c r="D532" i="19"/>
  <c r="C532" i="19"/>
  <c r="D535" i="19" s="1"/>
  <c r="B532" i="19"/>
  <c r="E520" i="19"/>
  <c r="E521" i="19" s="1"/>
  <c r="D520" i="19"/>
  <c r="D521" i="19" s="1"/>
  <c r="C520" i="19"/>
  <c r="C521" i="19" s="1"/>
  <c r="B520" i="19"/>
  <c r="B521" i="19" s="1"/>
  <c r="E508" i="19"/>
  <c r="D508" i="19"/>
  <c r="C508" i="19"/>
  <c r="E507" i="19"/>
  <c r="D507" i="19"/>
  <c r="C507" i="19"/>
  <c r="E506" i="19"/>
  <c r="D506" i="19"/>
  <c r="E509" i="19" s="1"/>
  <c r="C506" i="19"/>
  <c r="B506" i="19"/>
  <c r="C509" i="19" s="1"/>
  <c r="E497" i="19"/>
  <c r="E498" i="19" s="1"/>
  <c r="D497" i="19"/>
  <c r="D498" i="19" s="1"/>
  <c r="C497" i="19"/>
  <c r="C498" i="19" s="1"/>
  <c r="B497" i="19"/>
  <c r="B498" i="19" s="1"/>
  <c r="E483" i="19"/>
  <c r="D483" i="19"/>
  <c r="C483" i="19"/>
  <c r="E482" i="19"/>
  <c r="D482" i="19"/>
  <c r="C482" i="19"/>
  <c r="E481" i="19"/>
  <c r="E484" i="19" s="1"/>
  <c r="D481" i="19"/>
  <c r="C481" i="19"/>
  <c r="D484" i="19" s="1"/>
  <c r="B481" i="19"/>
  <c r="E464" i="19"/>
  <c r="D464" i="19"/>
  <c r="C464" i="19"/>
  <c r="B464" i="19"/>
  <c r="E457" i="19"/>
  <c r="D457" i="19"/>
  <c r="C457" i="19"/>
  <c r="E456" i="19"/>
  <c r="D456" i="19"/>
  <c r="C456" i="19"/>
  <c r="E455" i="19"/>
  <c r="D455" i="19"/>
  <c r="C455" i="19"/>
  <c r="B455" i="19"/>
  <c r="C458" i="19" s="1"/>
  <c r="E446" i="19"/>
  <c r="D446" i="19"/>
  <c r="C446" i="19"/>
  <c r="B446" i="19"/>
  <c r="D440" i="19"/>
  <c r="E439" i="19"/>
  <c r="D439" i="19"/>
  <c r="C439" i="19"/>
  <c r="E438" i="19"/>
  <c r="D438" i="19"/>
  <c r="C438" i="19"/>
  <c r="E437" i="19"/>
  <c r="E440" i="19" s="1"/>
  <c r="D437" i="19"/>
  <c r="C437" i="19"/>
  <c r="C440" i="19" s="1"/>
  <c r="B437" i="19"/>
  <c r="E426" i="19"/>
  <c r="D426" i="19"/>
  <c r="C426" i="19"/>
  <c r="B426" i="19"/>
  <c r="E419" i="19"/>
  <c r="D419" i="19"/>
  <c r="C419" i="19"/>
  <c r="E418" i="19"/>
  <c r="D418" i="19"/>
  <c r="C418" i="19"/>
  <c r="E417" i="19"/>
  <c r="D417" i="19"/>
  <c r="D420" i="19" s="1"/>
  <c r="C417" i="19"/>
  <c r="B417" i="19"/>
  <c r="C420" i="19" s="1"/>
  <c r="E405" i="19"/>
  <c r="D405" i="19"/>
  <c r="C405" i="19"/>
  <c r="B405" i="19"/>
  <c r="E398" i="19"/>
  <c r="D398" i="19"/>
  <c r="C398" i="19"/>
  <c r="E397" i="19"/>
  <c r="D397" i="19"/>
  <c r="C397" i="19"/>
  <c r="E396" i="19"/>
  <c r="D396" i="19"/>
  <c r="D399" i="19" s="1"/>
  <c r="C396" i="19"/>
  <c r="B396" i="19"/>
  <c r="C399" i="19" s="1"/>
  <c r="E384" i="19"/>
  <c r="E385" i="19" s="1"/>
  <c r="D384" i="19"/>
  <c r="D385" i="19" s="1"/>
  <c r="C384" i="19"/>
  <c r="C385" i="19" s="1"/>
  <c r="B384" i="19"/>
  <c r="B385" i="19" s="1"/>
  <c r="E372" i="19"/>
  <c r="D372" i="19"/>
  <c r="C372" i="19"/>
  <c r="E371" i="19"/>
  <c r="D371" i="19"/>
  <c r="C371" i="19"/>
  <c r="E370" i="19"/>
  <c r="E373" i="19" s="1"/>
  <c r="D370" i="19"/>
  <c r="C370" i="19"/>
  <c r="D373" i="19" s="1"/>
  <c r="B370" i="19"/>
  <c r="E361" i="19"/>
  <c r="E362" i="19" s="1"/>
  <c r="D361" i="19"/>
  <c r="D362" i="19" s="1"/>
  <c r="C361" i="19"/>
  <c r="C362" i="19" s="1"/>
  <c r="B361" i="19"/>
  <c r="B362" i="19" s="1"/>
  <c r="E349" i="19"/>
  <c r="D349" i="19"/>
  <c r="C349" i="19"/>
  <c r="E348" i="19"/>
  <c r="D348" i="19"/>
  <c r="C348" i="19"/>
  <c r="E347" i="19"/>
  <c r="D347" i="19"/>
  <c r="E350" i="19" s="1"/>
  <c r="C347" i="19"/>
  <c r="B347" i="19"/>
  <c r="C350" i="19" s="1"/>
  <c r="E312" i="19"/>
  <c r="E313" i="19" s="1"/>
  <c r="D312" i="19"/>
  <c r="C312" i="19"/>
  <c r="D313" i="19" s="1"/>
  <c r="B312" i="19"/>
  <c r="E310" i="19"/>
  <c r="D310" i="19"/>
  <c r="E311" i="19" s="1"/>
  <c r="C310" i="19"/>
  <c r="B310" i="19"/>
  <c r="C311" i="19" s="1"/>
  <c r="E308" i="19"/>
  <c r="E309" i="19" s="1"/>
  <c r="D308" i="19"/>
  <c r="C308" i="19"/>
  <c r="D309" i="19" s="1"/>
  <c r="B308" i="19"/>
  <c r="E306" i="19"/>
  <c r="D306" i="19"/>
  <c r="E307" i="19" s="1"/>
  <c r="C306" i="19"/>
  <c r="B306" i="19"/>
  <c r="C307" i="19" s="1"/>
  <c r="E304" i="19"/>
  <c r="E305" i="19" s="1"/>
  <c r="D304" i="19"/>
  <c r="C304" i="19"/>
  <c r="D305" i="19" s="1"/>
  <c r="B304" i="19"/>
  <c r="E302" i="19"/>
  <c r="D302" i="19"/>
  <c r="E303" i="19" s="1"/>
  <c r="C302" i="19"/>
  <c r="B302" i="19"/>
  <c r="C303" i="19" s="1"/>
  <c r="E300" i="19"/>
  <c r="E301" i="19" s="1"/>
  <c r="D300" i="19"/>
  <c r="C300" i="19"/>
  <c r="D301" i="19" s="1"/>
  <c r="B300" i="19"/>
  <c r="E298" i="19"/>
  <c r="D298" i="19"/>
  <c r="E299" i="19" s="1"/>
  <c r="C298" i="19"/>
  <c r="B298" i="19"/>
  <c r="C299" i="19" s="1"/>
  <c r="D296" i="19"/>
  <c r="C296" i="19"/>
  <c r="D297" i="19" s="1"/>
  <c r="B296" i="19"/>
  <c r="D294" i="19"/>
  <c r="D314" i="19" s="1"/>
  <c r="B294" i="19"/>
  <c r="B314" i="19" s="1"/>
  <c r="E293" i="19"/>
  <c r="D293" i="19"/>
  <c r="C293" i="19"/>
  <c r="B293" i="19"/>
  <c r="E291" i="19"/>
  <c r="D291" i="19"/>
  <c r="C291" i="19"/>
  <c r="B291" i="19"/>
  <c r="E284" i="19"/>
  <c r="D284" i="19"/>
  <c r="C284" i="19"/>
  <c r="E283" i="19"/>
  <c r="D283" i="19"/>
  <c r="C283" i="19"/>
  <c r="E282" i="19"/>
  <c r="E285" i="19" s="1"/>
  <c r="D282" i="19"/>
  <c r="C282" i="19"/>
  <c r="D285" i="19" s="1"/>
  <c r="B282" i="19"/>
  <c r="E273" i="19"/>
  <c r="D273" i="19"/>
  <c r="C273" i="19"/>
  <c r="B273" i="19"/>
  <c r="E266" i="19"/>
  <c r="D266" i="19"/>
  <c r="C266" i="19"/>
  <c r="E265" i="19"/>
  <c r="D265" i="19"/>
  <c r="C265" i="19"/>
  <c r="E264" i="19"/>
  <c r="D264" i="19"/>
  <c r="E267" i="19" s="1"/>
  <c r="C264" i="19"/>
  <c r="B264" i="19"/>
  <c r="C267" i="19" s="1"/>
  <c r="E253" i="19"/>
  <c r="D253" i="19"/>
  <c r="C253" i="19"/>
  <c r="B253" i="19"/>
  <c r="E246" i="19"/>
  <c r="D246" i="19"/>
  <c r="C246" i="19"/>
  <c r="E245" i="19"/>
  <c r="D245" i="19"/>
  <c r="C245" i="19"/>
  <c r="E244" i="19"/>
  <c r="E247" i="19" s="1"/>
  <c r="D244" i="19"/>
  <c r="C244" i="19"/>
  <c r="D247" i="19" s="1"/>
  <c r="B244" i="19"/>
  <c r="E235" i="19"/>
  <c r="D235" i="19"/>
  <c r="C235" i="19"/>
  <c r="B235" i="19"/>
  <c r="E228" i="19"/>
  <c r="D228" i="19"/>
  <c r="C228" i="19"/>
  <c r="E227" i="19"/>
  <c r="D227" i="19"/>
  <c r="C227" i="19"/>
  <c r="E226" i="19"/>
  <c r="D226" i="19"/>
  <c r="E229" i="19" s="1"/>
  <c r="C226" i="19"/>
  <c r="B226" i="19"/>
  <c r="C229" i="19" s="1"/>
  <c r="E214" i="19"/>
  <c r="E215" i="19" s="1"/>
  <c r="D214" i="19"/>
  <c r="D215" i="19" s="1"/>
  <c r="C214" i="19"/>
  <c r="C215" i="19" s="1"/>
  <c r="B214" i="19"/>
  <c r="B215" i="19" s="1"/>
  <c r="E202" i="19"/>
  <c r="D202" i="19"/>
  <c r="C202" i="19"/>
  <c r="E201" i="19"/>
  <c r="D201" i="19"/>
  <c r="C201" i="19"/>
  <c r="E200" i="19"/>
  <c r="E203" i="19" s="1"/>
  <c r="D200" i="19"/>
  <c r="C200" i="19"/>
  <c r="D203" i="19" s="1"/>
  <c r="B200" i="19"/>
  <c r="E191" i="19"/>
  <c r="E192" i="19" s="1"/>
  <c r="D191" i="19"/>
  <c r="D192" i="19" s="1"/>
  <c r="C191" i="19"/>
  <c r="C192" i="19" s="1"/>
  <c r="B191" i="19"/>
  <c r="B192" i="19" s="1"/>
  <c r="E177" i="19"/>
  <c r="D177" i="19"/>
  <c r="C177" i="19"/>
  <c r="E176" i="19"/>
  <c r="D176" i="19"/>
  <c r="C176" i="19"/>
  <c r="E175" i="19"/>
  <c r="D175" i="19"/>
  <c r="E178" i="19" s="1"/>
  <c r="C175" i="19"/>
  <c r="B175" i="19"/>
  <c r="C178" i="19" s="1"/>
  <c r="E158" i="19"/>
  <c r="D158" i="19"/>
  <c r="C158" i="19"/>
  <c r="B158" i="19"/>
  <c r="E151" i="19"/>
  <c r="D151" i="19"/>
  <c r="C151" i="19"/>
  <c r="E150" i="19"/>
  <c r="D150" i="19"/>
  <c r="C150" i="19"/>
  <c r="E149" i="19"/>
  <c r="E152" i="19" s="1"/>
  <c r="D149" i="19"/>
  <c r="C149" i="19"/>
  <c r="D152" i="19" s="1"/>
  <c r="B149" i="19"/>
  <c r="E140" i="19"/>
  <c r="D140" i="19"/>
  <c r="C140" i="19"/>
  <c r="B140" i="19"/>
  <c r="E133" i="19"/>
  <c r="D133" i="19"/>
  <c r="C133" i="19"/>
  <c r="E132" i="19"/>
  <c r="D132" i="19"/>
  <c r="C132" i="19"/>
  <c r="E131" i="19"/>
  <c r="D131" i="19"/>
  <c r="E134" i="19" s="1"/>
  <c r="C131" i="19"/>
  <c r="B131" i="19"/>
  <c r="C134" i="19" s="1"/>
  <c r="E120" i="19"/>
  <c r="D120" i="19"/>
  <c r="C120" i="19"/>
  <c r="B120" i="19"/>
  <c r="E113" i="19"/>
  <c r="D113" i="19"/>
  <c r="C113" i="19"/>
  <c r="E112" i="19"/>
  <c r="D112" i="19"/>
  <c r="C112" i="19"/>
  <c r="E111" i="19"/>
  <c r="E114" i="19" s="1"/>
  <c r="D111" i="19"/>
  <c r="C111" i="19"/>
  <c r="D114" i="19" s="1"/>
  <c r="B111" i="19"/>
  <c r="C99" i="19"/>
  <c r="B99" i="19"/>
  <c r="E92" i="19"/>
  <c r="D92" i="19"/>
  <c r="C92" i="19"/>
  <c r="E91" i="19"/>
  <c r="D91" i="19"/>
  <c r="C91" i="19"/>
  <c r="E90" i="19"/>
  <c r="D90" i="19"/>
  <c r="E93" i="19" s="1"/>
  <c r="C90" i="19"/>
  <c r="B90" i="19"/>
  <c r="C93" i="19" s="1"/>
  <c r="E78" i="19"/>
  <c r="E79" i="19" s="1"/>
  <c r="D78" i="19"/>
  <c r="D79" i="19" s="1"/>
  <c r="C78" i="19"/>
  <c r="C79" i="19" s="1"/>
  <c r="B78" i="19"/>
  <c r="B79" i="19" s="1"/>
  <c r="E66" i="19"/>
  <c r="D66" i="19"/>
  <c r="C66" i="19"/>
  <c r="E65" i="19"/>
  <c r="D65" i="19"/>
  <c r="C65" i="19"/>
  <c r="E64" i="19"/>
  <c r="E67" i="19" s="1"/>
  <c r="D64" i="19"/>
  <c r="C64" i="19"/>
  <c r="C67" i="19" s="1"/>
  <c r="B64" i="19"/>
  <c r="D55" i="19"/>
  <c r="C55" i="19"/>
  <c r="B55" i="19"/>
  <c r="E48" i="19"/>
  <c r="E296" i="19" s="1"/>
  <c r="E43" i="19"/>
  <c r="D43" i="19"/>
  <c r="C43" i="19"/>
  <c r="E42" i="19"/>
  <c r="D42" i="19"/>
  <c r="C42" i="19"/>
  <c r="E41" i="19"/>
  <c r="E44" i="19" s="1"/>
  <c r="D41" i="19"/>
  <c r="C41" i="19"/>
  <c r="C44" i="19" s="1"/>
  <c r="B41" i="19"/>
  <c r="E297" i="19" l="1"/>
  <c r="E294" i="19"/>
  <c r="D44" i="19"/>
  <c r="E55" i="19"/>
  <c r="D67" i="19"/>
  <c r="D93" i="19"/>
  <c r="C114" i="19"/>
  <c r="D134" i="19"/>
  <c r="C152" i="19"/>
  <c r="D178" i="19"/>
  <c r="C203" i="19"/>
  <c r="D229" i="19"/>
  <c r="C247" i="19"/>
  <c r="D267" i="19"/>
  <c r="C285" i="19"/>
  <c r="C294" i="19"/>
  <c r="D295" i="19"/>
  <c r="C297" i="19"/>
  <c r="D299" i="19"/>
  <c r="C301" i="19"/>
  <c r="D303" i="19"/>
  <c r="C305" i="19"/>
  <c r="D307" i="19"/>
  <c r="C309" i="19"/>
  <c r="D311" i="19"/>
  <c r="C313" i="19"/>
  <c r="D350" i="19"/>
  <c r="C373" i="19"/>
  <c r="E399" i="19"/>
  <c r="E420" i="19"/>
  <c r="E458" i="19"/>
  <c r="D458" i="19"/>
  <c r="D645" i="19"/>
  <c r="D694" i="19"/>
  <c r="C715" i="19"/>
  <c r="D736" i="19"/>
  <c r="C757" i="19"/>
  <c r="D778" i="19"/>
  <c r="C694" i="19"/>
  <c r="C692" i="19"/>
  <c r="C695" i="19" s="1"/>
  <c r="E694" i="19"/>
  <c r="E692" i="19"/>
  <c r="D715" i="19"/>
  <c r="D713" i="19"/>
  <c r="C736" i="19"/>
  <c r="C734" i="19"/>
  <c r="C737" i="19" s="1"/>
  <c r="E736" i="19"/>
  <c r="E734" i="19"/>
  <c r="D757" i="19"/>
  <c r="D755" i="19"/>
  <c r="C778" i="19"/>
  <c r="C776" i="19"/>
  <c r="C779" i="19" s="1"/>
  <c r="E778" i="19"/>
  <c r="E776" i="19"/>
  <c r="C484" i="19"/>
  <c r="D509" i="19"/>
  <c r="C535" i="19"/>
  <c r="D553" i="19"/>
  <c r="C573" i="19"/>
  <c r="D591" i="19"/>
  <c r="B600" i="19"/>
  <c r="B620" i="19" s="1"/>
  <c r="D600" i="19"/>
  <c r="E601" i="19"/>
  <c r="D603" i="19"/>
  <c r="C605" i="19"/>
  <c r="D607" i="19"/>
  <c r="C609" i="19"/>
  <c r="D611" i="19"/>
  <c r="C613" i="19"/>
  <c r="D615" i="19"/>
  <c r="C617" i="19"/>
  <c r="D619" i="19"/>
  <c r="C642" i="19"/>
  <c r="E642" i="19"/>
  <c r="E658" i="19" s="1"/>
  <c r="C669" i="19"/>
  <c r="D643" i="19"/>
  <c r="D692" i="19"/>
  <c r="D695" i="19" s="1"/>
  <c r="C713" i="19"/>
  <c r="C716" i="19" s="1"/>
  <c r="E713" i="19"/>
  <c r="E716" i="19" s="1"/>
  <c r="D734" i="19"/>
  <c r="D737" i="19" s="1"/>
  <c r="C755" i="19"/>
  <c r="C758" i="19" s="1"/>
  <c r="E755" i="19"/>
  <c r="E758" i="19" s="1"/>
  <c r="D776" i="19"/>
  <c r="D779" i="19" s="1"/>
  <c r="D646" i="19" l="1"/>
  <c r="C601" i="19"/>
  <c r="C645" i="19"/>
  <c r="C643" i="19"/>
  <c r="C646" i="19" s="1"/>
  <c r="D601" i="19"/>
  <c r="D620" i="19"/>
  <c r="E779" i="19"/>
  <c r="D758" i="19"/>
  <c r="E737" i="19"/>
  <c r="D716" i="19"/>
  <c r="E695" i="19"/>
  <c r="C658" i="19"/>
  <c r="C295" i="19"/>
  <c r="C314" i="19"/>
  <c r="E295" i="19"/>
  <c r="E314" i="19"/>
  <c r="E645" i="19"/>
  <c r="E643" i="19"/>
  <c r="E646" i="19" s="1"/>
  <c r="E127" i="18" l="1"/>
  <c r="D127" i="18"/>
  <c r="C127" i="18"/>
  <c r="B127" i="18"/>
  <c r="E113" i="18"/>
  <c r="D113" i="18"/>
  <c r="B113" i="18"/>
  <c r="E101" i="18"/>
  <c r="D101" i="18"/>
  <c r="C101" i="18"/>
  <c r="B101" i="18"/>
  <c r="C88" i="18"/>
  <c r="E87" i="18"/>
  <c r="D87" i="18"/>
  <c r="C87" i="18"/>
  <c r="C90" i="18" s="1"/>
  <c r="B87" i="18"/>
  <c r="E75" i="18"/>
  <c r="D75" i="18"/>
  <c r="C75" i="18"/>
  <c r="B75" i="18"/>
  <c r="E64" i="18"/>
  <c r="D64" i="18"/>
  <c r="C64" i="18"/>
  <c r="E63" i="18"/>
  <c r="D63" i="18"/>
  <c r="C63" i="18"/>
  <c r="E62" i="18"/>
  <c r="E65" i="18" s="1"/>
  <c r="D62" i="18"/>
  <c r="C62" i="18"/>
  <c r="C65" i="18" s="1"/>
  <c r="B62" i="18"/>
  <c r="E53" i="18"/>
  <c r="E54" i="18" s="1"/>
  <c r="D53" i="18"/>
  <c r="D54" i="18" s="1"/>
  <c r="C53" i="18"/>
  <c r="C54" i="18" s="1"/>
  <c r="B53" i="18"/>
  <c r="B54" i="18" s="1"/>
  <c r="D65" i="18" l="1"/>
  <c r="D90" i="18"/>
  <c r="E90" i="18"/>
  <c r="E373" i="17"/>
  <c r="D373" i="17"/>
  <c r="C373" i="17"/>
  <c r="B373" i="17"/>
  <c r="E369" i="17"/>
  <c r="E370" i="17" s="1"/>
  <c r="D369" i="17"/>
  <c r="C369" i="17"/>
  <c r="C370" i="17" s="1"/>
  <c r="B369" i="17"/>
  <c r="E367" i="17"/>
  <c r="D367" i="17"/>
  <c r="D368" i="17" s="1"/>
  <c r="C367" i="17"/>
  <c r="B367" i="17"/>
  <c r="C368" i="17" s="1"/>
  <c r="E365" i="17"/>
  <c r="D365" i="17"/>
  <c r="C365" i="17"/>
  <c r="B365" i="17"/>
  <c r="E363" i="17"/>
  <c r="E364" i="17" s="1"/>
  <c r="D363" i="17"/>
  <c r="C363" i="17"/>
  <c r="C364" i="17" s="1"/>
  <c r="B363" i="17"/>
  <c r="E361" i="17"/>
  <c r="D361" i="17"/>
  <c r="C361" i="17"/>
  <c r="B361" i="17"/>
  <c r="E359" i="17"/>
  <c r="D359" i="17"/>
  <c r="C359" i="17"/>
  <c r="B359" i="17"/>
  <c r="E355" i="17"/>
  <c r="E356" i="17" s="1"/>
  <c r="D355" i="17"/>
  <c r="C355" i="17"/>
  <c r="C356" i="17" s="1"/>
  <c r="B355" i="17"/>
  <c r="E353" i="17"/>
  <c r="D353" i="17"/>
  <c r="D354" i="17" s="1"/>
  <c r="C353" i="17"/>
  <c r="B353" i="17"/>
  <c r="E348" i="17"/>
  <c r="D348" i="17"/>
  <c r="C348" i="17"/>
  <c r="B348" i="17"/>
  <c r="C342" i="17"/>
  <c r="C341" i="17"/>
  <c r="C340" i="17"/>
  <c r="B339" i="17"/>
  <c r="D328" i="17"/>
  <c r="C328" i="17"/>
  <c r="B328" i="17"/>
  <c r="D319" i="17"/>
  <c r="C319" i="17"/>
  <c r="E300" i="17"/>
  <c r="E357" i="17" s="1"/>
  <c r="D300" i="17"/>
  <c r="D357" i="17" s="1"/>
  <c r="D358" i="17" s="1"/>
  <c r="C300" i="17"/>
  <c r="C357" i="17" s="1"/>
  <c r="B300" i="17"/>
  <c r="B357" i="17" s="1"/>
  <c r="E293" i="17"/>
  <c r="D293" i="17"/>
  <c r="C293" i="17"/>
  <c r="E292" i="17"/>
  <c r="D292" i="17"/>
  <c r="C292" i="17"/>
  <c r="E291" i="17"/>
  <c r="E294" i="17" s="1"/>
  <c r="D291" i="17"/>
  <c r="C291" i="17"/>
  <c r="C294" i="17" s="1"/>
  <c r="B291" i="17"/>
  <c r="E282" i="17"/>
  <c r="E283" i="17" s="1"/>
  <c r="D282" i="17"/>
  <c r="D283" i="17" s="1"/>
  <c r="C282" i="17"/>
  <c r="C283" i="17" s="1"/>
  <c r="B282" i="17"/>
  <c r="B283" i="17" s="1"/>
  <c r="E270" i="17"/>
  <c r="D270" i="17"/>
  <c r="C270" i="17"/>
  <c r="E269" i="17"/>
  <c r="C269" i="17"/>
  <c r="E268" i="17"/>
  <c r="D268" i="17"/>
  <c r="B268" i="17"/>
  <c r="C266" i="17"/>
  <c r="D269" i="17" s="1"/>
  <c r="E259" i="17"/>
  <c r="E260" i="17" s="1"/>
  <c r="D259" i="17"/>
  <c r="D260" i="17" s="1"/>
  <c r="C259" i="17"/>
  <c r="C260" i="17" s="1"/>
  <c r="B259" i="17"/>
  <c r="B260" i="17" s="1"/>
  <c r="E245" i="17"/>
  <c r="D245" i="17"/>
  <c r="C245" i="17"/>
  <c r="E244" i="17"/>
  <c r="D244" i="17"/>
  <c r="C244" i="17"/>
  <c r="E243" i="17"/>
  <c r="D243" i="17"/>
  <c r="D246" i="17" s="1"/>
  <c r="C243" i="17"/>
  <c r="B243" i="17"/>
  <c r="C246" i="17" s="1"/>
  <c r="E226" i="17"/>
  <c r="D226" i="17"/>
  <c r="C226" i="17"/>
  <c r="B226" i="17"/>
  <c r="E219" i="17"/>
  <c r="D219" i="17"/>
  <c r="E218" i="17"/>
  <c r="D218" i="17"/>
  <c r="E217" i="17"/>
  <c r="E220" i="17" s="1"/>
  <c r="D217" i="17"/>
  <c r="D220" i="17" s="1"/>
  <c r="B217" i="17"/>
  <c r="E208" i="17"/>
  <c r="D208" i="17"/>
  <c r="C208" i="17"/>
  <c r="B208" i="17"/>
  <c r="B199" i="17"/>
  <c r="E190" i="17"/>
  <c r="D190" i="17"/>
  <c r="C190" i="17"/>
  <c r="B190" i="17"/>
  <c r="B181" i="17"/>
  <c r="E172" i="17"/>
  <c r="D172" i="17"/>
  <c r="C172" i="17"/>
  <c r="B172" i="17"/>
  <c r="C165" i="17"/>
  <c r="C164" i="17"/>
  <c r="C163" i="17"/>
  <c r="B163" i="17"/>
  <c r="C166" i="17" s="1"/>
  <c r="E154" i="17"/>
  <c r="D154" i="17"/>
  <c r="C154" i="17"/>
  <c r="B154" i="17"/>
  <c r="E145" i="17"/>
  <c r="D145" i="17"/>
  <c r="C145" i="17"/>
  <c r="B145" i="17"/>
  <c r="B144" i="17"/>
  <c r="E134" i="17"/>
  <c r="D134" i="17"/>
  <c r="C134" i="17"/>
  <c r="B134" i="17"/>
  <c r="E127" i="17"/>
  <c r="E126" i="17"/>
  <c r="E125" i="17"/>
  <c r="E128" i="17" s="1"/>
  <c r="D125" i="17"/>
  <c r="C125" i="17"/>
  <c r="B124" i="17"/>
  <c r="D127" i="17" s="1"/>
  <c r="B123" i="17"/>
  <c r="D126" i="17" s="1"/>
  <c r="E116" i="17"/>
  <c r="C116" i="17"/>
  <c r="B116" i="17"/>
  <c r="E107" i="17"/>
  <c r="B107" i="17"/>
  <c r="B106" i="17"/>
  <c r="E98" i="17"/>
  <c r="D98" i="17"/>
  <c r="C98" i="17"/>
  <c r="B98" i="17"/>
  <c r="E91" i="17"/>
  <c r="E90" i="17"/>
  <c r="E89" i="17"/>
  <c r="D89" i="17"/>
  <c r="E92" i="17" s="1"/>
  <c r="B87" i="17"/>
  <c r="B89" i="17" s="1"/>
  <c r="E77" i="17"/>
  <c r="E78" i="17" s="1"/>
  <c r="D77" i="17"/>
  <c r="D78" i="17" s="1"/>
  <c r="C77" i="17"/>
  <c r="C78" i="17" s="1"/>
  <c r="B77" i="17"/>
  <c r="B78" i="17" s="1"/>
  <c r="B63" i="17"/>
  <c r="E54" i="17"/>
  <c r="E39" i="17" s="1"/>
  <c r="D54" i="17"/>
  <c r="C54" i="17"/>
  <c r="C39" i="17" s="1"/>
  <c r="B54" i="17"/>
  <c r="E41" i="17"/>
  <c r="D41" i="17"/>
  <c r="C41" i="17"/>
  <c r="B40" i="17"/>
  <c r="D39" i="17"/>
  <c r="D42" i="17" s="1"/>
  <c r="B350" i="17" l="1"/>
  <c r="C42" i="17"/>
  <c r="C40" i="17"/>
  <c r="C43" i="17" s="1"/>
  <c r="E42" i="17"/>
  <c r="E40" i="17"/>
  <c r="D128" i="17"/>
  <c r="C358" i="17"/>
  <c r="C351" i="17"/>
  <c r="E358" i="17"/>
  <c r="E351" i="17"/>
  <c r="B351" i="17"/>
  <c r="B371" i="17" s="1"/>
  <c r="D40" i="17"/>
  <c r="D43" i="17" s="1"/>
  <c r="C55" i="17"/>
  <c r="E55" i="17"/>
  <c r="E246" i="17"/>
  <c r="E271" i="17"/>
  <c r="D294" i="17"/>
  <c r="B305" i="17"/>
  <c r="B306" i="17" s="1"/>
  <c r="D305" i="17"/>
  <c r="D306" i="17" s="1"/>
  <c r="C354" i="17"/>
  <c r="E354" i="17"/>
  <c r="D356" i="17"/>
  <c r="D364" i="17"/>
  <c r="E368" i="17"/>
  <c r="D370" i="17"/>
  <c r="B55" i="17"/>
  <c r="D55" i="17"/>
  <c r="B125" i="17"/>
  <c r="C268" i="17"/>
  <c r="C271" i="17" s="1"/>
  <c r="C305" i="17"/>
  <c r="C306" i="17" s="1"/>
  <c r="E305" i="17"/>
  <c r="E306" i="17" s="1"/>
  <c r="D351" i="17"/>
  <c r="E350" i="17" l="1"/>
  <c r="D352" i="17"/>
  <c r="C350" i="17"/>
  <c r="E371" i="17"/>
  <c r="E352" i="17"/>
  <c r="C371" i="17"/>
  <c r="C352" i="17"/>
  <c r="D271" i="17"/>
  <c r="E43" i="17"/>
  <c r="D350" i="17"/>
  <c r="D371" i="17" s="1"/>
  <c r="B13" i="16"/>
  <c r="A17" i="16"/>
  <c r="B20" i="16"/>
  <c r="A23" i="16"/>
  <c r="B23" i="16"/>
  <c r="C23" i="16"/>
  <c r="D23" i="16"/>
  <c r="E23" i="16"/>
  <c r="A24" i="16"/>
  <c r="B24" i="16"/>
  <c r="C24" i="16"/>
  <c r="D24" i="16"/>
  <c r="E24" i="16"/>
  <c r="B25" i="16"/>
  <c r="A27" i="16"/>
  <c r="B27" i="16"/>
  <c r="C27" i="16"/>
  <c r="D27" i="16"/>
  <c r="E27" i="16"/>
  <c r="B30" i="16"/>
  <c r="B31" i="16"/>
  <c r="B32" i="16"/>
  <c r="B35" i="16"/>
  <c r="C35" i="16"/>
  <c r="D35" i="16"/>
  <c r="D38" i="16" s="1"/>
  <c r="E35" i="16"/>
  <c r="B36" i="16"/>
  <c r="C39" i="16" s="1"/>
  <c r="C36" i="16"/>
  <c r="D36" i="16"/>
  <c r="E39" i="16" s="1"/>
  <c r="E36" i="16"/>
  <c r="B37" i="16"/>
  <c r="C37" i="16"/>
  <c r="D37" i="16"/>
  <c r="D40" i="16" s="1"/>
  <c r="E37" i="16"/>
  <c r="C38" i="16"/>
  <c r="E38" i="16"/>
  <c r="D39" i="16"/>
  <c r="C40" i="16"/>
  <c r="E40" i="16"/>
  <c r="B44" i="16"/>
  <c r="C44" i="16"/>
  <c r="D44" i="16"/>
  <c r="E44" i="16"/>
  <c r="B45" i="16"/>
  <c r="C45" i="16"/>
  <c r="D45" i="16"/>
  <c r="E45" i="16"/>
  <c r="B46" i="16"/>
  <c r="C46" i="16"/>
  <c r="D46" i="16"/>
  <c r="E46" i="16"/>
  <c r="B50" i="16"/>
  <c r="C50" i="16"/>
  <c r="D50" i="16"/>
  <c r="E50" i="16"/>
  <c r="B51" i="16"/>
  <c r="C51" i="16"/>
  <c r="D51" i="16"/>
  <c r="E51" i="16"/>
  <c r="B52" i="16"/>
  <c r="C52" i="16"/>
  <c r="D52" i="16"/>
  <c r="E52" i="16"/>
  <c r="B53" i="16"/>
  <c r="B54" i="16"/>
  <c r="B55" i="16"/>
  <c r="B56" i="16"/>
  <c r="C56" i="16"/>
  <c r="D56" i="16"/>
  <c r="E56" i="16"/>
  <c r="B59" i="16"/>
  <c r="C59" i="16"/>
  <c r="D59" i="16"/>
  <c r="E59" i="16"/>
  <c r="B60" i="16"/>
  <c r="C60" i="16"/>
  <c r="D60" i="16"/>
  <c r="E60" i="16"/>
  <c r="C61" i="16"/>
  <c r="D61" i="16"/>
  <c r="E61" i="16"/>
  <c r="C62" i="16"/>
  <c r="D62" i="16"/>
  <c r="E62" i="16"/>
  <c r="C63" i="16"/>
  <c r="D63" i="16"/>
  <c r="E63" i="16"/>
  <c r="B67" i="16"/>
  <c r="C67" i="16"/>
  <c r="D67" i="16"/>
  <c r="E67" i="16"/>
  <c r="B68" i="16"/>
  <c r="C68" i="16"/>
  <c r="D68" i="16"/>
  <c r="E68" i="16"/>
  <c r="B69" i="16"/>
  <c r="C69" i="16"/>
  <c r="D69" i="16"/>
  <c r="E69" i="16"/>
  <c r="B73" i="16"/>
  <c r="C73" i="16"/>
  <c r="D73" i="16"/>
  <c r="E73" i="16"/>
  <c r="B74" i="16"/>
  <c r="C74" i="16"/>
  <c r="D74" i="16"/>
  <c r="E74" i="16"/>
  <c r="B75" i="16"/>
  <c r="C75" i="16"/>
  <c r="D75" i="16"/>
  <c r="E75" i="16"/>
  <c r="B76" i="16"/>
  <c r="B77" i="16"/>
  <c r="B78" i="16"/>
  <c r="B79" i="16"/>
  <c r="C79" i="16"/>
  <c r="D79" i="16"/>
  <c r="E79" i="16"/>
  <c r="B82" i="16"/>
  <c r="B83" i="16"/>
  <c r="C84" i="16"/>
  <c r="D84" i="16"/>
  <c r="E84" i="16"/>
  <c r="B90" i="16"/>
  <c r="C90" i="16"/>
  <c r="D90" i="16"/>
  <c r="E90" i="16"/>
  <c r="B91" i="16"/>
  <c r="C91" i="16"/>
  <c r="D91" i="16"/>
  <c r="E91" i="16"/>
  <c r="B92" i="16"/>
  <c r="C92" i="16"/>
  <c r="D92" i="16"/>
  <c r="E92" i="16"/>
  <c r="C94" i="16"/>
  <c r="D94" i="16"/>
  <c r="E94" i="16"/>
  <c r="C96" i="16"/>
  <c r="D96" i="16"/>
  <c r="E96" i="16"/>
  <c r="B97" i="16"/>
  <c r="C97" i="16"/>
  <c r="C82" i="16" s="1"/>
  <c r="D97" i="16"/>
  <c r="D82" i="16" s="1"/>
  <c r="E97" i="16"/>
  <c r="E82" i="16" s="1"/>
  <c r="B98" i="16"/>
  <c r="B99" i="16"/>
  <c r="B100" i="16"/>
  <c r="B101" i="16"/>
  <c r="B102" i="16"/>
  <c r="C102" i="16"/>
  <c r="D102" i="16"/>
  <c r="E102" i="16"/>
  <c r="B105" i="16"/>
  <c r="C105" i="16"/>
  <c r="D105" i="16"/>
  <c r="E105" i="16"/>
  <c r="B106" i="16"/>
  <c r="C106" i="16"/>
  <c r="D106" i="16"/>
  <c r="E106" i="16"/>
  <c r="C107" i="16"/>
  <c r="D107" i="16"/>
  <c r="E107" i="16"/>
  <c r="C108" i="16"/>
  <c r="D108" i="16"/>
  <c r="E108" i="16"/>
  <c r="C109" i="16"/>
  <c r="D109" i="16"/>
  <c r="E109" i="16"/>
  <c r="B113" i="16"/>
  <c r="C113" i="16"/>
  <c r="D113" i="16"/>
  <c r="E113" i="16"/>
  <c r="B114" i="16"/>
  <c r="C114" i="16"/>
  <c r="D114" i="16"/>
  <c r="E114" i="16"/>
  <c r="B115" i="16"/>
  <c r="C115" i="16"/>
  <c r="D115" i="16"/>
  <c r="E115" i="16"/>
  <c r="B119" i="16"/>
  <c r="C119" i="16"/>
  <c r="D119" i="16"/>
  <c r="E119" i="16"/>
  <c r="B120" i="16"/>
  <c r="C120" i="16"/>
  <c r="D120" i="16"/>
  <c r="E120" i="16"/>
  <c r="B121" i="16"/>
  <c r="C121" i="16"/>
  <c r="D121" i="16"/>
  <c r="E121" i="16"/>
  <c r="B122" i="16"/>
  <c r="B123" i="16"/>
  <c r="B124" i="16"/>
  <c r="B125" i="16"/>
  <c r="C125" i="16"/>
  <c r="D125" i="16"/>
  <c r="E125" i="16"/>
  <c r="B128" i="16"/>
  <c r="C128" i="16"/>
  <c r="D128" i="16"/>
  <c r="E128" i="16"/>
  <c r="B129" i="16"/>
  <c r="C129" i="16"/>
  <c r="D129" i="16"/>
  <c r="E129" i="16"/>
  <c r="C130" i="16"/>
  <c r="D130" i="16"/>
  <c r="E130" i="16"/>
  <c r="C131" i="16"/>
  <c r="D131" i="16"/>
  <c r="E131" i="16"/>
  <c r="C132" i="16"/>
  <c r="D132" i="16"/>
  <c r="E132" i="16"/>
  <c r="B136" i="16"/>
  <c r="C136" i="16"/>
  <c r="D136" i="16"/>
  <c r="E136" i="16"/>
  <c r="B137" i="16"/>
  <c r="C137" i="16"/>
  <c r="D137" i="16"/>
  <c r="E137" i="16"/>
  <c r="B138" i="16"/>
  <c r="C138" i="16"/>
  <c r="D138" i="16"/>
  <c r="E138" i="16"/>
  <c r="B143" i="16"/>
  <c r="C143" i="16"/>
  <c r="D143" i="16"/>
  <c r="E143" i="16"/>
  <c r="B144" i="16"/>
  <c r="C144" i="16"/>
  <c r="D144" i="16"/>
  <c r="E144" i="16"/>
  <c r="B145" i="16"/>
  <c r="B146" i="16"/>
  <c r="B147" i="16"/>
  <c r="B148" i="16"/>
  <c r="C148" i="16"/>
  <c r="D148" i="16"/>
  <c r="E148" i="16"/>
  <c r="B151" i="16"/>
  <c r="C151" i="16"/>
  <c r="D151" i="16"/>
  <c r="E151" i="16"/>
  <c r="B152" i="16"/>
  <c r="C152" i="16"/>
  <c r="D152" i="16"/>
  <c r="E152" i="16"/>
  <c r="C153" i="16"/>
  <c r="D153" i="16"/>
  <c r="E153" i="16"/>
  <c r="C154" i="16"/>
  <c r="D154" i="16"/>
  <c r="E154" i="16"/>
  <c r="C155" i="16"/>
  <c r="D155" i="16"/>
  <c r="E155" i="16"/>
  <c r="B159" i="16"/>
  <c r="C159" i="16"/>
  <c r="D159" i="16"/>
  <c r="E159" i="16"/>
  <c r="B160" i="16"/>
  <c r="C160" i="16"/>
  <c r="D160" i="16"/>
  <c r="E160" i="16"/>
  <c r="B161" i="16"/>
  <c r="C161" i="16"/>
  <c r="D161" i="16"/>
  <c r="E161" i="16"/>
  <c r="B166" i="16"/>
  <c r="C166" i="16"/>
  <c r="D166" i="16"/>
  <c r="E166" i="16"/>
  <c r="B167" i="16"/>
  <c r="C167" i="16"/>
  <c r="D167" i="16"/>
  <c r="E167" i="16"/>
  <c r="B168" i="16"/>
  <c r="A170" i="16"/>
  <c r="B170" i="16"/>
  <c r="C170" i="16"/>
  <c r="D170" i="16"/>
  <c r="E170" i="16"/>
  <c r="B174" i="16"/>
  <c r="B175" i="16"/>
  <c r="B177" i="16"/>
  <c r="C177" i="16"/>
  <c r="D177" i="16"/>
  <c r="E177" i="16"/>
  <c r="B180" i="16"/>
  <c r="C180" i="16"/>
  <c r="D180" i="16"/>
  <c r="E180" i="16"/>
  <c r="B181" i="16"/>
  <c r="C181" i="16"/>
  <c r="C184" i="16" s="1"/>
  <c r="D181" i="16"/>
  <c r="E181" i="16"/>
  <c r="E184" i="16" s="1"/>
  <c r="C182" i="16"/>
  <c r="D182" i="16"/>
  <c r="E182" i="16"/>
  <c r="C183" i="16"/>
  <c r="D183" i="16"/>
  <c r="E183" i="16"/>
  <c r="D184" i="16"/>
  <c r="B188" i="16"/>
  <c r="C188" i="16"/>
  <c r="D188" i="16"/>
  <c r="E188" i="16"/>
  <c r="B189" i="16"/>
  <c r="C189" i="16"/>
  <c r="D189" i="16"/>
  <c r="E189" i="16"/>
  <c r="B190" i="16"/>
  <c r="C190" i="16"/>
  <c r="D190" i="16"/>
  <c r="E190" i="16"/>
  <c r="B192" i="16"/>
  <c r="C192" i="16"/>
  <c r="D192" i="16"/>
  <c r="E192" i="16"/>
  <c r="B194" i="16"/>
  <c r="C194" i="16"/>
  <c r="D194" i="16"/>
  <c r="E194" i="16"/>
  <c r="B195" i="16"/>
  <c r="C195" i="16"/>
  <c r="D195" i="16"/>
  <c r="E195" i="16"/>
  <c r="B196" i="16"/>
  <c r="C196" i="16"/>
  <c r="D196" i="16"/>
  <c r="E196" i="16"/>
  <c r="B197" i="16"/>
  <c r="B198" i="16"/>
  <c r="B200" i="16"/>
  <c r="C200" i="16"/>
  <c r="D200" i="16"/>
  <c r="E200" i="16"/>
  <c r="B203" i="16"/>
  <c r="C203" i="16"/>
  <c r="D203" i="16"/>
  <c r="E203" i="16"/>
  <c r="B204" i="16"/>
  <c r="C204" i="16"/>
  <c r="D204" i="16"/>
  <c r="D207" i="16" s="1"/>
  <c r="E204" i="16"/>
  <c r="C205" i="16"/>
  <c r="D205" i="16"/>
  <c r="E205" i="16"/>
  <c r="C206" i="16"/>
  <c r="D206" i="16"/>
  <c r="E206" i="16"/>
  <c r="C207" i="16"/>
  <c r="E207" i="16"/>
  <c r="B211" i="16"/>
  <c r="C211" i="16"/>
  <c r="D211" i="16"/>
  <c r="E211" i="16"/>
  <c r="B212" i="16"/>
  <c r="C212" i="16"/>
  <c r="D212" i="16"/>
  <c r="E212" i="16"/>
  <c r="B213" i="16"/>
  <c r="C213" i="16"/>
  <c r="D213" i="16"/>
  <c r="E213" i="16"/>
  <c r="B215" i="16"/>
  <c r="C215" i="16"/>
  <c r="D215" i="16"/>
  <c r="E215" i="16"/>
  <c r="B217" i="16"/>
  <c r="C217" i="16"/>
  <c r="D217" i="16"/>
  <c r="E217" i="16"/>
  <c r="B218" i="16"/>
  <c r="C218" i="16"/>
  <c r="D218" i="16"/>
  <c r="E218" i="16"/>
  <c r="B219" i="16"/>
  <c r="C219" i="16"/>
  <c r="D219" i="16"/>
  <c r="E219" i="16"/>
  <c r="B220" i="16"/>
  <c r="B221" i="16"/>
  <c r="B222" i="16"/>
  <c r="B223" i="16"/>
  <c r="C223" i="16"/>
  <c r="D223" i="16"/>
  <c r="E223" i="16"/>
  <c r="B226" i="16"/>
  <c r="C226" i="16"/>
  <c r="D226" i="16"/>
  <c r="E226" i="16"/>
  <c r="B227" i="16"/>
  <c r="C227" i="16"/>
  <c r="D227" i="16"/>
  <c r="D230" i="16" s="1"/>
  <c r="E227" i="16"/>
  <c r="C228" i="16"/>
  <c r="D228" i="16"/>
  <c r="E228" i="16"/>
  <c r="C229" i="16"/>
  <c r="D229" i="16"/>
  <c r="E229" i="16"/>
  <c r="C230" i="16"/>
  <c r="E230" i="16"/>
  <c r="B234" i="16"/>
  <c r="C234" i="16"/>
  <c r="D234" i="16"/>
  <c r="E234" i="16"/>
  <c r="B235" i="16"/>
  <c r="C235" i="16"/>
  <c r="D235" i="16"/>
  <c r="E235" i="16"/>
  <c r="B236" i="16"/>
  <c r="C236" i="16"/>
  <c r="D236" i="16"/>
  <c r="E236" i="16"/>
  <c r="B238" i="16"/>
  <c r="C238" i="16"/>
  <c r="D238" i="16"/>
  <c r="E238" i="16"/>
  <c r="B240" i="16"/>
  <c r="C240" i="16"/>
  <c r="D240" i="16"/>
  <c r="E240" i="16"/>
  <c r="B241" i="16"/>
  <c r="C241" i="16"/>
  <c r="D241" i="16"/>
  <c r="E241" i="16"/>
  <c r="B242" i="16"/>
  <c r="C242" i="16"/>
  <c r="D242" i="16"/>
  <c r="E242" i="16"/>
  <c r="B243" i="16"/>
  <c r="B244" i="16"/>
  <c r="B246" i="16"/>
  <c r="C246" i="16"/>
  <c r="D246" i="16"/>
  <c r="E246" i="16"/>
  <c r="B249" i="16"/>
  <c r="C249" i="16"/>
  <c r="D249" i="16"/>
  <c r="E249" i="16"/>
  <c r="B250" i="16"/>
  <c r="C250" i="16"/>
  <c r="D250" i="16"/>
  <c r="E250" i="16"/>
  <c r="C251" i="16"/>
  <c r="D251" i="16"/>
  <c r="E251" i="16"/>
  <c r="C252" i="16"/>
  <c r="D252" i="16"/>
  <c r="E252" i="16"/>
  <c r="C253" i="16"/>
  <c r="D253" i="16"/>
  <c r="E253" i="16"/>
  <c r="B257" i="16"/>
  <c r="C257" i="16"/>
  <c r="D257" i="16"/>
  <c r="E257" i="16"/>
  <c r="B258" i="16"/>
  <c r="C258" i="16"/>
  <c r="D258" i="16"/>
  <c r="E258" i="16"/>
  <c r="B259" i="16"/>
  <c r="C259" i="16"/>
  <c r="D259" i="16"/>
  <c r="E259" i="16"/>
  <c r="B261" i="16"/>
  <c r="C261" i="16"/>
  <c r="D261" i="16"/>
  <c r="E261" i="16"/>
  <c r="B263" i="16"/>
  <c r="C263" i="16"/>
  <c r="D263" i="16"/>
  <c r="E263" i="16"/>
  <c r="B264" i="16"/>
  <c r="C264" i="16"/>
  <c r="D264" i="16"/>
  <c r="E264" i="16"/>
  <c r="B265" i="16"/>
  <c r="C265" i="16"/>
  <c r="D265" i="16"/>
  <c r="E265" i="16"/>
  <c r="B266" i="16"/>
  <c r="B267" i="16"/>
  <c r="B268" i="16"/>
  <c r="B269" i="16"/>
  <c r="C269" i="16"/>
  <c r="D269" i="16"/>
  <c r="E269" i="16"/>
  <c r="B272" i="16"/>
  <c r="C272" i="16"/>
  <c r="D272" i="16"/>
  <c r="E272" i="16"/>
  <c r="B273" i="16"/>
  <c r="C273" i="16"/>
  <c r="D273" i="16"/>
  <c r="E273" i="16"/>
  <c r="C274" i="16"/>
  <c r="D274" i="16"/>
  <c r="E274" i="16"/>
  <c r="C275" i="16"/>
  <c r="D275" i="16"/>
  <c r="E275" i="16"/>
  <c r="C276" i="16"/>
  <c r="D276" i="16"/>
  <c r="E276" i="16"/>
  <c r="B280" i="16"/>
  <c r="C280" i="16"/>
  <c r="D280" i="16"/>
  <c r="E280" i="16"/>
  <c r="B281" i="16"/>
  <c r="C281" i="16"/>
  <c r="D281" i="16"/>
  <c r="E281" i="16"/>
  <c r="B282" i="16"/>
  <c r="C282" i="16"/>
  <c r="D282" i="16"/>
  <c r="E282" i="16"/>
  <c r="B287" i="16"/>
  <c r="C287" i="16"/>
  <c r="D287" i="16"/>
  <c r="E287" i="16"/>
  <c r="B288" i="16"/>
  <c r="C288" i="16"/>
  <c r="D288" i="16"/>
  <c r="E288" i="16"/>
  <c r="B289" i="16"/>
  <c r="A291" i="16"/>
  <c r="B295" i="16"/>
  <c r="B296" i="16"/>
  <c r="B297" i="16"/>
  <c r="B298" i="16"/>
  <c r="C298" i="16"/>
  <c r="D298" i="16"/>
  <c r="E298" i="16"/>
  <c r="B301" i="16"/>
  <c r="C301" i="16"/>
  <c r="D301" i="16"/>
  <c r="E301" i="16"/>
  <c r="B302" i="16"/>
  <c r="C302" i="16"/>
  <c r="D302" i="16"/>
  <c r="E302" i="16"/>
  <c r="C303" i="16"/>
  <c r="D303" i="16"/>
  <c r="E303" i="16"/>
  <c r="C304" i="16"/>
  <c r="D304" i="16"/>
  <c r="E304" i="16"/>
  <c r="C305" i="16"/>
  <c r="D305" i="16"/>
  <c r="E305" i="16"/>
  <c r="B309" i="16"/>
  <c r="C309" i="16"/>
  <c r="D309" i="16"/>
  <c r="E309" i="16"/>
  <c r="B310" i="16"/>
  <c r="C310" i="16"/>
  <c r="D310" i="16"/>
  <c r="E310" i="16"/>
  <c r="B311" i="16"/>
  <c r="C311" i="16"/>
  <c r="D311" i="16"/>
  <c r="E311" i="16"/>
  <c r="B313" i="16"/>
  <c r="C313" i="16"/>
  <c r="D313" i="16"/>
  <c r="E313" i="16"/>
  <c r="B315" i="16"/>
  <c r="C315" i="16"/>
  <c r="D315" i="16"/>
  <c r="E315" i="16"/>
  <c r="B316" i="16"/>
  <c r="C316" i="16"/>
  <c r="D316" i="16"/>
  <c r="E316" i="16"/>
  <c r="B317" i="16"/>
  <c r="C317" i="16"/>
  <c r="D317" i="16"/>
  <c r="E317" i="16"/>
  <c r="B318" i="16"/>
  <c r="B319" i="16"/>
  <c r="B320" i="16"/>
  <c r="B321" i="16"/>
  <c r="C321" i="16"/>
  <c r="D321" i="16"/>
  <c r="E321" i="16"/>
  <c r="B324" i="16"/>
  <c r="C324" i="16"/>
  <c r="D324" i="16"/>
  <c r="E324" i="16"/>
  <c r="B325" i="16"/>
  <c r="C325" i="16"/>
  <c r="D325" i="16"/>
  <c r="E325" i="16"/>
  <c r="C326" i="16"/>
  <c r="D326" i="16"/>
  <c r="E326" i="16"/>
  <c r="C327" i="16"/>
  <c r="D327" i="16"/>
  <c r="E327" i="16"/>
  <c r="C328" i="16"/>
  <c r="D328" i="16"/>
  <c r="E328" i="16"/>
  <c r="B332" i="16"/>
  <c r="C332" i="16"/>
  <c r="D332" i="16"/>
  <c r="E332" i="16"/>
  <c r="B333" i="16"/>
  <c r="C333" i="16"/>
  <c r="D333" i="16"/>
  <c r="E333" i="16"/>
  <c r="B334" i="16"/>
  <c r="C334" i="16"/>
  <c r="D334" i="16"/>
  <c r="E334" i="16"/>
  <c r="B336" i="16"/>
  <c r="C336" i="16"/>
  <c r="D336" i="16"/>
  <c r="E336" i="16"/>
  <c r="B339" i="16"/>
  <c r="C339" i="16"/>
  <c r="D339" i="16"/>
  <c r="E339" i="16"/>
  <c r="B340" i="16"/>
  <c r="C340" i="16"/>
  <c r="D340" i="16"/>
  <c r="E340" i="16"/>
  <c r="B341" i="16"/>
  <c r="B342" i="16"/>
  <c r="B343" i="16"/>
  <c r="B344" i="16"/>
  <c r="C344" i="16"/>
  <c r="D344" i="16"/>
  <c r="E344" i="16"/>
  <c r="B347" i="16"/>
  <c r="B348" i="16"/>
  <c r="C349" i="16"/>
  <c r="D349" i="16"/>
  <c r="E349" i="16"/>
  <c r="B355" i="16"/>
  <c r="C355" i="16"/>
  <c r="D355" i="16"/>
  <c r="E355" i="16"/>
  <c r="B356" i="16"/>
  <c r="C356" i="16"/>
  <c r="D356" i="16"/>
  <c r="E356" i="16"/>
  <c r="B357" i="16"/>
  <c r="C357" i="16"/>
  <c r="D357" i="16"/>
  <c r="E357" i="16"/>
  <c r="B359" i="16"/>
  <c r="C359" i="16"/>
  <c r="D359" i="16"/>
  <c r="E359" i="16"/>
  <c r="B362" i="16"/>
  <c r="C362" i="16"/>
  <c r="C347" i="16" s="1"/>
  <c r="D362" i="16"/>
  <c r="D347" i="16" s="1"/>
  <c r="E362" i="16"/>
  <c r="E347" i="16" s="1"/>
  <c r="B363" i="16"/>
  <c r="B364" i="16"/>
  <c r="B365" i="16"/>
  <c r="B366" i="16"/>
  <c r="B367" i="16"/>
  <c r="C367" i="16"/>
  <c r="D367" i="16"/>
  <c r="E367" i="16"/>
  <c r="B370" i="16"/>
  <c r="C370" i="16"/>
  <c r="D370" i="16"/>
  <c r="E370" i="16"/>
  <c r="B371" i="16"/>
  <c r="C371" i="16"/>
  <c r="D371" i="16"/>
  <c r="E371" i="16"/>
  <c r="C372" i="16"/>
  <c r="D372" i="16"/>
  <c r="E372" i="16"/>
  <c r="C373" i="16"/>
  <c r="D373" i="16"/>
  <c r="E373" i="16"/>
  <c r="C374" i="16"/>
  <c r="D374" i="16"/>
  <c r="E374" i="16"/>
  <c r="B378" i="16"/>
  <c r="C378" i="16"/>
  <c r="D378" i="16"/>
  <c r="E378" i="16"/>
  <c r="B379" i="16"/>
  <c r="C379" i="16"/>
  <c r="D379" i="16"/>
  <c r="E379" i="16"/>
  <c r="B380" i="16"/>
  <c r="C380" i="16"/>
  <c r="D380" i="16"/>
  <c r="E380" i="16"/>
  <c r="B382" i="16"/>
  <c r="C382" i="16"/>
  <c r="D382" i="16"/>
  <c r="E382" i="16"/>
  <c r="B385" i="16"/>
  <c r="C385" i="16"/>
  <c r="D385" i="16"/>
  <c r="E385" i="16"/>
  <c r="B386" i="16"/>
  <c r="C386" i="16"/>
  <c r="D386" i="16"/>
  <c r="E386" i="16"/>
  <c r="B387" i="16"/>
  <c r="B388" i="16"/>
  <c r="B390" i="16"/>
  <c r="C390" i="16"/>
  <c r="D390" i="16"/>
  <c r="E390" i="16"/>
  <c r="B393" i="16"/>
  <c r="C393" i="16"/>
  <c r="D393" i="16"/>
  <c r="E393" i="16"/>
  <c r="B394" i="16"/>
  <c r="C394" i="16"/>
  <c r="D394" i="16"/>
  <c r="E394" i="16"/>
  <c r="C395" i="16"/>
  <c r="D395" i="16"/>
  <c r="E395" i="16"/>
  <c r="C396" i="16"/>
  <c r="D396" i="16"/>
  <c r="E396" i="16"/>
  <c r="C397" i="16"/>
  <c r="D397" i="16"/>
  <c r="E397" i="16"/>
  <c r="B401" i="16"/>
  <c r="C401" i="16"/>
  <c r="D401" i="16"/>
  <c r="E401" i="16"/>
  <c r="B402" i="16"/>
  <c r="C402" i="16"/>
  <c r="D402" i="16"/>
  <c r="E402" i="16"/>
  <c r="B403" i="16"/>
  <c r="C403" i="16"/>
  <c r="D403" i="16"/>
  <c r="E403" i="16"/>
  <c r="B405" i="16"/>
  <c r="C405" i="16"/>
  <c r="D405" i="16"/>
  <c r="E405" i="16"/>
  <c r="B408" i="16"/>
  <c r="C408" i="16"/>
  <c r="D408" i="16"/>
  <c r="E408" i="16"/>
  <c r="B409" i="16"/>
  <c r="C409" i="16"/>
  <c r="D409" i="16"/>
  <c r="E409" i="16"/>
  <c r="B410" i="16"/>
  <c r="B411" i="16"/>
  <c r="B412" i="16"/>
  <c r="B413" i="16"/>
  <c r="C413" i="16"/>
  <c r="D413" i="16"/>
  <c r="E413" i="16"/>
  <c r="B416" i="16"/>
  <c r="C416" i="16"/>
  <c r="D416" i="16"/>
  <c r="E416" i="16"/>
  <c r="B417" i="16"/>
  <c r="C417" i="16"/>
  <c r="D417" i="16"/>
  <c r="E417" i="16"/>
  <c r="C418" i="16"/>
  <c r="D418" i="16"/>
  <c r="E418" i="16"/>
  <c r="C419" i="16"/>
  <c r="D419" i="16"/>
  <c r="E419" i="16"/>
  <c r="C420" i="16"/>
  <c r="D420" i="16"/>
  <c r="E420" i="16"/>
  <c r="B424" i="16"/>
  <c r="C424" i="16"/>
  <c r="D424" i="16"/>
  <c r="E424" i="16"/>
  <c r="B425" i="16"/>
  <c r="C425" i="16"/>
  <c r="D425" i="16"/>
  <c r="E425" i="16"/>
  <c r="B426" i="16"/>
  <c r="C426" i="16"/>
  <c r="D426" i="16"/>
  <c r="E426" i="16"/>
  <c r="B428" i="16"/>
  <c r="C428" i="16"/>
  <c r="D428" i="16"/>
  <c r="E428" i="16"/>
  <c r="B431" i="16"/>
  <c r="C431" i="16"/>
  <c r="D431" i="16"/>
  <c r="E431" i="16"/>
  <c r="B432" i="16"/>
  <c r="C432" i="16"/>
  <c r="D432" i="16"/>
  <c r="E432" i="16"/>
  <c r="B433" i="16"/>
  <c r="B434" i="16"/>
  <c r="B435" i="16"/>
  <c r="B436" i="16"/>
  <c r="C436" i="16"/>
  <c r="D436" i="16"/>
  <c r="E436" i="16"/>
  <c r="B439" i="16"/>
  <c r="B440" i="16"/>
  <c r="C441" i="16"/>
  <c r="D441" i="16"/>
  <c r="E441" i="16"/>
  <c r="B447" i="16"/>
  <c r="C447" i="16"/>
  <c r="D447" i="16"/>
  <c r="E447" i="16"/>
  <c r="B448" i="16"/>
  <c r="C448" i="16"/>
  <c r="D448" i="16"/>
  <c r="E448" i="16"/>
  <c r="B449" i="16"/>
  <c r="C449" i="16"/>
  <c r="D449" i="16"/>
  <c r="E449" i="16"/>
  <c r="B451" i="16"/>
  <c r="C451" i="16"/>
  <c r="D451" i="16"/>
  <c r="E451" i="16"/>
  <c r="B454" i="16"/>
  <c r="C454" i="16"/>
  <c r="C439" i="16" s="1"/>
  <c r="D454" i="16"/>
  <c r="D439" i="16" s="1"/>
  <c r="E454" i="16"/>
  <c r="E439" i="16" s="1"/>
  <c r="B455" i="16"/>
  <c r="B456" i="16"/>
  <c r="B457" i="16"/>
  <c r="B458" i="16"/>
  <c r="B459" i="16"/>
  <c r="C459" i="16"/>
  <c r="D459" i="16"/>
  <c r="E459" i="16"/>
  <c r="B462" i="16"/>
  <c r="C462" i="16"/>
  <c r="D462" i="16"/>
  <c r="E462" i="16"/>
  <c r="B463" i="16"/>
  <c r="C463" i="16"/>
  <c r="D463" i="16"/>
  <c r="E463" i="16"/>
  <c r="C464" i="16"/>
  <c r="D464" i="16"/>
  <c r="E464" i="16"/>
  <c r="C465" i="16"/>
  <c r="D465" i="16"/>
  <c r="E465" i="16"/>
  <c r="C466" i="16"/>
  <c r="D466" i="16"/>
  <c r="E466" i="16"/>
  <c r="B470" i="16"/>
  <c r="C470" i="16"/>
  <c r="D470" i="16"/>
  <c r="E470" i="16"/>
  <c r="B471" i="16"/>
  <c r="C471" i="16"/>
  <c r="D471" i="16"/>
  <c r="E471" i="16"/>
  <c r="B472" i="16"/>
  <c r="C472" i="16"/>
  <c r="D472" i="16"/>
  <c r="E472" i="16"/>
  <c r="B474" i="16"/>
  <c r="C474" i="16"/>
  <c r="D474" i="16"/>
  <c r="E474" i="16"/>
  <c r="B477" i="16"/>
  <c r="C477" i="16"/>
  <c r="D477" i="16"/>
  <c r="E477" i="16"/>
  <c r="B478" i="16"/>
  <c r="C478" i="16"/>
  <c r="D478" i="16"/>
  <c r="E478" i="16"/>
  <c r="B479" i="16"/>
  <c r="B480" i="16"/>
  <c r="B481" i="16"/>
  <c r="B482" i="16"/>
  <c r="C482" i="16"/>
  <c r="D482" i="16"/>
  <c r="E482" i="16"/>
  <c r="B485" i="16"/>
  <c r="C485" i="16"/>
  <c r="D485" i="16"/>
  <c r="E485" i="16"/>
  <c r="B486" i="16"/>
  <c r="C486" i="16"/>
  <c r="D486" i="16"/>
  <c r="E486" i="16"/>
  <c r="C487" i="16"/>
  <c r="D487" i="16"/>
  <c r="E487" i="16"/>
  <c r="C488" i="16"/>
  <c r="D488" i="16"/>
  <c r="E488" i="16"/>
  <c r="C489" i="16"/>
  <c r="D489" i="16"/>
  <c r="E489" i="16"/>
  <c r="B493" i="16"/>
  <c r="C493" i="16"/>
  <c r="D493" i="16"/>
  <c r="E493" i="16"/>
  <c r="B494" i="16"/>
  <c r="C494" i="16"/>
  <c r="D494" i="16"/>
  <c r="E494" i="16"/>
  <c r="B495" i="16"/>
  <c r="C495" i="16"/>
  <c r="D495" i="16"/>
  <c r="E495" i="16"/>
  <c r="B497" i="16"/>
  <c r="C497" i="16"/>
  <c r="D497" i="16"/>
  <c r="E497" i="16"/>
  <c r="B500" i="16"/>
  <c r="C500" i="16"/>
  <c r="D500" i="16"/>
  <c r="E500" i="16"/>
  <c r="B501" i="16"/>
  <c r="C501" i="16"/>
  <c r="D501" i="16"/>
  <c r="E501" i="16"/>
  <c r="B502" i="16"/>
  <c r="B503" i="16"/>
  <c r="B505" i="16"/>
  <c r="C505" i="16"/>
  <c r="D505" i="16"/>
  <c r="E505" i="16"/>
  <c r="B508" i="16"/>
  <c r="C508" i="16"/>
  <c r="D508" i="16"/>
  <c r="E508" i="16"/>
  <c r="B509" i="16"/>
  <c r="C509" i="16"/>
  <c r="D509" i="16"/>
  <c r="E509" i="16"/>
  <c r="C510" i="16"/>
  <c r="D510" i="16"/>
  <c r="E510" i="16"/>
  <c r="C511" i="16"/>
  <c r="D511" i="16"/>
  <c r="E511" i="16"/>
  <c r="C512" i="16"/>
  <c r="D512" i="16"/>
  <c r="E512" i="16"/>
  <c r="B516" i="16"/>
  <c r="C516" i="16"/>
  <c r="D516" i="16"/>
  <c r="E516" i="16"/>
  <c r="B517" i="16"/>
  <c r="C517" i="16"/>
  <c r="D517" i="16"/>
  <c r="E517" i="16"/>
  <c r="B518" i="16"/>
  <c r="C518" i="16"/>
  <c r="D518" i="16"/>
  <c r="E518" i="16"/>
  <c r="B520" i="16"/>
  <c r="C520" i="16"/>
  <c r="D520" i="16"/>
  <c r="E520" i="16"/>
  <c r="B523" i="16"/>
  <c r="C523" i="16"/>
  <c r="D523" i="16"/>
  <c r="E523" i="16"/>
  <c r="B524" i="16"/>
  <c r="C524" i="16"/>
  <c r="D524" i="16"/>
  <c r="E524" i="16"/>
  <c r="B525" i="16"/>
  <c r="B526" i="16"/>
  <c r="B528" i="16"/>
  <c r="C528" i="16"/>
  <c r="D528" i="16"/>
  <c r="E528" i="16"/>
  <c r="B531" i="16"/>
  <c r="C531" i="16"/>
  <c r="D531" i="16"/>
  <c r="E531" i="16"/>
  <c r="B532" i="16"/>
  <c r="C532" i="16"/>
  <c r="D532" i="16"/>
  <c r="E532" i="16"/>
  <c r="C533" i="16"/>
  <c r="D533" i="16"/>
  <c r="E533" i="16"/>
  <c r="C534" i="16"/>
  <c r="D534" i="16"/>
  <c r="E534" i="16"/>
  <c r="C535" i="16"/>
  <c r="D535" i="16"/>
  <c r="E535" i="16"/>
  <c r="B539" i="16"/>
  <c r="C539" i="16"/>
  <c r="D539" i="16"/>
  <c r="E539" i="16"/>
  <c r="B540" i="16"/>
  <c r="C540" i="16"/>
  <c r="D540" i="16"/>
  <c r="E540" i="16"/>
  <c r="B541" i="16"/>
  <c r="C541" i="16"/>
  <c r="D541" i="16"/>
  <c r="E541" i="16"/>
  <c r="B543" i="16"/>
  <c r="C543" i="16"/>
  <c r="D543" i="16"/>
  <c r="E543" i="16"/>
  <c r="B546" i="16"/>
  <c r="C546" i="16"/>
  <c r="D546" i="16"/>
  <c r="E546" i="16"/>
  <c r="B547" i="16"/>
  <c r="C547" i="16"/>
  <c r="D547" i="16"/>
  <c r="E547" i="16"/>
  <c r="B548" i="16"/>
  <c r="B549" i="16"/>
  <c r="B550" i="16"/>
  <c r="B551" i="16"/>
  <c r="C551" i="16"/>
  <c r="D551" i="16"/>
  <c r="E551" i="16"/>
  <c r="B554" i="16"/>
  <c r="C554" i="16"/>
  <c r="D554" i="16"/>
  <c r="E554" i="16"/>
  <c r="B555" i="16"/>
  <c r="C555" i="16"/>
  <c r="D555" i="16"/>
  <c r="E555" i="16"/>
  <c r="C556" i="16"/>
  <c r="D556" i="16"/>
  <c r="E556" i="16"/>
  <c r="C557" i="16"/>
  <c r="D557" i="16"/>
  <c r="E557" i="16"/>
  <c r="C558" i="16"/>
  <c r="D558" i="16"/>
  <c r="E558" i="16"/>
  <c r="B562" i="16"/>
  <c r="C562" i="16"/>
  <c r="D562" i="16"/>
  <c r="E562" i="16"/>
  <c r="B563" i="16"/>
  <c r="C563" i="16"/>
  <c r="D563" i="16"/>
  <c r="E563" i="16"/>
  <c r="B564" i="16"/>
  <c r="C564" i="16"/>
  <c r="D564" i="16"/>
  <c r="E564" i="16"/>
  <c r="B566" i="16"/>
  <c r="C566" i="16"/>
  <c r="D566" i="16"/>
  <c r="E566" i="16"/>
  <c r="B569" i="16"/>
  <c r="C569" i="16"/>
  <c r="D569" i="16"/>
  <c r="E569" i="16"/>
  <c r="B570" i="16"/>
  <c r="C570" i="16"/>
  <c r="D570" i="16"/>
  <c r="E570" i="16"/>
  <c r="B571" i="16"/>
  <c r="B572" i="16"/>
  <c r="B573" i="16"/>
  <c r="B574" i="16"/>
  <c r="C574" i="16"/>
  <c r="D574" i="16"/>
  <c r="E574" i="16"/>
  <c r="B577" i="16"/>
  <c r="C577" i="16"/>
  <c r="D577" i="16"/>
  <c r="E577" i="16"/>
  <c r="B578" i="16"/>
  <c r="C578" i="16"/>
  <c r="D578" i="16"/>
  <c r="E578" i="16"/>
  <c r="C579" i="16"/>
  <c r="D579" i="16"/>
  <c r="E579" i="16"/>
  <c r="C580" i="16"/>
  <c r="D580" i="16"/>
  <c r="E580" i="16"/>
  <c r="C581" i="16"/>
  <c r="D581" i="16"/>
  <c r="E581" i="16"/>
  <c r="B585" i="16"/>
  <c r="C585" i="16"/>
  <c r="D585" i="16"/>
  <c r="E585" i="16"/>
  <c r="B586" i="16"/>
  <c r="C586" i="16"/>
  <c r="D586" i="16"/>
  <c r="E586" i="16"/>
  <c r="B587" i="16"/>
  <c r="C587" i="16"/>
  <c r="D587" i="16"/>
  <c r="E587" i="16"/>
  <c r="B592" i="16"/>
  <c r="C592" i="16"/>
  <c r="D592" i="16"/>
  <c r="E592" i="16"/>
  <c r="B593" i="16"/>
  <c r="C593" i="16"/>
  <c r="D593" i="16"/>
  <c r="E593" i="16"/>
  <c r="B595" i="16"/>
  <c r="B598" i="16"/>
  <c r="B596" i="16" s="1"/>
  <c r="B616" i="16" s="1"/>
  <c r="C598" i="16"/>
  <c r="C596" i="16" s="1"/>
  <c r="D598" i="16"/>
  <c r="D596" i="16" s="1"/>
  <c r="E598" i="16"/>
  <c r="E596" i="16" s="1"/>
  <c r="C599" i="16"/>
  <c r="D599" i="16"/>
  <c r="B600" i="16"/>
  <c r="C600" i="16"/>
  <c r="D600" i="16"/>
  <c r="D601" i="16" s="1"/>
  <c r="E600" i="16"/>
  <c r="C601" i="16"/>
  <c r="E601" i="16"/>
  <c r="B602" i="16"/>
  <c r="C602" i="16"/>
  <c r="D602" i="16"/>
  <c r="E602" i="16"/>
  <c r="E603" i="16" s="1"/>
  <c r="C603" i="16"/>
  <c r="D603" i="16"/>
  <c r="B604" i="16"/>
  <c r="C604" i="16"/>
  <c r="D604" i="16"/>
  <c r="E604" i="16"/>
  <c r="B606" i="16"/>
  <c r="C606" i="16"/>
  <c r="D606" i="16"/>
  <c r="D607" i="16" s="1"/>
  <c r="E606" i="16"/>
  <c r="C607" i="16"/>
  <c r="E607" i="16"/>
  <c r="B608" i="16"/>
  <c r="C608" i="16"/>
  <c r="D608" i="16"/>
  <c r="E608" i="16"/>
  <c r="B610" i="16"/>
  <c r="C610" i="16"/>
  <c r="D610" i="16"/>
  <c r="E610" i="16"/>
  <c r="E611" i="16" s="1"/>
  <c r="C611" i="16"/>
  <c r="D611" i="16"/>
  <c r="B617" i="16"/>
  <c r="C617" i="16"/>
  <c r="D617" i="16"/>
  <c r="E617" i="16"/>
  <c r="D597" i="16" l="1"/>
  <c r="D440" i="16"/>
  <c r="D442" i="16"/>
  <c r="D455" i="16"/>
  <c r="D363" i="16"/>
  <c r="D348" i="16"/>
  <c r="D351" i="16" s="1"/>
  <c r="D350" i="16"/>
  <c r="D83" i="16"/>
  <c r="D85" i="16"/>
  <c r="D98" i="16"/>
  <c r="D595" i="16"/>
  <c r="D616" i="16" s="1"/>
  <c r="E616" i="16"/>
  <c r="E597" i="16"/>
  <c r="C616" i="16"/>
  <c r="C597" i="16"/>
  <c r="E455" i="16"/>
  <c r="E440" i="16"/>
  <c r="E442" i="16"/>
  <c r="C455" i="16"/>
  <c r="C440" i="16"/>
  <c r="C443" i="16" s="1"/>
  <c r="C442" i="16"/>
  <c r="E348" i="16"/>
  <c r="E351" i="16" s="1"/>
  <c r="E350" i="16"/>
  <c r="E363" i="16"/>
  <c r="C348" i="16"/>
  <c r="C351" i="16" s="1"/>
  <c r="C350" i="16"/>
  <c r="C363" i="16"/>
  <c r="E98" i="16"/>
  <c r="E595" i="16"/>
  <c r="E83" i="16"/>
  <c r="E86" i="16" s="1"/>
  <c r="E85" i="16"/>
  <c r="C98" i="16"/>
  <c r="C595" i="16"/>
  <c r="C83" i="16"/>
  <c r="C86" i="16" s="1"/>
  <c r="C85" i="16"/>
  <c r="E599" i="16"/>
  <c r="E443" i="16" l="1"/>
  <c r="D86" i="16"/>
  <c r="D443" i="16"/>
  <c r="E110" i="15" l="1"/>
  <c r="D110" i="15"/>
  <c r="C110" i="15"/>
  <c r="B110" i="15"/>
  <c r="E61" i="15"/>
  <c r="E62" i="15" s="1"/>
  <c r="D61" i="15"/>
  <c r="D62" i="15" s="1"/>
  <c r="C61" i="15"/>
  <c r="C62" i="15" s="1"/>
  <c r="B61" i="15"/>
  <c r="B62" i="15" s="1"/>
  <c r="E168" i="14" l="1"/>
  <c r="D168" i="14"/>
  <c r="E169" i="14" s="1"/>
  <c r="C168" i="14"/>
  <c r="B168" i="14"/>
  <c r="C169" i="14" s="1"/>
  <c r="E166" i="14"/>
  <c r="E167" i="14" s="1"/>
  <c r="D166" i="14"/>
  <c r="C166" i="14"/>
  <c r="D167" i="14" s="1"/>
  <c r="B166" i="14"/>
  <c r="E164" i="14"/>
  <c r="D164" i="14"/>
  <c r="E165" i="14" s="1"/>
  <c r="C164" i="14"/>
  <c r="B164" i="14"/>
  <c r="C165" i="14" s="1"/>
  <c r="E162" i="14"/>
  <c r="E163" i="14" s="1"/>
  <c r="D162" i="14"/>
  <c r="C162" i="14"/>
  <c r="D163" i="14" s="1"/>
  <c r="B162" i="14"/>
  <c r="D160" i="14"/>
  <c r="D170" i="14" s="1"/>
  <c r="B160" i="14"/>
  <c r="B170" i="14" s="1"/>
  <c r="E159" i="14"/>
  <c r="D159" i="14"/>
  <c r="C159" i="14"/>
  <c r="B159" i="14"/>
  <c r="E156" i="14"/>
  <c r="E157" i="14" s="1"/>
  <c r="D156" i="14"/>
  <c r="D157" i="14" s="1"/>
  <c r="C156" i="14"/>
  <c r="C157" i="14" s="1"/>
  <c r="B156" i="14"/>
  <c r="B157" i="14" s="1"/>
  <c r="E142" i="14"/>
  <c r="D142" i="14"/>
  <c r="C142" i="14"/>
  <c r="E141" i="14"/>
  <c r="D141" i="14"/>
  <c r="C141" i="14"/>
  <c r="E140" i="14"/>
  <c r="E143" i="14" s="1"/>
  <c r="D140" i="14"/>
  <c r="C140" i="14"/>
  <c r="D143" i="14" s="1"/>
  <c r="B140" i="14"/>
  <c r="E126" i="14"/>
  <c r="D126" i="14"/>
  <c r="C126" i="14"/>
  <c r="B126" i="14"/>
  <c r="E120" i="14"/>
  <c r="D120" i="14"/>
  <c r="C120" i="14"/>
  <c r="E119" i="14"/>
  <c r="D119" i="14"/>
  <c r="C119" i="14"/>
  <c r="E118" i="14"/>
  <c r="D118" i="14"/>
  <c r="E121" i="14" s="1"/>
  <c r="C118" i="14"/>
  <c r="B118" i="14"/>
  <c r="C121" i="14" s="1"/>
  <c r="E106" i="14"/>
  <c r="E107" i="14" s="1"/>
  <c r="D106" i="14"/>
  <c r="D107" i="14" s="1"/>
  <c r="C106" i="14"/>
  <c r="C107" i="14" s="1"/>
  <c r="B106" i="14"/>
  <c r="B107" i="14" s="1"/>
  <c r="E94" i="14"/>
  <c r="D94" i="14"/>
  <c r="C94" i="14"/>
  <c r="E93" i="14"/>
  <c r="D93" i="14"/>
  <c r="C93" i="14"/>
  <c r="E92" i="14"/>
  <c r="E95" i="14" s="1"/>
  <c r="D92" i="14"/>
  <c r="C92" i="14"/>
  <c r="D95" i="14" s="1"/>
  <c r="B92" i="14"/>
  <c r="E83" i="14"/>
  <c r="E84" i="14" s="1"/>
  <c r="D83" i="14"/>
  <c r="D84" i="14" s="1"/>
  <c r="C83" i="14"/>
  <c r="C84" i="14" s="1"/>
  <c r="B83" i="14"/>
  <c r="B84" i="14" s="1"/>
  <c r="E71" i="14"/>
  <c r="D71" i="14"/>
  <c r="C71" i="14"/>
  <c r="E70" i="14"/>
  <c r="D70" i="14"/>
  <c r="C70" i="14"/>
  <c r="E69" i="14"/>
  <c r="D69" i="14"/>
  <c r="E72" i="14" s="1"/>
  <c r="C69" i="14"/>
  <c r="B69" i="14"/>
  <c r="C72" i="14" s="1"/>
  <c r="E60" i="14"/>
  <c r="E61" i="14" s="1"/>
  <c r="D60" i="14"/>
  <c r="D61" i="14" s="1"/>
  <c r="C60" i="14"/>
  <c r="C61" i="14" s="1"/>
  <c r="B60" i="14"/>
  <c r="B61" i="14" s="1"/>
  <c r="E48" i="14"/>
  <c r="D48" i="14"/>
  <c r="C48" i="14"/>
  <c r="E47" i="14"/>
  <c r="D47" i="14"/>
  <c r="C47" i="14"/>
  <c r="E46" i="14"/>
  <c r="E49" i="14" s="1"/>
  <c r="D46" i="14"/>
  <c r="C46" i="14"/>
  <c r="C49" i="14" s="1"/>
  <c r="B46" i="14"/>
  <c r="D49" i="14" l="1"/>
  <c r="D72" i="14"/>
  <c r="C95" i="14"/>
  <c r="D121" i="14"/>
  <c r="C143" i="14"/>
  <c r="C160" i="14"/>
  <c r="E160" i="14"/>
  <c r="D161" i="14"/>
  <c r="C163" i="14"/>
  <c r="D165" i="14"/>
  <c r="C167" i="14"/>
  <c r="D169" i="14"/>
  <c r="E170" i="14" l="1"/>
  <c r="E161" i="14"/>
  <c r="C170" i="14"/>
  <c r="C161" i="14"/>
  <c r="B122" i="12" l="1"/>
  <c r="C122" i="12"/>
  <c r="D122" i="12"/>
  <c r="E122" i="12"/>
  <c r="C123" i="12"/>
  <c r="D123" i="12"/>
  <c r="E123" i="12"/>
  <c r="C124" i="12"/>
  <c r="D124" i="12"/>
  <c r="E124" i="12"/>
  <c r="D125" i="12"/>
  <c r="B131" i="12"/>
  <c r="C131" i="12"/>
  <c r="D131" i="12"/>
  <c r="E131" i="12"/>
  <c r="B142" i="12"/>
  <c r="C142" i="12"/>
  <c r="C145" i="12" s="1"/>
  <c r="D142" i="12"/>
  <c r="E142" i="12"/>
  <c r="C143" i="12"/>
  <c r="D143" i="12"/>
  <c r="E143" i="12"/>
  <c r="C144" i="12"/>
  <c r="D144" i="12"/>
  <c r="E144" i="12"/>
  <c r="E145" i="12"/>
  <c r="B151" i="12"/>
  <c r="C151" i="12"/>
  <c r="D151" i="12"/>
  <c r="E151" i="12"/>
  <c r="B160" i="12"/>
  <c r="C160" i="12"/>
  <c r="C163" i="12" s="1"/>
  <c r="D160" i="12"/>
  <c r="E160" i="12"/>
  <c r="E163" i="12" s="1"/>
  <c r="C161" i="12"/>
  <c r="D161" i="12"/>
  <c r="E161" i="12"/>
  <c r="C162" i="12"/>
  <c r="D162" i="12"/>
  <c r="E162" i="12"/>
  <c r="B169" i="12"/>
  <c r="C169" i="12"/>
  <c r="D169" i="12"/>
  <c r="E169" i="12"/>
  <c r="E392" i="12"/>
  <c r="D392" i="12"/>
  <c r="C392" i="12"/>
  <c r="B392" i="12"/>
  <c r="E388" i="12"/>
  <c r="D388" i="12"/>
  <c r="C388" i="12"/>
  <c r="B388" i="12"/>
  <c r="E386" i="12"/>
  <c r="D386" i="12"/>
  <c r="C386" i="12"/>
  <c r="B386" i="12"/>
  <c r="E384" i="12"/>
  <c r="D384" i="12"/>
  <c r="C384" i="12"/>
  <c r="B384" i="12"/>
  <c r="B373" i="12"/>
  <c r="E372" i="12"/>
  <c r="E373" i="12" s="1"/>
  <c r="D372" i="12"/>
  <c r="D373" i="12" s="1"/>
  <c r="C372" i="12"/>
  <c r="C373" i="12" s="1"/>
  <c r="E365" i="12"/>
  <c r="D365" i="12"/>
  <c r="C365" i="12"/>
  <c r="B364" i="12"/>
  <c r="E363" i="12"/>
  <c r="D363" i="12"/>
  <c r="C363" i="12"/>
  <c r="C366" i="12" s="1"/>
  <c r="E354" i="12"/>
  <c r="E355" i="12" s="1"/>
  <c r="D354" i="12"/>
  <c r="D355" i="12" s="1"/>
  <c r="C354" i="12"/>
  <c r="C355" i="12" s="1"/>
  <c r="B354" i="12"/>
  <c r="B355" i="12" s="1"/>
  <c r="E347" i="12"/>
  <c r="D347" i="12"/>
  <c r="C347" i="12"/>
  <c r="E345" i="12"/>
  <c r="D345" i="12"/>
  <c r="C345" i="12"/>
  <c r="B345" i="12"/>
  <c r="B346" i="12" s="1"/>
  <c r="E335" i="12"/>
  <c r="D335" i="12"/>
  <c r="C335" i="12"/>
  <c r="B335" i="12"/>
  <c r="E328" i="12"/>
  <c r="D328" i="12"/>
  <c r="C328" i="12"/>
  <c r="E327" i="12"/>
  <c r="D327" i="12"/>
  <c r="C327" i="12"/>
  <c r="E326" i="12"/>
  <c r="D326" i="12"/>
  <c r="C326" i="12"/>
  <c r="B326" i="12"/>
  <c r="E316" i="12"/>
  <c r="E317" i="12" s="1"/>
  <c r="D316" i="12"/>
  <c r="D317" i="12" s="1"/>
  <c r="C316" i="12"/>
  <c r="C317" i="12" s="1"/>
  <c r="B316" i="12"/>
  <c r="B317" i="12" s="1"/>
  <c r="E309" i="12"/>
  <c r="D309" i="12"/>
  <c r="C309" i="12"/>
  <c r="E307" i="12"/>
  <c r="D307" i="12"/>
  <c r="C307" i="12"/>
  <c r="B307" i="12"/>
  <c r="B308" i="12" s="1"/>
  <c r="E291" i="12"/>
  <c r="D291" i="12"/>
  <c r="C291" i="12"/>
  <c r="B291" i="12"/>
  <c r="E290" i="12"/>
  <c r="D290" i="12"/>
  <c r="B290" i="12"/>
  <c r="E289" i="12"/>
  <c r="D289" i="12"/>
  <c r="C289" i="12"/>
  <c r="C290" i="12" s="1"/>
  <c r="B289" i="12"/>
  <c r="E283" i="12"/>
  <c r="D283" i="12"/>
  <c r="C283" i="12"/>
  <c r="E281" i="12"/>
  <c r="D281" i="12"/>
  <c r="C281" i="12"/>
  <c r="B281" i="12"/>
  <c r="B282" i="12" s="1"/>
  <c r="E268" i="12"/>
  <c r="D268" i="12"/>
  <c r="C268" i="12"/>
  <c r="B268" i="12"/>
  <c r="E267" i="12"/>
  <c r="D267" i="12"/>
  <c r="C267" i="12"/>
  <c r="B267" i="12"/>
  <c r="E266" i="12"/>
  <c r="D266" i="12"/>
  <c r="C266" i="12"/>
  <c r="B266" i="12"/>
  <c r="E260" i="12"/>
  <c r="D260" i="12"/>
  <c r="C260" i="12"/>
  <c r="E258" i="12"/>
  <c r="D258" i="12"/>
  <c r="C258" i="12"/>
  <c r="B258" i="12"/>
  <c r="B259" i="12" s="1"/>
  <c r="E245" i="12"/>
  <c r="D245" i="12"/>
  <c r="C245" i="12"/>
  <c r="B245" i="12"/>
  <c r="B250" i="12" s="1"/>
  <c r="E244" i="12"/>
  <c r="C244" i="12"/>
  <c r="E243" i="12"/>
  <c r="D243" i="12"/>
  <c r="D244" i="12" s="1"/>
  <c r="C243" i="12"/>
  <c r="E237" i="12"/>
  <c r="D237" i="12"/>
  <c r="C237" i="12"/>
  <c r="E235" i="12"/>
  <c r="D235" i="12"/>
  <c r="C235" i="12"/>
  <c r="B235" i="12"/>
  <c r="B236" i="12" s="1"/>
  <c r="E222" i="12"/>
  <c r="D222" i="12"/>
  <c r="C222" i="12"/>
  <c r="B222" i="12"/>
  <c r="E221" i="12"/>
  <c r="D221" i="12"/>
  <c r="C221" i="12"/>
  <c r="B221" i="12"/>
  <c r="E220" i="12"/>
  <c r="D220" i="12"/>
  <c r="C220" i="12"/>
  <c r="B220" i="12"/>
  <c r="E214" i="12"/>
  <c r="D214" i="12"/>
  <c r="C214" i="12"/>
  <c r="E212" i="12"/>
  <c r="D212" i="12"/>
  <c r="C212" i="12"/>
  <c r="B212" i="12"/>
  <c r="B213" i="12" s="1"/>
  <c r="E199" i="12"/>
  <c r="D199" i="12"/>
  <c r="C199" i="12"/>
  <c r="B199" i="12"/>
  <c r="E198" i="12"/>
  <c r="D198" i="12"/>
  <c r="C198" i="12"/>
  <c r="E197" i="12"/>
  <c r="D197" i="12"/>
  <c r="C197" i="12"/>
  <c r="B197" i="12"/>
  <c r="E189" i="12"/>
  <c r="D189" i="12"/>
  <c r="C189" i="12"/>
  <c r="E187" i="12"/>
  <c r="D187" i="12"/>
  <c r="C187" i="12"/>
  <c r="B187" i="12"/>
  <c r="B188" i="12" s="1"/>
  <c r="E109" i="12"/>
  <c r="D109" i="12"/>
  <c r="D110" i="12" s="1"/>
  <c r="D394" i="12" s="1"/>
  <c r="C109" i="12"/>
  <c r="B109" i="12"/>
  <c r="B394" i="12" s="1"/>
  <c r="E102" i="12"/>
  <c r="D102" i="12"/>
  <c r="C102" i="12"/>
  <c r="E100" i="12"/>
  <c r="D100" i="12"/>
  <c r="C100" i="12"/>
  <c r="B100" i="12"/>
  <c r="B101" i="12" s="1"/>
  <c r="E88" i="12"/>
  <c r="D88" i="12"/>
  <c r="C88" i="12"/>
  <c r="B88" i="12"/>
  <c r="E76" i="12"/>
  <c r="D76" i="12"/>
  <c r="C76" i="12"/>
  <c r="E74" i="12"/>
  <c r="D74" i="12"/>
  <c r="C74" i="12"/>
  <c r="B74" i="12"/>
  <c r="B75" i="12" s="1"/>
  <c r="E66" i="12"/>
  <c r="D66" i="12"/>
  <c r="C66" i="12"/>
  <c r="B66" i="12"/>
  <c r="E61" i="12"/>
  <c r="D61" i="12"/>
  <c r="C61" i="12"/>
  <c r="B61" i="12"/>
  <c r="E60" i="12"/>
  <c r="D60" i="12"/>
  <c r="C60" i="12"/>
  <c r="B60" i="12"/>
  <c r="E53" i="12"/>
  <c r="D53" i="12"/>
  <c r="C53" i="12"/>
  <c r="E51" i="12"/>
  <c r="D51" i="12"/>
  <c r="C51" i="12"/>
  <c r="B51" i="12"/>
  <c r="B52" i="12" s="1"/>
  <c r="E38" i="12"/>
  <c r="E382" i="12" s="1"/>
  <c r="D38" i="12"/>
  <c r="C38" i="12"/>
  <c r="C382" i="12" s="1"/>
  <c r="B38" i="12"/>
  <c r="E37" i="12"/>
  <c r="D37" i="12"/>
  <c r="C37" i="12"/>
  <c r="C380" i="12" s="1"/>
  <c r="B37" i="12"/>
  <c r="E36" i="12"/>
  <c r="E378" i="12" s="1"/>
  <c r="D36" i="12"/>
  <c r="C36" i="12"/>
  <c r="C378" i="12" s="1"/>
  <c r="B36" i="12"/>
  <c r="E30" i="12"/>
  <c r="D30" i="12"/>
  <c r="C30" i="12"/>
  <c r="E28" i="12"/>
  <c r="D28" i="12"/>
  <c r="D375" i="12" s="1"/>
  <c r="C28" i="12"/>
  <c r="B28" i="12"/>
  <c r="B375" i="12" s="1"/>
  <c r="D163" i="12" l="1"/>
  <c r="D145" i="12"/>
  <c r="E125" i="12"/>
  <c r="C125" i="12"/>
  <c r="C54" i="12"/>
  <c r="E54" i="12"/>
  <c r="D77" i="12"/>
  <c r="C103" i="12"/>
  <c r="E103" i="12"/>
  <c r="D190" i="12"/>
  <c r="B204" i="12"/>
  <c r="D215" i="12"/>
  <c r="C238" i="12"/>
  <c r="E238" i="12"/>
  <c r="B251" i="12"/>
  <c r="D261" i="12"/>
  <c r="C284" i="12"/>
  <c r="E284" i="12"/>
  <c r="C310" i="12"/>
  <c r="E310" i="12"/>
  <c r="D329" i="12"/>
  <c r="D348" i="12"/>
  <c r="D366" i="12"/>
  <c r="D385" i="12"/>
  <c r="D387" i="12"/>
  <c r="D389" i="12"/>
  <c r="D393" i="12"/>
  <c r="B67" i="12"/>
  <c r="B68" i="12" s="1"/>
  <c r="B205" i="12"/>
  <c r="C273" i="12"/>
  <c r="C274" i="12" s="1"/>
  <c r="E273" i="12"/>
  <c r="E274" i="12" s="1"/>
  <c r="E296" i="12"/>
  <c r="E297" i="12" s="1"/>
  <c r="D67" i="12"/>
  <c r="D68" i="12" s="1"/>
  <c r="D204" i="12"/>
  <c r="D205" i="12" s="1"/>
  <c r="D250" i="12"/>
  <c r="D251" i="12" s="1"/>
  <c r="C375" i="12"/>
  <c r="E375" i="12"/>
  <c r="D378" i="12"/>
  <c r="D379" i="12" s="1"/>
  <c r="B380" i="12"/>
  <c r="D380" i="12"/>
  <c r="E381" i="12" s="1"/>
  <c r="B382" i="12"/>
  <c r="C383" i="12" s="1"/>
  <c r="D382" i="12"/>
  <c r="D54" i="12"/>
  <c r="C67" i="12"/>
  <c r="C68" i="12" s="1"/>
  <c r="E67" i="12"/>
  <c r="E68" i="12" s="1"/>
  <c r="C77" i="12"/>
  <c r="E77" i="12"/>
  <c r="D103" i="12"/>
  <c r="C394" i="12"/>
  <c r="C395" i="12" s="1"/>
  <c r="E394" i="12"/>
  <c r="E395" i="12" s="1"/>
  <c r="C190" i="12"/>
  <c r="E190" i="12"/>
  <c r="C204" i="12"/>
  <c r="C205" i="12" s="1"/>
  <c r="E204" i="12"/>
  <c r="E205" i="12" s="1"/>
  <c r="C215" i="12"/>
  <c r="E215" i="12"/>
  <c r="D238" i="12"/>
  <c r="C250" i="12"/>
  <c r="C251" i="12" s="1"/>
  <c r="E250" i="12"/>
  <c r="E251" i="12" s="1"/>
  <c r="C261" i="12"/>
  <c r="E261" i="12"/>
  <c r="B273" i="12"/>
  <c r="B274" i="12" s="1"/>
  <c r="D273" i="12"/>
  <c r="D274" i="12" s="1"/>
  <c r="D284" i="12"/>
  <c r="B296" i="12"/>
  <c r="B297" i="12" s="1"/>
  <c r="D296" i="12"/>
  <c r="D297" i="12" s="1"/>
  <c r="D310" i="12"/>
  <c r="C329" i="12"/>
  <c r="E329" i="12"/>
  <c r="C348" i="12"/>
  <c r="E348" i="12"/>
  <c r="E366" i="12"/>
  <c r="C385" i="12"/>
  <c r="E385" i="12"/>
  <c r="C387" i="12"/>
  <c r="E387" i="12"/>
  <c r="C389" i="12"/>
  <c r="E389" i="12"/>
  <c r="C393" i="12"/>
  <c r="E393" i="12"/>
  <c r="C29" i="12"/>
  <c r="E29" i="12"/>
  <c r="C31" i="12"/>
  <c r="E31" i="12"/>
  <c r="D381" i="12"/>
  <c r="D383" i="12"/>
  <c r="B43" i="12"/>
  <c r="B44" i="12" s="1"/>
  <c r="D43" i="12"/>
  <c r="D52" i="12"/>
  <c r="C75" i="12"/>
  <c r="C78" i="12" s="1"/>
  <c r="E75" i="12"/>
  <c r="B390" i="12"/>
  <c r="D390" i="12"/>
  <c r="B89" i="12"/>
  <c r="B90" i="12" s="1"/>
  <c r="D89" i="12"/>
  <c r="D90" i="12" s="1"/>
  <c r="D101" i="12"/>
  <c r="C110" i="12"/>
  <c r="E110" i="12"/>
  <c r="D188" i="12"/>
  <c r="D213" i="12"/>
  <c r="C227" i="12"/>
  <c r="C228" i="12" s="1"/>
  <c r="E227" i="12"/>
  <c r="E228" i="12" s="1"/>
  <c r="C296" i="12"/>
  <c r="C297" i="12" s="1"/>
  <c r="B29" i="12"/>
  <c r="D29" i="12"/>
  <c r="D31" i="12"/>
  <c r="E379" i="12"/>
  <c r="C381" i="12"/>
  <c r="E383" i="12"/>
  <c r="C43" i="12"/>
  <c r="E43" i="12"/>
  <c r="C52" i="12"/>
  <c r="C55" i="12" s="1"/>
  <c r="E52" i="12"/>
  <c r="E55" i="12" s="1"/>
  <c r="D75" i="12"/>
  <c r="C390" i="12"/>
  <c r="C391" i="12" s="1"/>
  <c r="E390" i="12"/>
  <c r="C89" i="12"/>
  <c r="C90" i="12" s="1"/>
  <c r="E89" i="12"/>
  <c r="E90" i="12" s="1"/>
  <c r="C101" i="12"/>
  <c r="C104" i="12" s="1"/>
  <c r="E101" i="12"/>
  <c r="B110" i="12"/>
  <c r="C188" i="12"/>
  <c r="C191" i="12" s="1"/>
  <c r="E188" i="12"/>
  <c r="E191" i="12" s="1"/>
  <c r="C213" i="12"/>
  <c r="C216" i="12" s="1"/>
  <c r="E213" i="12"/>
  <c r="E216" i="12" s="1"/>
  <c r="B378" i="12"/>
  <c r="B227" i="12"/>
  <c r="B228" i="12" s="1"/>
  <c r="D227" i="12"/>
  <c r="D228" i="12" s="1"/>
  <c r="D236" i="12"/>
  <c r="C259" i="12"/>
  <c r="C262" i="12" s="1"/>
  <c r="E259" i="12"/>
  <c r="D282" i="12"/>
  <c r="C308" i="12"/>
  <c r="C311" i="12" s="1"/>
  <c r="E308" i="12"/>
  <c r="C346" i="12"/>
  <c r="C349" i="12" s="1"/>
  <c r="E346" i="12"/>
  <c r="C364" i="12"/>
  <c r="C367" i="12" s="1"/>
  <c r="E364" i="12"/>
  <c r="C236" i="12"/>
  <c r="C239" i="12" s="1"/>
  <c r="E236" i="12"/>
  <c r="D259" i="12"/>
  <c r="C282" i="12"/>
  <c r="C285" i="12" s="1"/>
  <c r="E282" i="12"/>
  <c r="D308" i="12"/>
  <c r="D346" i="12"/>
  <c r="D349" i="12" s="1"/>
  <c r="D364" i="12"/>
  <c r="E104" i="12" l="1"/>
  <c r="D78" i="12"/>
  <c r="D367" i="12"/>
  <c r="D311" i="12"/>
  <c r="E239" i="12"/>
  <c r="E349" i="12"/>
  <c r="B376" i="12"/>
  <c r="B396" i="12" s="1"/>
  <c r="E391" i="12"/>
  <c r="D32" i="12"/>
  <c r="D395" i="12"/>
  <c r="D285" i="12"/>
  <c r="E285" i="12"/>
  <c r="D262" i="12"/>
  <c r="E262" i="12"/>
  <c r="D239" i="12"/>
  <c r="E376" i="12"/>
  <c r="E44" i="12"/>
  <c r="C379" i="12"/>
  <c r="D191" i="12"/>
  <c r="D104" i="12"/>
  <c r="D376" i="12"/>
  <c r="D44" i="12"/>
  <c r="E32" i="12"/>
  <c r="E367" i="12"/>
  <c r="E311" i="12"/>
  <c r="C376" i="12"/>
  <c r="C44" i="12"/>
  <c r="D216" i="12"/>
  <c r="D391" i="12"/>
  <c r="E78" i="12"/>
  <c r="D55" i="12"/>
  <c r="C32" i="12"/>
  <c r="C396" i="12" l="1"/>
  <c r="C377" i="12"/>
  <c r="E396" i="12"/>
  <c r="E377" i="12"/>
  <c r="D396" i="12"/>
  <c r="D377" i="12"/>
</calcChain>
</file>

<file path=xl/comments1.xml><?xml version="1.0" encoding="utf-8"?>
<comments xmlns="http://schemas.openxmlformats.org/spreadsheetml/2006/main">
  <authors>
    <author>Laureta Sotiri</author>
  </authors>
  <commentList>
    <comment ref="B446" authorId="0">
      <text>
        <r>
          <rPr>
            <b/>
            <sz val="9"/>
            <color indexed="81"/>
            <rFont val="Tahoma"/>
            <family val="2"/>
          </rPr>
          <t>Laureta Sotiri:</t>
        </r>
        <r>
          <rPr>
            <sz val="9"/>
            <color indexed="81"/>
            <rFont val="Tahoma"/>
            <family val="2"/>
          </rPr>
          <t xml:space="preserve">
600+601+602+604+605+606
</t>
        </r>
      </text>
    </comment>
  </commentList>
</comments>
</file>

<file path=xl/sharedStrings.xml><?xml version="1.0" encoding="utf-8"?>
<sst xmlns="http://schemas.openxmlformats.org/spreadsheetml/2006/main" count="5939" uniqueCount="730">
  <si>
    <t>FORMATI 1: MISIONI I NJËSISË SË QEVERISJES QENDRORE</t>
  </si>
  <si>
    <t>Emërtimi i Njësisë së Qeverisjes Qendrore</t>
  </si>
  <si>
    <t>Kodi i Njësisë së Qeverisjes Qendrore</t>
  </si>
  <si>
    <t>Misioni i Njësisë së Qeverisjes Qendrore</t>
  </si>
  <si>
    <t>Programet Buxhetore</t>
  </si>
  <si>
    <t>Kodi i Programit</t>
  </si>
  <si>
    <t>Përshkrimi i Programit</t>
  </si>
  <si>
    <t>01110</t>
  </si>
  <si>
    <t>01160</t>
  </si>
  <si>
    <t>Planifikim, Menaxhimi dhe Administrimi</t>
  </si>
  <si>
    <t>Menaxhimi i Shpezimeve Publike</t>
  </si>
  <si>
    <t>01120</t>
  </si>
  <si>
    <t xml:space="preserve">Ekzekutimi i Pagesave te Ndryshme </t>
  </si>
  <si>
    <t>01130</t>
  </si>
  <si>
    <t>Menaxhimi i te Ardhurave Tatimore</t>
  </si>
  <si>
    <t>01140</t>
  </si>
  <si>
    <t>Menaxhimi i te Ardhurave Doganore</t>
  </si>
  <si>
    <t>01150</t>
  </si>
  <si>
    <t>Lufta kunder Transaksioneve Finnaciare Jo-Ligjore</t>
  </si>
  <si>
    <t>Mbeshtetje per Zhvillimin Ekonomik</t>
  </si>
  <si>
    <t>Mbeshtetje per Mbikeqyrjen e Tregut, Infras. E Cilesise dhe Pron.Industriale</t>
  </si>
  <si>
    <t>Sigurimi Shoqeror</t>
  </si>
  <si>
    <t>Tregu i Punes</t>
  </si>
  <si>
    <t>Inspektimi i Punes</t>
  </si>
  <si>
    <t>Arsimi i Mesem (Profesional)</t>
  </si>
  <si>
    <t>04130</t>
  </si>
  <si>
    <t>Strehimi</t>
  </si>
  <si>
    <t>04160</t>
  </si>
  <si>
    <t>04170</t>
  </si>
  <si>
    <t>09240</t>
  </si>
  <si>
    <t>06190</t>
  </si>
  <si>
    <t>Misioni  i  Ministrisë  së  Financave  dhe  Ekonomisë  është  arritja  e  stabilitetit  ekonomik  nëpërmjet  drejtimit  me  efektshmëri,  efektivitet  dhe  transparencë  të  financave  publike.  Ajo  përgatit  dhe  zbaton  politikat e qeverisë në sferën ekonomike, për bashkërendimin e ndihmës së huaj, të tregtisë, strehimit dhe të  sipërmarrjes  për  ndërtimin  e  një  modeli  të  ri ekonomik,  me  synim  rritjen  ekonomike,  të  lartë  e  të  qëndrueshme  në  Shqipëri.  Kjo  ministri  harton  dhe  zbaton  politika  të integruara  ekonomike  në  sektorët  parësorë të ekonomisë, konvergjimit ekonomiko-social të rajoneve të vendit, përmirësimit të klimës e të shërbimeve për biznesin dhe sipërmarrjen.Ajo  ka  si  mision,  gjithashtu,  garantimin  e  të  drejtave  kushtetuese  për  arsim dhe  formim  profesional,  punësim të sigurt e të denjë, sigurim shoqëror.</t>
  </si>
  <si>
    <t xml:space="preserve">FORMAT 2.1 : FORMATI STANDARD I PËRGATITJES SË KËRKESAVE BUXHETORE PBA 2019-2021 </t>
  </si>
  <si>
    <t>Emërtimi i Programit Buxhetor</t>
  </si>
  <si>
    <t>Menaxhimi I Shpenzimeve Publike</t>
  </si>
  <si>
    <t>Programi Buxhetor Afatmesëm</t>
  </si>
  <si>
    <t>2019-2021</t>
  </si>
  <si>
    <t xml:space="preserve">Fusha e veprimit te ketij programi konsiston ne:  1. Pergatitjen e kuadrit makroekonomik dhe fiskal  2. Planifikimin dhe monitorimin e zbatimit te Programit Buxhetor Afatmesem dhe Buxhetit Vjetor 3. Menaxhimin e borxhit publik 4.Harmonizimi i menaxhimin financiar dhe kontrollin ne institucionet publike. 5. Hartimi dhe miratimi i planeve, programeve dhe strategjive per MFK dhe AB ne sektorin publik. Sigurimi i nje procesi me cilesi te larte dhe transparent dhe pergjegjshmeri per zhvillimin dhe implementimin e KBFP ne sektorin publik. </t>
  </si>
  <si>
    <t>Qëllimet e Politikës së Programit</t>
  </si>
  <si>
    <t>Nje sistem i menaxhimit te shpenzimeve publike gjitheperfshires (planifikim, zbaim, monitorim dhe kontroll) dhe transparent qe alokon burimet e qeverisjes qendrore me qellim promovimin e rritjes se shpejte dhe te qendrueshme ekonomike dhe nderkohe ruan stabilitetin makroekonomik dhe fiskal.</t>
  </si>
  <si>
    <t>Treguesit e Performancës në nivel Qëllimi</t>
  </si>
  <si>
    <t>Buxheti</t>
  </si>
  <si>
    <t>Parashikimi</t>
  </si>
  <si>
    <t>Niveli i rritjes reale te GDP(%)</t>
  </si>
  <si>
    <t>Niveli i borxhit publik ne raport me GDP (%)</t>
  </si>
  <si>
    <t>Objektivi 1 i Politikës së Programit</t>
  </si>
  <si>
    <t>Planifikim i mire i shpenzimeve dhe nje administrim i mire i te ardhurave, duke reflektuar nje rritje ekonomike te shpejte dhe te qendrueshme.
Permiresimi I cilesise se Dokumentit te Programit Buxhetor Afatmesem, si dhe te procesit te pergatitjes se ketij dokumenti gjate fazes Strategjike dhe Teknike te tij.</t>
  </si>
  <si>
    <t>Treguesit e Performancës për Objektivin 1</t>
  </si>
  <si>
    <t>Trendi I Mbledhjes se te ardhurave (ne % ndaj GDP)</t>
  </si>
  <si>
    <t>Trend Rrites</t>
  </si>
  <si>
    <t>Besueshmeria e Buxhetit: % e devijimit te shpenzimeve faktike nga shpenzimet e planifikuara</t>
  </si>
  <si>
    <t>(-1.24%)</t>
  </si>
  <si>
    <t>Trend drejt vleres 0</t>
  </si>
  <si>
    <t>Trend drejt vleres 1</t>
  </si>
  <si>
    <t>Trend drejt vleres 2</t>
  </si>
  <si>
    <t xml:space="preserve">% e realizimit dhe permbushjes se kritereve te vendosura nga Open Budet Index, per Shqiperine (Transparenca Buxhetore) </t>
  </si>
  <si>
    <t>Rritja e mbledhjes se te ardhurave si rezultat I permiresimit te performances administrative ne Drejtorine e Pergjithshme te Tatimeve dhe te Doganave (%)</t>
  </si>
  <si>
    <t>Trend rrites</t>
  </si>
  <si>
    <t>Diferenca midis teprices/deficitit faktik me tepricen/deficitin e parashikuar</t>
  </si>
  <si>
    <t>Devijimi midis shpenzimeve kapitale faktike dhe atyre te miratuara</t>
  </si>
  <si>
    <t>Vlera Bazë</t>
  </si>
  <si>
    <t>Vlera e Synuar</t>
  </si>
  <si>
    <t>Trendi I invetsimeve publike (ne % ndaj GDP)</t>
  </si>
  <si>
    <t>Detyrimet e prapambetura (Stock) (ne milion leke)</t>
  </si>
  <si>
    <t>Trendi ne vleren 0</t>
  </si>
  <si>
    <t>Devijimi ne % I rrtije se te ardhurave faktike nga te ardhurat e planifikuara</t>
  </si>
  <si>
    <t>(-0.7%)</t>
  </si>
  <si>
    <t>Numri I Programeve buxhetore qe planifikojne Produkte me Baze Gjinore (nr. Programesh buxhetore</t>
  </si>
  <si>
    <t>Produktet për Objektivin 1</t>
  </si>
  <si>
    <t>Shpenzimet Korrente</t>
  </si>
  <si>
    <t>Produkti 1***</t>
  </si>
  <si>
    <t>Akte ligjore dhe nenligjore te pergatitura</t>
  </si>
  <si>
    <t>Përshkrimi i Produktit:</t>
  </si>
  <si>
    <t>Akte ligjore dhe nenligjore te cilat pergatiten nga drejtorite perkatese, sipas fushes, te cilat dergohen me pas per miratim ne Keshillin e Ministrave</t>
  </si>
  <si>
    <t>Njësia Matëse</t>
  </si>
  <si>
    <t>Nr. Aktesh</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</si>
  <si>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</si>
  <si>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</si>
  <si>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</si>
  <si>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</si>
  <si>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</si>
  <si>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</si>
  <si>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</si>
  <si>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</si>
  <si>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</si>
  <si>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</si>
  <si>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</si>
  <si>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</si>
  <si>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</si>
  <si>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</si>
  <si>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</si>
  <si>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</si>
  <si>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</si>
  <si>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t>Produkti 2</t>
  </si>
  <si>
    <t xml:space="preserve">Dokumenti i Projektligjit Vjetor tw Buxhetit </t>
  </si>
  <si>
    <t>Pergatittja dhe dergimi per miratim ne Keshillin e ministrave dhe me pas ne Kuvend te Projektligjit Vjetor te Buxhetit</t>
  </si>
  <si>
    <t>Nr. Dokumentash</t>
  </si>
  <si>
    <r>
      <t xml:space="preserve">Detajimi i Kostos Totale të </t>
    </r>
    <r>
      <rPr>
        <b/>
        <sz val="8"/>
        <color rgb="FFFF0000"/>
        <rFont val="Garamond"/>
        <family val="1"/>
      </rPr>
      <t>Produktit 2</t>
    </r>
    <r>
      <rPr>
        <b/>
        <sz val="8"/>
        <color theme="1"/>
        <rFont val="Garamond"/>
        <family val="1"/>
      </rPr>
      <t xml:space="preserve"> sipas Artikujve Ekonomikë</t>
    </r>
  </si>
  <si>
    <t>Kosto totale e produktit 2</t>
  </si>
  <si>
    <t>Produkti 3</t>
  </si>
  <si>
    <t>Dokumenti i Programit Buxhetor Afatmesem</t>
  </si>
  <si>
    <t>Pergatittja dhe dergimi per Miratim ne Keshillin e Ministrave te Dokumentiti te Programit Buxhetor Afatmesem</t>
  </si>
  <si>
    <r>
      <t xml:space="preserve">Detajimi i Kostos Totale të </t>
    </r>
    <r>
      <rPr>
        <b/>
        <sz val="8"/>
        <color rgb="FFFF0000"/>
        <rFont val="Garamond"/>
        <family val="1"/>
      </rPr>
      <t>Produktit 3</t>
    </r>
    <r>
      <rPr>
        <b/>
        <sz val="8"/>
        <color theme="1"/>
        <rFont val="Garamond"/>
        <family val="1"/>
      </rPr>
      <t xml:space="preserve"> sipas Artikujve Ekonomikë</t>
    </r>
  </si>
  <si>
    <t>Kosto totale e produktit 3</t>
  </si>
  <si>
    <t>Shpenzimet Kapitale</t>
  </si>
  <si>
    <t>Kategoria 1: Shpenzimet Administrative Kapitale</t>
  </si>
  <si>
    <t>Kodi i Projektit të Investimeve****</t>
  </si>
  <si>
    <t>Emërtimi i Projektit të Investimeve</t>
  </si>
  <si>
    <t>Produkti 1</t>
  </si>
  <si>
    <t>Pajisje Kompjuterike te Blera</t>
  </si>
  <si>
    <t>Pajisje Kompjuterike te Blera per permiresimin e performances se stafit</t>
  </si>
  <si>
    <t>Numer Pajisjesh</t>
  </si>
  <si>
    <t xml:space="preserve">231. Aktive të trupëzuara </t>
  </si>
  <si>
    <t xml:space="preserve">Shënim: Shpjegoni supozimet dhe llogaritjet për Produktin 1 </t>
  </si>
  <si>
    <t xml:space="preserve">Shpenzimet Korrente </t>
  </si>
  <si>
    <t>Produkti 4</t>
  </si>
  <si>
    <t>Raporte te Konsoliduara Financiare dhe Fiskale</t>
  </si>
  <si>
    <t>Raporte financiare dhe fiskale te publikuara ne kohe reale, transparente, telexueshme dhe te aksesuseshme lehtesisht</t>
  </si>
  <si>
    <t>Nr. Raportesh</t>
  </si>
  <si>
    <r>
      <t xml:space="preserve">Detajimi i Kostos Totale të </t>
    </r>
    <r>
      <rPr>
        <b/>
        <sz val="8"/>
        <color rgb="FFFF0000"/>
        <rFont val="Garamond"/>
        <family val="1"/>
      </rPr>
      <t xml:space="preserve">Produktit 4 </t>
    </r>
    <r>
      <rPr>
        <b/>
        <sz val="8"/>
        <color theme="1"/>
        <rFont val="Garamond"/>
        <family val="1"/>
      </rPr>
      <t>sipas Artikujve Ekonomikë</t>
    </r>
  </si>
  <si>
    <t>Kosto totale e produktit sipas artikujve ekonomikë</t>
  </si>
  <si>
    <t>Totali i shpenzimeve të Programit sipas produkteve*****</t>
  </si>
  <si>
    <t>Totali i shpenzimeve të Programit sipas artikujve*****</t>
  </si>
  <si>
    <t>Ndryshimi në % i totalit të shpenzimeve të Programit</t>
  </si>
  <si>
    <t>Ndryshimi në % i Pagave</t>
  </si>
  <si>
    <t>Ndryshimi në % i Sigurimeve Shoqërore dhe Shëndetësore</t>
  </si>
  <si>
    <t>Ndryshimi në % i Mallrave dhe Shërbimeve</t>
  </si>
  <si>
    <t>230. Aktivet e patrupëzuara</t>
  </si>
  <si>
    <t>Ndryshimi në % i Aktiveve të Patrupëzuara</t>
  </si>
  <si>
    <t>Numri i Punonjësve Organik të Programit Buxhetor</t>
  </si>
  <si>
    <t>Numri i Punonjësve me Kontratë të Programit Buxhetor</t>
  </si>
  <si>
    <t>Detajimi i Kostos Totale të Produktit 1 sipas Artikujve Ekonomikë</t>
  </si>
  <si>
    <t>Detajimi i Kostos Totale të Produktit 2 sipas Artikujve Ekonomikë</t>
  </si>
  <si>
    <t>Detajimi i Kostos Totale të Produktit 3 sipas Artikujve Ekonomikë</t>
  </si>
  <si>
    <t>Detajimi i Kostos Totale të Produktit 4 sipas Artikujve Ekonomikë</t>
  </si>
  <si>
    <t>Menaxhimi i të Ardhurave Tatimore</t>
  </si>
  <si>
    <t>Mbledhja dhe administrimi i të ardhurave tatimore, taksave kombëtare dhe kontributeve të sigurimeve shoqërore, shëndetësore në Republikën e Shqipërisë.</t>
  </si>
  <si>
    <t>Mbledhja e të ardhurave tatimore,jotatimore dhe kontributeve të sigurimeve shoqërore e shëndetsore në rritje 10% krahasuar me vitin 2017,nëpërmjet ushtrimit të kompetencave të atribuara nga legjislacioni fiskal.Zvogëlimi I hendekut tatimor duke lëvizur në përgjegjësitë tatimore nga Biznes i Vogël me tvsh në Biznes të Madh, nëpërmjet monitorimit të 80% te bizneseve të identifikuara me risk nga luhatjet në xhirot vjetore deri në fund të vitit 2018. Zgjerimi i bazës së tatimpaguesve të identifikuar me aktivitet të paregjistruar duke synuar rregjistrimin dhe ruajtjen si kontribues në masën 70% të rasteve të identifikuara.</t>
  </si>
  <si>
    <t>Treguesit e Performancës në nivel Qëllimi*</t>
  </si>
  <si>
    <t>Mbledhje të ardhurave tatimore dhe jotatimore, me rritje në raport me vlerën e realizuar faktike të vitit të mëparshëm</t>
  </si>
  <si>
    <t>10% më shumë në krahasim me vitin 2017</t>
  </si>
  <si>
    <t>10% më shumë në krahasim me vitin 2018</t>
  </si>
  <si>
    <t>10% më shumë në krahasim me vitin 2019</t>
  </si>
  <si>
    <t>10% më shumë në krahasim me vitin 2020</t>
  </si>
  <si>
    <t>Ndryshimi i përgjegjësisë tatimore</t>
  </si>
  <si>
    <t>rritje 1% e  bizneseve aktiv në lidhje me vitin 2017</t>
  </si>
  <si>
    <t>rritje 2% e  bizneseve aktiv në lidhje me vitin 2017</t>
  </si>
  <si>
    <t>rritje 3% e  bizneseve aktiv në lidhje me vitin 2017</t>
  </si>
  <si>
    <t>rritje 5% e  bizneseve aktiv në lidhje me vitin 2017</t>
  </si>
  <si>
    <t xml:space="preserve">Ulja e nivelit të borxhit </t>
  </si>
  <si>
    <t>5% mbi shtesën e borxhit të vitit të mëparshëm</t>
  </si>
  <si>
    <t>10% mbi shtesën e borxhit të vitit të mëparshëm</t>
  </si>
  <si>
    <t xml:space="preserve">Progresi organizativ i Administratës Tatimore dhe zhvilimi i kapaciteteve njerëzore, aplikimi i metodave dhe sistemeve për të menaxhuar një AT moderne, zhvillimi i kapaciteteve dhe motivimi i punonjësve, modernizimi dhe rinovimi i ambjenteve. </t>
  </si>
  <si>
    <t>Treguesit e Performancës për Objektivin 1**</t>
  </si>
  <si>
    <t>Realizimi trajnimesh të planifikuara jashtë vendit me asistencë të huaj dhe projekte</t>
  </si>
  <si>
    <t>80% te planit vjetor ne raport me faktin</t>
  </si>
  <si>
    <t>10% me shume realizim ne raport me vitin 2018</t>
  </si>
  <si>
    <t>Verifikimi ne terren per denoncimet mbi kodin e etikes</t>
  </si>
  <si>
    <t>70% në raport me denoncimet nga burime te ndryshme</t>
  </si>
  <si>
    <t>5 % me shume realizim ne raport me vitin 2018</t>
  </si>
  <si>
    <t>10 % me shume realizim ne raport me vitin 2018</t>
  </si>
  <si>
    <t>Produkti A</t>
  </si>
  <si>
    <t>Administratë Tatimore Qëndrore funksionale</t>
  </si>
  <si>
    <t>Administratë Tatimore Qëndrore funksionale me kapacitete menaxhuese</t>
  </si>
  <si>
    <t>Numër punonjësish</t>
  </si>
  <si>
    <r>
      <t xml:space="preserve">Detajimi i Kostos Totale të </t>
    </r>
    <r>
      <rPr>
        <b/>
        <sz val="8"/>
        <color rgb="FFFF0000"/>
        <rFont val="Garamond"/>
        <family val="1"/>
      </rPr>
      <t>Produktit A</t>
    </r>
    <r>
      <rPr>
        <b/>
        <sz val="8"/>
        <color theme="1"/>
        <rFont val="Garamond"/>
        <family val="1"/>
      </rPr>
      <t xml:space="preserve"> sipas Artikujve Ekonomikë</t>
    </r>
  </si>
  <si>
    <t>Kosto totale e produktit A</t>
  </si>
  <si>
    <t>M100024</t>
  </si>
  <si>
    <t>Blerje paisje zyre elektronike,komjuterike</t>
  </si>
  <si>
    <t xml:space="preserve">230. Aktive të patrupëzuara </t>
  </si>
  <si>
    <t>Kategoria 2: Shpenzimet për projekte investimesh</t>
  </si>
  <si>
    <t>M100255</t>
  </si>
  <si>
    <t>Pagesë Kontributi  vjetor Fiscalis 2020</t>
  </si>
  <si>
    <t>Sasior</t>
  </si>
  <si>
    <t>M100445</t>
  </si>
  <si>
    <t>Rikonstruksion DRT Tiranë-Shërbimi i Tatimpaguesit</t>
  </si>
  <si>
    <t>Kosto totale e produktit X</t>
  </si>
  <si>
    <t>M100446</t>
  </si>
  <si>
    <t>Rikonstruksion DPT</t>
  </si>
  <si>
    <r>
      <t xml:space="preserve">Detajimi i Kostos Totale të </t>
    </r>
    <r>
      <rPr>
        <b/>
        <sz val="8"/>
        <color rgb="FFFF0000"/>
        <rFont val="Garamond"/>
        <family val="1"/>
      </rPr>
      <t xml:space="preserve">Produktit A </t>
    </r>
    <r>
      <rPr>
        <b/>
        <sz val="8"/>
        <color theme="1"/>
        <rFont val="Garamond"/>
        <family val="1"/>
      </rPr>
      <t>sipas Artikujve Ekonomikë</t>
    </r>
  </si>
  <si>
    <t>Azhornimi i sistemit financiar Alpha Platinium Buxhetor</t>
  </si>
  <si>
    <t>Objektivi 2 i Politikës së Programit</t>
  </si>
  <si>
    <t>Garantimi i asistencës për përmbushjen vullnetare,ofrimi i shërbimeve cilësore dhe reduktimi i barrës administrative në pagesën e detyrimeve tatimore dhe kontributeve sig.shoqërore.Rritja e ndërgjegjësimit publik duke ndihmuar në zhvillimin e kulturës për përmbushje vullnetare më të lartë.</t>
  </si>
  <si>
    <t>Treguesit e Performancës për Objektivin 2</t>
  </si>
  <si>
    <t>Numri i bizneseve të regjistruara</t>
  </si>
  <si>
    <t>224 886 biznese të regjistruara</t>
  </si>
  <si>
    <t>3% ne raport me vitin 2018</t>
  </si>
  <si>
    <t>5% ne raport me vitin 2018</t>
  </si>
  <si>
    <t>7% ne raport me vitin 2018</t>
  </si>
  <si>
    <t>Sherbimi nepermjet Call-center</t>
  </si>
  <si>
    <t>64 270 thirrje hyrese dhe dalese,komunikim live chat</t>
  </si>
  <si>
    <t>30% me shume nga 2018</t>
  </si>
  <si>
    <t>40% me shume nga 2018</t>
  </si>
  <si>
    <t>Sherbimi ndaj tatimpaguesve nepermjet vertetimeve te ndryshme</t>
  </si>
  <si>
    <t>158 905 kerkesa per vertetime te plotesuara</t>
  </si>
  <si>
    <t>40% me pak se viti 2018 per shkak te ndryshimeve ligjore mbi deklarimet online</t>
  </si>
  <si>
    <t>Produktet për Objektivin 2</t>
  </si>
  <si>
    <t>Produkti B</t>
  </si>
  <si>
    <t>Mbështetja e Biznesit</t>
  </si>
  <si>
    <t>Sigurimi i një shërbimi eficent dhe cilësor ndaj tatimpaguesve nëpërmjet fuqizimit, modernizimit dhe orientimit si duhet të strukturave përkatëse.</t>
  </si>
  <si>
    <r>
      <t xml:space="preserve">Detajimi i Kostos Totale të </t>
    </r>
    <r>
      <rPr>
        <b/>
        <sz val="8"/>
        <color rgb="FFFF0000"/>
        <rFont val="Garamond"/>
        <family val="1"/>
      </rPr>
      <t xml:space="preserve">Produktit B </t>
    </r>
    <r>
      <rPr>
        <b/>
        <sz val="8"/>
        <color theme="1"/>
        <rFont val="Garamond"/>
        <family val="1"/>
      </rPr>
      <t>sipas Artikujve Ekonomikë</t>
    </r>
  </si>
  <si>
    <t>M100447</t>
  </si>
  <si>
    <t>Përmirësimi i sistemit lidhur me deklarimin e TVSH tatimpaguesit BV në sistemin E-taxation sipas ligjit Nr.107 datë 30.11.2017 dhe VKM Nr.953, datë 29.12.2014</t>
  </si>
  <si>
    <r>
      <t xml:space="preserve">Detajimi i Kostos Totale të </t>
    </r>
    <r>
      <rPr>
        <b/>
        <sz val="8"/>
        <color rgb="FFFF0000"/>
        <rFont val="Garamond"/>
        <family val="1"/>
      </rPr>
      <t>Produktit B</t>
    </r>
    <r>
      <rPr>
        <b/>
        <sz val="8"/>
        <color theme="1"/>
        <rFont val="Garamond"/>
        <family val="1"/>
      </rPr>
      <t xml:space="preserve"> sipas Artikujve Ekonomikë</t>
    </r>
  </si>
  <si>
    <t>Kosto totale e produktit B</t>
  </si>
  <si>
    <t xml:space="preserve">Produkti B </t>
  </si>
  <si>
    <t>Objektivi 3 i Politikës së Programit</t>
  </si>
  <si>
    <t>Implementimi efikas i legjislacionit tatimor dhe sigurimeve shoqërore, hetimi i rasteve të mashtrimit tatimor, zbatimi i strategjisë së përmbushjes së menaxhimit të riskut, përmirësimi i mëtejshëm i kontrollit tatimor dhe gjurmimi i mashtrimeve tatimore, mbledhja efikase dhe efektive e borxhit.</t>
  </si>
  <si>
    <t>Treguesit e Performancës për Objektivin 3</t>
  </si>
  <si>
    <t>Zbulime ne raport me kontrollet ndaj bizneseve</t>
  </si>
  <si>
    <t>2081 kontrolle me zbulueshmeri ne vlere 9 654 047 mije leke</t>
  </si>
  <si>
    <t>10% me shume nga viti 2018</t>
  </si>
  <si>
    <t>Kontrolli verifikimi ne terren /hetimi tatimor</t>
  </si>
  <si>
    <t>60 000 inspektime</t>
  </si>
  <si>
    <t>63 000 inspektime</t>
  </si>
  <si>
    <t>65 000 inspektime</t>
  </si>
  <si>
    <t>Produktet për Objektivin 3</t>
  </si>
  <si>
    <t>Produkti C</t>
  </si>
  <si>
    <t>Inspektimet  e Administratës Tatimore</t>
  </si>
  <si>
    <t>Strukturë hetimi dhe kontrolli tatimor e fuqizuar dhe e orientuar si duhet në përmbushjen e detyrave funksionale në standartet më te larta.</t>
  </si>
  <si>
    <t>Numër inspektimesh</t>
  </si>
  <si>
    <r>
      <t xml:space="preserve">Detajimi i Kostos Totale të </t>
    </r>
    <r>
      <rPr>
        <b/>
        <sz val="8"/>
        <color rgb="FFFF0000"/>
        <rFont val="Garamond"/>
        <family val="1"/>
      </rPr>
      <t>Produktit C</t>
    </r>
    <r>
      <rPr>
        <b/>
        <sz val="8"/>
        <color theme="1"/>
        <rFont val="Garamond"/>
        <family val="1"/>
      </rPr>
      <t xml:space="preserve"> sipas Artikujve Ekonomikë</t>
    </r>
  </si>
  <si>
    <t>Produkti D</t>
  </si>
  <si>
    <t>Strukturë Mbledhje e Borxhit Tatimor e fuqizuar</t>
  </si>
  <si>
    <t>Strukturë Mbledhje e Borxhit Tatimor e fuqizuar, e orientuar nga strategjia  institucionale për uljen e vlerave te borxhit</t>
  </si>
  <si>
    <t>Numër punonjesish</t>
  </si>
  <si>
    <r>
      <t xml:space="preserve">Detajimi i Kostos Totale të </t>
    </r>
    <r>
      <rPr>
        <b/>
        <sz val="8"/>
        <color rgb="FFFF0000"/>
        <rFont val="Garamond"/>
        <family val="1"/>
      </rPr>
      <t xml:space="preserve">Produktit D </t>
    </r>
    <r>
      <rPr>
        <b/>
        <sz val="8"/>
        <color theme="1"/>
        <rFont val="Garamond"/>
        <family val="1"/>
      </rPr>
      <t>sipas Artikujve Ekonomikë</t>
    </r>
  </si>
  <si>
    <t xml:space="preserve">Shënim: Shpjegoni supozimet dhe llogaritjet për Produktin 2 (Metoda 2) </t>
  </si>
  <si>
    <t>Ndryshimi në % i Subvencioneve</t>
  </si>
  <si>
    <t>Ndryshimi në % i Transfertave të brendshme</t>
  </si>
  <si>
    <t>Ndryshimi në % i Transfertave të jashtme</t>
  </si>
  <si>
    <t>Ndryshimi në % i Transfertave për familjet dhe individët</t>
  </si>
  <si>
    <t>231. Aktivet e trupëzuara</t>
  </si>
  <si>
    <t>Ndryshimi në % i Aktiveve të Trupëzuara</t>
  </si>
  <si>
    <t>Menaxhimi i të ardhurave Doganore</t>
  </si>
  <si>
    <t>Mbledhja dhe menaxhimi i të ardhurave doganore, lehtësimi i tregtisë së ligjshme dhe parandalimi e goditja e trafiqeve ilegale me qëllim rritjen e mirëqënies shoqërore.</t>
  </si>
  <si>
    <t>Menaxhimi  efektiv, efikas, i drejtë dhe transparent i të ardhurave doganore</t>
  </si>
  <si>
    <t xml:space="preserve">Mbledhja faktike e të ardhurave krahasuar  me parashikimet </t>
  </si>
  <si>
    <t xml:space="preserve">Krijimi i lehtesirave për operatorët ekonomik nëpërmjet lehtësimit dhe përshpejtimit të proçedurave doganore </t>
  </si>
  <si>
    <t>Rritja e numrit të deklaratave doganore të procesuara në kanalin BLU (në import)</t>
  </si>
  <si>
    <t>Rritja e numrit të deklaratave doganore të procesuara në kanalin Jeshil (në import)</t>
  </si>
  <si>
    <t>Rritja e numrit të deklaratave doganore të procesuara në kanalin Jeshil (në eksport)</t>
  </si>
  <si>
    <t>12</t>
  </si>
  <si>
    <t xml:space="preserve">Rritja e numrit të rasteve për rishikim vlerësimi doganor duke u bazuar në metodat e vlerësimit doganor për mallrat identikë dhe të ngjashëm </t>
  </si>
  <si>
    <t>Shkurtimi i kohës mesatare të shpenzuar për 1 zhdoganim sipas llojit të proçedurave doganore</t>
  </si>
  <si>
    <t>Rritja e numrit te AEO dhe eksportuesve të miratuar</t>
  </si>
  <si>
    <t>15-20%</t>
  </si>
  <si>
    <t>25-30%</t>
  </si>
  <si>
    <t xml:space="preserve">Deklarata doganore të proçesuara </t>
  </si>
  <si>
    <t>numër deklaratash</t>
  </si>
  <si>
    <t xml:space="preserve">Vendime Gjyqësore të Ekzekutuara </t>
  </si>
  <si>
    <t>Shlyerja  e detyrimeve ndaj vendimeve gjyqësore për ish punonjës të shërbimit doganor shqiptar si dhe ndaj shoqërive të ndryshme</t>
  </si>
  <si>
    <t>numër vendimesh</t>
  </si>
  <si>
    <t>M000000</t>
  </si>
  <si>
    <t xml:space="preserve">Pajisje Komjuterike ,licensa,softe </t>
  </si>
  <si>
    <t xml:space="preserve">Ne kete produkt përfshihen pajisjet elektronike,licensa,softe </t>
  </si>
  <si>
    <t xml:space="preserve">cope </t>
  </si>
  <si>
    <t>Kodi i Projektit të Investimeve</t>
  </si>
  <si>
    <t>Pajisje zyre</t>
  </si>
  <si>
    <t xml:space="preserve">Pajisje zyre </t>
  </si>
  <si>
    <t>Në këtë produkt janë përfshirë blerja e pajisjeve të zyrave</t>
  </si>
  <si>
    <t>copë</t>
  </si>
  <si>
    <t>Kosto totale e produktit 4</t>
  </si>
  <si>
    <t xml:space="preserve">Pajisje teknike </t>
  </si>
  <si>
    <t>Produkti 5</t>
  </si>
  <si>
    <t>Detajimi i Kostos Totale të Produktit 5 sipas Artikujve Ekonomikë</t>
  </si>
  <si>
    <t>Kosto totale e produktit 5</t>
  </si>
  <si>
    <t>Ndërtime dhe Rikonstruksoione të  godinave e ambjenteve në të cilat ushtron veprimtarinë administrata doganore</t>
  </si>
  <si>
    <t>Produkti 6</t>
  </si>
  <si>
    <t xml:space="preserve">Godina  të ndërtuara dhe  rikonstruktuara </t>
  </si>
  <si>
    <t>m2</t>
  </si>
  <si>
    <t>Detajimi i Kostos Totale të Produktit 6 sipas Artikujve Ekonomikë</t>
  </si>
  <si>
    <t>Kosto totale e produktit 6</t>
  </si>
  <si>
    <t>Produkti 7</t>
  </si>
  <si>
    <t>Kosto totale e produktit 7</t>
  </si>
  <si>
    <t>Produkti 8</t>
  </si>
  <si>
    <t xml:space="preserve">Zhvillim Modulesh </t>
  </si>
  <si>
    <t>Nëpërmjet këtij produkti synohet të zhvillohen  Moduli i proçesimit të Deklaratave doganore , Moduli i Menaxhimit të Riskut, Moduli i manifestit, Moduli i deklarimit të Cashit</t>
  </si>
  <si>
    <t>Detajimi i Kostos Totale të Produktit 8 sipas Artikujve Ekonomikë</t>
  </si>
  <si>
    <t>Kosto totale e produktit 8</t>
  </si>
  <si>
    <t>Faza e dyte e Rebilitimit te PKK Morine Kukes si dhe ndertimit te PKK Hani i Hotit GM10022</t>
  </si>
  <si>
    <t>Produkti 9</t>
  </si>
  <si>
    <t>Pike doganore e rikonstruktuar si dhe pike doganore e re</t>
  </si>
  <si>
    <t>Ne kete produkt eshte perfshire Rikonstruksion i PKK Morine Kukes si dhe ndertimi i PKK Hani i Hotit i cili do te kryhet ne vijim te projektit IPA 2012 si dhe rimbursimi i Tvsh do te kryhet me fonde te buxheti te shtetit</t>
  </si>
  <si>
    <t>Detajimi i Kostos Totale të Produktit 9 sipas Artikujve Ekonomikë</t>
  </si>
  <si>
    <t>Kosto totale e produktit 9</t>
  </si>
  <si>
    <t>Kontrate binjakezimi per perafrimin e procedurave doganore dhe legjislacionit ne fushen e tarifes</t>
  </si>
  <si>
    <t>Produkti 10</t>
  </si>
  <si>
    <t xml:space="preserve">Projekt Binjakezimi per perafrimin e procedurave doganore dhe legjislacionit ne fushen e tarifes       </t>
  </si>
  <si>
    <t xml:space="preserve">Ne kete produkt eshte perfshire financimi i huaj qe perfiton ADSH nga projetkti i IPA 2013 si dhe bashkefinancimi nga buxheti i shtetit                  </t>
  </si>
  <si>
    <t>PROJEKT</t>
  </si>
  <si>
    <t>Detajimi i Kostos Totale të Produktit 10 sipas Artikujve Ekonomikë</t>
  </si>
  <si>
    <t>Kosto totale e produktit 10</t>
  </si>
  <si>
    <t xml:space="preserve">Kontrate sherbimi per Zhvillimin e Moduleve te ITMS (Sistemi i Menaxhimit te Integruar te Tarifes) totalisht te perputhshem me ITMS e BE-se.  </t>
  </si>
  <si>
    <t>Produkti 11</t>
  </si>
  <si>
    <t xml:space="preserve"> Zhvillimi I Moduleve te ITMS (Sistemi i Menaxhimit te Integruar te Tarifes) totalisht te perputhshem me ITMS e BE-se.</t>
  </si>
  <si>
    <t>Kosto totale e produktit 11</t>
  </si>
  <si>
    <t>Garantimi i sigurisë dhe i mbrojtjes kombëtarë nga: kontrabanda, trafiqet paligjshme, mallrat e ndaluara e fallsifikuara, evazioni fiskal etj.</t>
  </si>
  <si>
    <t xml:space="preserve">Rritja e arkëtimit  të të  ardhurave si rezultat inspektimeve dhe hetimeve doganore      </t>
  </si>
  <si>
    <t>Rritja e numrit të hetimeve proaktive</t>
  </si>
  <si>
    <t xml:space="preserve">Inspektime doganore te kryera </t>
  </si>
  <si>
    <t>Në këtë produkt janë përfshirë inspektimet që kryejne strukturat tona operative Antikontrabanda ,Antitrafiku  si dhe strukturat e Inteligjences operative</t>
  </si>
  <si>
    <t>numer rastesh</t>
  </si>
  <si>
    <t>Kosto totale e produktit 1 sipas artikujve ekonomikë</t>
  </si>
  <si>
    <t>Hetime Doganore te kryera</t>
  </si>
  <si>
    <t>Në këtë produkt përfshihen rastet e Hetimit që kryejnë strukturat e Administratës Doganore</t>
  </si>
  <si>
    <t xml:space="preserve">numër rastesh </t>
  </si>
  <si>
    <t>Kosto totale e produktit 2 sipas artikujve ekonomikë</t>
  </si>
  <si>
    <t>Shërbim skanimi</t>
  </si>
  <si>
    <t>Në këtë produkt është parashikuar pagesa e tarifës së shërbimit të skanimit tëkonteniereve e automjeteve të tjera në Republikën e Shqipërisë,miratuar me ligjin nr.123/2013</t>
  </si>
  <si>
    <t>numër vendesh</t>
  </si>
  <si>
    <t>Kosto totale e produktit 3 sipas artikujve ekonomikë</t>
  </si>
  <si>
    <t>Projekt i ri</t>
  </si>
  <si>
    <t>Projekti DOGANAT 2020  GM10102</t>
  </si>
  <si>
    <t>Pjesmarrje ne aktivitete te organizuara jashte vendit</t>
  </si>
  <si>
    <t>Ne kete produkt perfshihet pjesmarrja e stafit te ADSH ne aktivitete ,brenda skemes dhe rregullavete Programit "Doganat 2020"</t>
  </si>
  <si>
    <t xml:space="preserve">projekt </t>
  </si>
  <si>
    <t>Totali i shpenzimeve të Programit sipas produkteve</t>
  </si>
  <si>
    <t>Totali i shpenzimeve të Programit sipas artikujve</t>
  </si>
  <si>
    <t>Lufta Kundër Transaksioneve Financiare Jo-Ligjore</t>
  </si>
  <si>
    <t>Kërkimi, marrja dhe  analizimi i informacionit financiar lidhur me të ardhurat që dyshohet se kanë origjinë kriminale si dhe të ardhura që dyshohet se do të shërbejnë për financimin  e aktiviteteve të mundshme terroriste dhe proçedimi i rasteve të pastrimit të parave dhe financimit të terrorizmit.Lufta kundër krimit te organizuar dhe financimit te terrorizmit, nëpërmjet masave të marra mbi pasuritë e vendosura në mënyrë të paligjshme.</t>
  </si>
  <si>
    <t>Thellimi dhe zgjerimi i punës parandaluese dhe luftës kundër pastrimit të parave dhe financimit të terrorizmit në Shqipëri nëpërmjet zbatimit me sukses të standarteve ndërkombëtare brënda vitit 2021. 2. Administrimi I pasurive te sekuestruara dhe te konfiskuara qe i jepen ne administrim AAPSK me Vendim Gjykate apo Urdher te Ministrit te Financave.</t>
  </si>
  <si>
    <t>1). Permiresimi i kuadrit ligjor në fushën e parandalimit të pastrimit të parave dhe financimit të terrorizmit  2). Monitorimi i përputhshmërisë ligjore të subjekteve raportuese të ligjit dhe rritja e numrit të subjekteve të trajnuara  3)Përpunimi eficent i informacionit financiar të marrë nëpërmjet Raporteve të Transaksioneve të Vlerave  dhe Raporteve të Aktiviteteve të Dyshimta me qëllim zhvillimin e kompletimin e dosjeve që lidhen me procesimin e aktiviteteve financiare kriminale  4). Zhvillimi dhe  përmirësimi i bashkëpunimit ndërinstitucional kombëtar e ndërkombëtar si dhe pregatitja e koordinimi i punës për bashkëpunimin me organizmat ndërkombëtare  5). Përmirësimi i legjislacionit në lidhje me administrimin e pasurive të sekuestruara dhe konfiskuara  6). Mirëadministrimi i pasurive të sekuestruara dhe të konfiskuara.  7). Perfundimi i procesit te administrimit te pasurive te konfiskuara me vendim te formes se prere</t>
  </si>
  <si>
    <t>Numer inspektimesh ne vend dhe ne distance</t>
  </si>
  <si>
    <t>Numer RTV&amp;RAD te analizuara</t>
  </si>
  <si>
    <t>Nr. I pasurive te sekuestruara</t>
  </si>
  <si>
    <t>Nr. i pasurive te konfiskuara</t>
  </si>
  <si>
    <t xml:space="preserve">Inspektime </t>
  </si>
  <si>
    <t>Inspektime ne vend dhe ne distance</t>
  </si>
  <si>
    <t xml:space="preserve">Numer </t>
  </si>
  <si>
    <r>
      <t xml:space="preserve">Detajimi i Kostos Totale të </t>
    </r>
    <r>
      <rPr>
        <b/>
        <sz val="8"/>
        <color indexed="10"/>
        <rFont val="Garamond"/>
        <family val="1"/>
      </rPr>
      <t>Produktit 1</t>
    </r>
    <r>
      <rPr>
        <b/>
        <sz val="8"/>
        <color indexed="8"/>
        <rFont val="Garamond"/>
        <family val="1"/>
      </rPr>
      <t xml:space="preserve"> sipas Artikujve Ekonomikë</t>
    </r>
  </si>
  <si>
    <t xml:space="preserve"> RTV&amp;RAD te analizuara</t>
  </si>
  <si>
    <t>RTV&amp;RAD te analizuara</t>
  </si>
  <si>
    <r>
      <t>Detajimi i Kostos Totale të</t>
    </r>
    <r>
      <rPr>
        <b/>
        <sz val="8"/>
        <color indexed="10"/>
        <rFont val="Garamond"/>
        <family val="1"/>
      </rPr>
      <t xml:space="preserve"> Produktit 2 </t>
    </r>
    <r>
      <rPr>
        <b/>
        <sz val="8"/>
        <color indexed="8"/>
        <rFont val="Garamond"/>
        <family val="1"/>
      </rPr>
      <t>sipas Artikujve Ekonomikë</t>
    </r>
  </si>
  <si>
    <t>Pasuri te sekuestruara</t>
  </si>
  <si>
    <r>
      <t xml:space="preserve">Detajimi i Kostos Totale të </t>
    </r>
    <r>
      <rPr>
        <b/>
        <sz val="8"/>
        <color indexed="10"/>
        <rFont val="Garamond"/>
        <family val="1"/>
      </rPr>
      <t>Produktit 3</t>
    </r>
    <r>
      <rPr>
        <b/>
        <sz val="8"/>
        <color indexed="8"/>
        <rFont val="Garamond"/>
        <family val="1"/>
      </rPr>
      <t xml:space="preserve"> sipas Artikujve Ekonomikë</t>
    </r>
  </si>
  <si>
    <t xml:space="preserve">Pasuri te konfiskuara </t>
  </si>
  <si>
    <r>
      <t xml:space="preserve">Detajimi i Kostos Totale të </t>
    </r>
    <r>
      <rPr>
        <b/>
        <sz val="8"/>
        <color indexed="10"/>
        <rFont val="Garamond"/>
        <family val="1"/>
      </rPr>
      <t xml:space="preserve">Produktit 4 </t>
    </r>
    <r>
      <rPr>
        <b/>
        <sz val="8"/>
        <color indexed="8"/>
        <rFont val="Garamond"/>
        <family val="1"/>
      </rPr>
      <t>sipas Artikujve Ekonomikë</t>
    </r>
  </si>
  <si>
    <t xml:space="preserve">Mbështetje për zhvillimin ekonomik </t>
  </si>
  <si>
    <t>Programi  ka   për qëllim t'i shërbejë;  krijimit të një klime pozitive për zhvillimin e biznesit, për krijimin e vendeve të reja të punës, reduktimit të informalitetit në ekonomi, krijimit të një mjedisi konkurrues për zhvillimin e investimeve, krijimit të kushteve të barabarta për konkurrence si dhe një treg të sigurtë për konsumatorin; përmirësimin e cilësisë se menaxhimit  dhe performances ekonomike të shoqërive  tregtare , krijimit të  një sistemi qe garanton  realizimin e detyrimeve kontraktore ndermjet bizneseve .</t>
  </si>
  <si>
    <t>Rritja e financimit  të SME-ve nëpërmjet  fondeve dhe programeve me kontributin e qeverisë dhe donatorëve, krijimi  i  instrumentave dhe programeve mbështetëse për sektorët prodhues të SME-ve që paraqesin avantazhe konkurruese, për hartimin e politikave, kuadrit ligjor dhe institucional në mbështetje të zhvillimit të sipërmarrjes dhe investimeve, për rritjen dhe zgjerimin e aktiviteteve në fushën e trajnimit dhe edukimit profesional.</t>
  </si>
  <si>
    <t xml:space="preserve">Projekte koncesioni/PPP te Asistuara </t>
  </si>
  <si>
    <t>% e realizimit te Planit mbi disbursimin e parashkuar</t>
  </si>
  <si>
    <t>Emërtimi i Treguesit x (shto tregues sipas rastit)</t>
  </si>
  <si>
    <t xml:space="preserve">Rritja e konkurrueshmerise se ekonomise ne tregun rajonal nepermjet dhenies së fondeve grant.  </t>
  </si>
  <si>
    <t>Asistenca ne fazen e Studimit te Fizibilitetit per Projekte Koncesioni / PPP</t>
  </si>
  <si>
    <t>Hartimi i Dokumentave te Tenderit per Projekte Koncesioni / PPP</t>
  </si>
  <si>
    <t>Vleresimi i ofertave per Projektet e Koncesionit/PPP</t>
  </si>
  <si>
    <t xml:space="preserve">Negocimi i Kontrates se Koncesionit / PPP </t>
  </si>
  <si>
    <t xml:space="preserve"> Studime Fizibiliteti per Projekte Koncesione/PPP
</t>
  </si>
  <si>
    <t>Pjesemarrje ne Komisionin e Koncesionit/PPP per hartimin e studimeve te fizibilitetit</t>
  </si>
  <si>
    <t xml:space="preserve">Numer takimesh (mbledhje)  per asistence te projektit </t>
  </si>
  <si>
    <t>Dokumenta Tenderi per proceduren konkuruese Koncesion/PPP</t>
  </si>
  <si>
    <t>Pjesemarrje ne Komisionin e Koncesionit/PPP per hartimin e dokumentave te tenderit te procedures konkuruese</t>
  </si>
  <si>
    <t>Numer takimesh (mbledhje)  ne Komisionin e koncesionit/PPP</t>
  </si>
  <si>
    <r>
      <t>Detajimi i Kostos Totale të</t>
    </r>
    <r>
      <rPr>
        <b/>
        <sz val="8"/>
        <color rgb="FFFF0000"/>
        <rFont val="Garamond"/>
        <family val="1"/>
      </rPr>
      <t xml:space="preserve"> Produktit 2 </t>
    </r>
    <r>
      <rPr>
        <b/>
        <sz val="8"/>
        <color theme="1"/>
        <rFont val="Garamond"/>
        <family val="1"/>
      </rPr>
      <t>sipas Artikujve Ekonomikë</t>
    </r>
  </si>
  <si>
    <t xml:space="preserve">Shpallja e Ofertesit fitues per Projekte Koncesione/PPP
</t>
  </si>
  <si>
    <t>Pjesemarrje ne Komisionin e Koncesionit/PPP per vleresimin e ofertave dhe shpalljen e ofertuesit fitues per proceduren konkurruese.</t>
  </si>
  <si>
    <t xml:space="preserve">Numer takimesh (mbledhje)  per vleresimin e ofertave dhe shpalljen e fituesit </t>
  </si>
  <si>
    <r>
      <t>Detajimi i Kostos Totale të</t>
    </r>
    <r>
      <rPr>
        <b/>
        <sz val="8"/>
        <color rgb="FFFF0000"/>
        <rFont val="Garamond"/>
        <family val="1"/>
      </rPr>
      <t xml:space="preserve"> Produktit 3 </t>
    </r>
    <r>
      <rPr>
        <b/>
        <sz val="8"/>
        <color theme="1"/>
        <rFont val="Garamond"/>
        <family val="1"/>
      </rPr>
      <t>sipas Artikujve Ekonomikë</t>
    </r>
  </si>
  <si>
    <t xml:space="preserve">Kontrata koncesioni/PPP te negociuara 
</t>
  </si>
  <si>
    <t>Pjesemarrje ne Komisionin e Koncesionit/PPP per negocimin e kontrates se Koncesionit/PPP</t>
  </si>
  <si>
    <t>Numer takimesh (mbledhje)  per negocimin e kontrates</t>
  </si>
  <si>
    <r>
      <t>Detajimi i Kostos Totale të</t>
    </r>
    <r>
      <rPr>
        <b/>
        <sz val="8"/>
        <color rgb="FFFF0000"/>
        <rFont val="Garamond"/>
        <family val="1"/>
      </rPr>
      <t xml:space="preserve"> Produktit 4 </t>
    </r>
    <r>
      <rPr>
        <b/>
        <sz val="8"/>
        <color theme="1"/>
        <rFont val="Garamond"/>
        <family val="1"/>
      </rPr>
      <t>sipas Artikujve Ekonomikë</t>
    </r>
  </si>
  <si>
    <t>xxxxx</t>
  </si>
  <si>
    <t>Produkti X (shto produkte sipas rastit)</t>
  </si>
  <si>
    <r>
      <t xml:space="preserve">Detajimi i Kostos Totale të </t>
    </r>
    <r>
      <rPr>
        <b/>
        <sz val="8"/>
        <color rgb="FFFF0000"/>
        <rFont val="Garamond"/>
        <family val="1"/>
      </rPr>
      <t>Produktit X</t>
    </r>
    <r>
      <rPr>
        <b/>
        <sz val="8"/>
        <color theme="1"/>
        <rFont val="Garamond"/>
        <family val="1"/>
      </rPr>
      <t xml:space="preserve"> sipas Artikujve Ekonomikë</t>
    </r>
  </si>
  <si>
    <t xml:space="preserve">Rritja e transparences ne procedurat e koncesionit/PPP </t>
  </si>
  <si>
    <t>Treguesit e Performancës për Objektivin 2: Publikimi ne Regjistrin Elektronik te Koncesioneve/PPP te te gjithe kontratave te nenshkruara</t>
  </si>
  <si>
    <t>Perditesimi i Regjistrit Elektronik te Koncesioneve/PPP</t>
  </si>
  <si>
    <t>Emërtimi i Treguesit 2</t>
  </si>
  <si>
    <t>Kontrata Koncesioni/PPP te publikuara ne Regjistrin Elektronik te Koncesioneve</t>
  </si>
  <si>
    <t xml:space="preserve"> Autoritetet Kontraktore percjellin prane ATRAKO-s  per publikim kontratat e Koncesionit/PPP, 15 dite pas nenshkrimit te tyre. </t>
  </si>
  <si>
    <t xml:space="preserve">Numri i kontratave </t>
  </si>
  <si>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</si>
  <si>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Shpenzimet Korrente* </t>
  </si>
  <si>
    <t>Promovimi i shqiperise si destinacion investimesh / kujdesi ndaj investitoreve</t>
  </si>
  <si>
    <t>pjesemarrje panair nderkombetare &amp; road show promovuese, vizita ne kompani (after care)/ monitorim investimesh strategjike</t>
  </si>
  <si>
    <t>Numer Aktivitetesh</t>
  </si>
  <si>
    <t>Ndryshimi në % i Pagave si pasojë e ndryshimit të kostos së produktit</t>
  </si>
  <si>
    <r>
      <t>Ndryshimi në % i Pagave si pasojë e ndryshimit të sasisë së produktit</t>
    </r>
    <r>
      <rPr>
        <b/>
        <i/>
        <sz val="9"/>
        <color rgb="FFFF0000"/>
        <rFont val="Garamond"/>
        <family val="1"/>
      </rPr>
      <t>**</t>
    </r>
  </si>
  <si>
    <t>Ndryshimi në % i Sigurimeve Shoqerore dhe Shendetësore si pasojë e ndryshimit të kostos së produktit</t>
  </si>
  <si>
    <r>
      <t>Ndryshimi në % i Sigurimeve Shoqërore dhe Shendetësore si pasojë e ndryshimit të sasisë së produktit</t>
    </r>
    <r>
      <rPr>
        <b/>
        <i/>
        <sz val="9"/>
        <color rgb="FFFF0000"/>
        <rFont val="Garamond"/>
        <family val="1"/>
      </rPr>
      <t>**</t>
    </r>
  </si>
  <si>
    <t>Ndryshimi në % i Mallrave dhe Shërbimeve si pasojë e ndryshimit të kostos së produktit</t>
  </si>
  <si>
    <r>
      <t>Ndryshimi në % i Mallrave dhe Shërbimeve si pasojë e ndryshimit të sasisë së produktit</t>
    </r>
    <r>
      <rPr>
        <b/>
        <i/>
        <sz val="9"/>
        <color rgb="FFFF0000"/>
        <rFont val="Garamond"/>
        <family val="1"/>
      </rPr>
      <t>**</t>
    </r>
  </si>
  <si>
    <t>Ndryshimi në % i Subvencioneve si pasojë e ndryshimit të kostos së produktit</t>
  </si>
  <si>
    <r>
      <t>Ndryshimi në % i Subvencioneve si pasojë e ndryshimit të sasisë së produktit</t>
    </r>
    <r>
      <rPr>
        <b/>
        <i/>
        <sz val="9"/>
        <color rgb="FFFF0000"/>
        <rFont val="Garamond"/>
        <family val="1"/>
      </rPr>
      <t>**</t>
    </r>
  </si>
  <si>
    <t>Ndryshimi në % i Transfertave të brendshme si pasojë e ndryshimit të kostos së produktit</t>
  </si>
  <si>
    <r>
      <t>Ndryshimi në % i Transfertave të brendshme si pasojë e ndryshimit të sasisë së produktit</t>
    </r>
    <r>
      <rPr>
        <b/>
        <i/>
        <sz val="9"/>
        <color rgb="FFFF0000"/>
        <rFont val="Garamond"/>
        <family val="1"/>
      </rPr>
      <t>**</t>
    </r>
  </si>
  <si>
    <t>Ndryshimi në % i Transfertave të jashtme si pasojë e ndryshimit të kostos së produktit</t>
  </si>
  <si>
    <r>
      <t>Ndryshimi në % i Transfertave të jashtme si pasojë e ndryshimit të sasisë së produktit</t>
    </r>
    <r>
      <rPr>
        <b/>
        <i/>
        <sz val="9"/>
        <color rgb="FFFF0000"/>
        <rFont val="Garamond"/>
        <family val="1"/>
      </rPr>
      <t>**</t>
    </r>
  </si>
  <si>
    <t>Ndryshimi në % i Transfertave për familjet dhe individët si pasojë e ndryshimit të kostos së produktit</t>
  </si>
  <si>
    <r>
      <t>Ndryshimi në % i Transfertave për familjet dhe individët si pasojë e ndryshimit të sasisë së produktit</t>
    </r>
    <r>
      <rPr>
        <b/>
        <i/>
        <sz val="9"/>
        <color rgb="FFFF0000"/>
        <rFont val="Garamond"/>
        <family val="1"/>
      </rPr>
      <t>**</t>
    </r>
  </si>
  <si>
    <r>
      <t>Shënim: Shpjegoni supozimet dhe llogaritjet për Produktin 1 (Metoda 2)</t>
    </r>
    <r>
      <rPr>
        <b/>
        <sz val="8"/>
        <color rgb="FFFF0000"/>
        <rFont val="Garamond"/>
        <family val="1"/>
      </rPr>
      <t>***</t>
    </r>
  </si>
  <si>
    <t>Nxitja e eksporteve dhe rritjes se konkurrueshmerise se SME-ve nepermjet promovimit te eksporteve,ofrimit te sherbimeve mbeshtetese dhe suportit financiar me ane te granteve.</t>
  </si>
  <si>
    <t>Numri i aktiviteteve promovese (panaire,forume,B2B, "Info Day" )</t>
  </si>
  <si>
    <t>Numri I kompanive aplikuese</t>
  </si>
  <si>
    <t>Numri I kompanive perfituese</t>
  </si>
  <si>
    <t>% e realizimit te fondeve</t>
  </si>
  <si>
    <t>Zgjerim i databases se eksporteve (numri I profileve)</t>
  </si>
  <si>
    <t>Aktivitete promovuese te AIDA-s dhe te Produkteve "Made in Albania"</t>
  </si>
  <si>
    <t>Aktivitete promovuese te fondeve dhe te sherbimeve qe ofron AIDA, dhe te produkteve shqiptare ne tregjet e huaja (ketu perfshihen  fushatat promovuese qe behen per te njohur SME-te vendase me fondet dhe sherbimet e AIDA-s, Panairet nderkombetare ne te cilat AIDA suporton financiarisht pjesmarrjen e SME-ve shqiptare , B2B dhe forumet e biznesit qe ndermjetesojne kontaktin e SME-ve vendase me kompani te huaja, me qellim zgjerimin e tregjeve te eksportit.</t>
  </si>
  <si>
    <t>Ndryshimi në % i Pagave si pasojë e ndryshimit të sasisë së produktit</t>
  </si>
  <si>
    <t>Ndryshimi në % i Sigurimeve Shoqërore dhe Shendetësore si pasojë e ndryshimit të sasisë së produktit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</si>
  <si>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</si>
  <si>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</si>
  <si>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</si>
  <si>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</si>
  <si>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</si>
  <si>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M100368</t>
  </si>
  <si>
    <t>Fondi I konkurrueshmerishe</t>
  </si>
  <si>
    <t xml:space="preserve">Ky fond synon suportimin e SME-ve vendase me qellim rritjen e konkurueshmerise </t>
  </si>
  <si>
    <t>Sasia (nr I kompanive perfituese)</t>
  </si>
  <si>
    <t>M100369</t>
  </si>
  <si>
    <t>Produkti 3 (shto produkte sipas rastit)</t>
  </si>
  <si>
    <t>Fondi  i Inovacionit</t>
  </si>
  <si>
    <t>Ky fond synon mbeshtetjen financiare te SME-ve ne fushen e teknologjise dhe inovacionit</t>
  </si>
  <si>
    <t>% e fondit te realizuar</t>
  </si>
  <si>
    <r>
      <t xml:space="preserve">Detajimi i Kostos Totale të </t>
    </r>
    <r>
      <rPr>
        <b/>
        <sz val="8"/>
        <color rgb="FFFF0000"/>
        <rFont val="Garamond"/>
        <family val="1"/>
      </rPr>
      <t xml:space="preserve">Produktit 3 </t>
    </r>
    <r>
      <rPr>
        <b/>
        <sz val="8"/>
        <color theme="1"/>
        <rFont val="Garamond"/>
        <family val="1"/>
      </rPr>
      <t>sipas Artikujve Ekonomikë</t>
    </r>
  </si>
  <si>
    <t>Shenim:shpjegoni supozimet dhe llogaritjet per produktin x</t>
  </si>
  <si>
    <t>M100370</t>
  </si>
  <si>
    <t>Fondi "Start Up"</t>
  </si>
  <si>
    <t>Ky fond ka ne fokus  mbeshtetjen e sipermarrjeve te reja me qellim konsolidimin e tyre ne treg dhe rritjen e numrit te punonjesve</t>
  </si>
  <si>
    <r>
      <t xml:space="preserve">Detajimi i Kostos Totale të </t>
    </r>
    <r>
      <rPr>
        <b/>
        <sz val="8"/>
        <color rgb="FFFF0000"/>
        <rFont val="Garamond"/>
        <family val="1"/>
      </rPr>
      <t>Produktit 4</t>
    </r>
    <r>
      <rPr>
        <b/>
        <sz val="8"/>
        <color theme="1"/>
        <rFont val="Garamond"/>
        <family val="1"/>
      </rPr>
      <t xml:space="preserve"> sipas Artikujve Ekonomikë</t>
    </r>
  </si>
  <si>
    <t>M100371</t>
  </si>
  <si>
    <t>Fondi ne mbeshtetje te biznesit kreativ</t>
  </si>
  <si>
    <t>Ky fond ka ne fokus  mbeshtetjen e sipermarrjeve te sektorit te artizanatit dhe zejtarise  me qellim konsolidimin e tyre ne treg dhe rritjen e numrit te te punesuarve  ne kete sektor.</t>
  </si>
  <si>
    <r>
      <t xml:space="preserve">Detajimi i Kostos Totale të </t>
    </r>
    <r>
      <rPr>
        <b/>
        <sz val="8"/>
        <color rgb="FFFF0000"/>
        <rFont val="Garamond"/>
        <family val="1"/>
      </rPr>
      <t xml:space="preserve">Produktit 5 </t>
    </r>
    <r>
      <rPr>
        <b/>
        <sz val="8"/>
        <color theme="1"/>
        <rFont val="Garamond"/>
        <family val="1"/>
      </rPr>
      <t>sipas Artikujve Ekonomikë</t>
    </r>
  </si>
  <si>
    <t>Ofrimi i sherbimit ndaj subjekteve per regjistrimin dhe licencimin/lejimin e biznesit</t>
  </si>
  <si>
    <t>Regjistrimi dhe Licensimi I bizneseve</t>
  </si>
  <si>
    <t>% e kategorive te sherbimeve qe ofron sistemi I Regjistrit te Biznesit</t>
  </si>
  <si>
    <t>% e kategorive te sherbimeve qe ofron sistemi I Regjistrit te Licencave</t>
  </si>
  <si>
    <t>Aplikime në Regjistrin e Biznesit</t>
  </si>
  <si>
    <t>Rregjistrim i ri Biznesi, crregjistrim, dorëzim bilancesh, nxjerrje ekstraktesh, ndryshime, etj</t>
  </si>
  <si>
    <r>
      <rPr>
        <b/>
        <sz val="8"/>
        <color rgb="FFFF0000"/>
        <rFont val="Garamond"/>
        <family val="1"/>
      </rPr>
      <t>Produkti 2</t>
    </r>
    <r>
      <rPr>
        <sz val="8"/>
        <color theme="1"/>
        <rFont val="Garamond"/>
        <family val="1"/>
      </rPr>
      <t xml:space="preserve"> (shto produkte sipas rastit)</t>
    </r>
  </si>
  <si>
    <t>Aplikime në Licensimin e Biznesit</t>
  </si>
  <si>
    <t>Aplikime per licenda te reja, ndryshime, revokime, printime, shtyrje afati</t>
  </si>
  <si>
    <r>
      <t>Detajimi i Kostos Totale të</t>
    </r>
    <r>
      <rPr>
        <b/>
        <sz val="8"/>
        <color rgb="FFFF0000"/>
        <rFont val="Garamond"/>
        <family val="1"/>
      </rPr>
      <t xml:space="preserve"> Produktit X </t>
    </r>
    <r>
      <rPr>
        <b/>
        <sz val="8"/>
        <color theme="1"/>
        <rFont val="Garamond"/>
        <family val="1"/>
      </rPr>
      <t>sipas Artikujve Ekonomikë</t>
    </r>
  </si>
  <si>
    <t>M100475</t>
  </si>
  <si>
    <t>Autoveturë</t>
  </si>
  <si>
    <t>Mjet transporti për nevojat e institucionit</t>
  </si>
  <si>
    <t>I jemi referuar cmimit te tregut per blerje automjeti per nevoja te institucionit</t>
  </si>
  <si>
    <t>Krijimi i moduleve të reja dhe i raportimeve për Formularet e Bashkimit Ndërkufitar</t>
  </si>
  <si>
    <t>Emërtimi i Treguesit 1</t>
  </si>
  <si>
    <t>Pajisje informatike</t>
  </si>
  <si>
    <t>Fotokopjuse,kompjuter, Laptop</t>
  </si>
  <si>
    <t>cope</t>
  </si>
  <si>
    <t>M100463</t>
  </si>
  <si>
    <t>Blerje automjet (autoveturë) për Dpm-në</t>
  </si>
  <si>
    <t>Autoveturë  për Dpm-në</t>
  </si>
  <si>
    <t>M100495</t>
  </si>
  <si>
    <t>Pisje Laboratorike</t>
  </si>
  <si>
    <t xml:space="preserve">Sensor për matjen e temperaturës dhe sensor lagështie për ambjentet e mbyllura. </t>
  </si>
  <si>
    <t>1- Meter shirit 50m dhe 100 m, 2- Aparat per matjen e trasghesise se llamarinave (2019)  1-Paisje me dy sonda Pt 100 per matje te temperatures dhe lageshtires me dy sonda, te tipit K dhe nje te tipit  1 , 2-Gjenerator  sinjali, 3- Oshiloskop me kater kanale bashke me sensoret, 4-  Blerje Autolaborator gazi standart per verifimkimin periodik te shperndaresve te LPG te automjeteve. ( 2020 )</t>
  </si>
  <si>
    <t>ÇERTIFIKIMI SIPAS STANDARTEVE TE OVK</t>
  </si>
  <si>
    <t>DOSJE</t>
  </si>
  <si>
    <r>
      <rPr>
        <b/>
        <sz val="8"/>
        <color rgb="FFFF0000"/>
        <rFont val="Garamond"/>
        <family val="1"/>
      </rPr>
      <t xml:space="preserve">Produkti 2 </t>
    </r>
    <r>
      <rPr>
        <sz val="8"/>
        <color theme="1"/>
        <rFont val="Garamond"/>
        <family val="1"/>
      </rPr>
      <t xml:space="preserve"> (shto produkte sipas rastit)</t>
    </r>
  </si>
  <si>
    <t>Rishikim I dokumentacionit</t>
  </si>
  <si>
    <t>Ndergjegjesimi I operatoreve ekonomik, konsumatoreve dhe paleve te tjera te interesuara</t>
  </si>
  <si>
    <t>COPE</t>
  </si>
  <si>
    <t>Produkti 2 (shto produkte sipas rastit)</t>
  </si>
  <si>
    <t>Realizim inspektimesh per kontrollin e zbatimit te kritereve ligjore nga operatorët ekonomik</t>
  </si>
  <si>
    <t xml:space="preserve">Zbatimi i kërkesave ligjore nga subjektet  konform legjislacionit në fuqi për metrologjinë, sigurinë e produkteve joushqimore, turizimin, pronësinë intelektuale </t>
  </si>
  <si>
    <t>Numri i inspektimeve në Republikën e Shqipërisë</t>
  </si>
  <si>
    <t>Numri i inspektimeve</t>
  </si>
  <si>
    <t>numër inspektmesh</t>
  </si>
  <si>
    <t>Realizim inspektimesh në të gjithë territorin e Shqiperisë për kontrollin e zbatimit të kërkesave ligjore nga operatoët ekonomikë.</t>
  </si>
  <si>
    <t>numër</t>
  </si>
  <si>
    <t>M100227</t>
  </si>
  <si>
    <t>blerje makine</t>
  </si>
  <si>
    <t>Makine per inspektime ne terren</t>
  </si>
  <si>
    <t>Blerje pajisje kompjuterike</t>
  </si>
  <si>
    <t>Kompjutera, printera, fotokopje, USB, Router, sëitch, projektor, etj.</t>
  </si>
  <si>
    <t>numwr</t>
  </si>
  <si>
    <t>M100464</t>
  </si>
  <si>
    <t>Rikonstruksion ambiente ISHMT</t>
  </si>
  <si>
    <t>Instalime elektrike, hidraulike, suvatime, vendosje dyersh e dritaresh, hidroizolime</t>
  </si>
  <si>
    <t>M100462</t>
  </si>
  <si>
    <t>Produkti 4 (shto produkte sipas rastit)</t>
  </si>
  <si>
    <t>Blerje pajisje (mobilim zyre)</t>
  </si>
  <si>
    <t>Tavolina pune, karrike, etazhere, dollape, varese rrobash, kolltuqe, kasaforte, etj.</t>
  </si>
  <si>
    <t>M100465</t>
  </si>
  <si>
    <t>Produkti 5 (shto produkte sipas rastit)</t>
  </si>
  <si>
    <t>Blerje kite laboratorike</t>
  </si>
  <si>
    <t xml:space="preserve">Analizues kimik per kontrollin e lodrave, autolaborator për kontrollin e matësve të ujit , peshore, anakuzues kimike, </t>
  </si>
  <si>
    <t>Tregu I punes</t>
  </si>
  <si>
    <t>10550</t>
  </si>
  <si>
    <t xml:space="preserve">Nxitja e mundësive për punë të denjë dhe rritja e punësueshmërisë së forcave të punës nëpërmjet politikave të frytshme të tregut të punës si dhe nepermjet, perputhjes se kerkeses me oferten per pune nga sherbimet e punesimit ku perfshihen: informacioni per vendet e lira te punes; ndermjetesimi per punesim; keshillimi dhe orientimi per karriere; programet e nxitjes se punesimit; mbeshtetjes me te ardhura per te papunet nepermjet pageses se papunesise; programet e formimit profesional. Ofrimi formimit profesional cilesor. Nxitja e përfshirjes sociale dhe e kohezionit territorial. Fuqizimi i qeverisjes së tregut të punës dhe i sistemeve   të kualifikimeve. </t>
  </si>
  <si>
    <t>Riorganizimi i 15 zyrave te SHKP sipas Modelit të Ri të Shërbimeve të Punësimit, Permiresimi i fushes se shërbimeve të punësimit (te ndemjetsimeve, keshillimeve dhe orientimit per karriere,) targetimi i grupeve ne nevoje te te papuneve. Rishikimi i bazes ligjore te punesimit dhe migrimit me qellim reformimin e qeverisjes se tregut te punes dhe perafrimit te tij me aktet e bBE-se. Aktivizimin e  përfituesve të ndihmës ekonomike dhe personave që dalin nga kjo skemë, duke synuar formimin dhe punësimin e  6500-7000 individëve për  vitin 2018. Rritja e pjesmarrjes se punekerkuesve te papune nga grupet e vecanta me mbi 50% te totalit te perfituesve nga programet e nxitjes së punësimit  (femrat, të rinjtë 16-30 vjeç, emigrantët e kthyer me probleme ekonomike, të papunët afatgjatë, romët, personat me aftësi të kufizuar, jetimët, gra kryfamiljare si dhe integrimin në këto programe të punëkërkuesve të papunë që trajtohen me ndihmë ekonomike dhe pagesë papunësie. Hartimi i programeve te reja ne zbatim te ligjit te ri "Per nxitjen e punesimit". Ofrimi i formimit profesional cilësor për të rinjtë dhe të rriturit , ne perputhje me kerkesat e tregut te punes, rritja e mundesise per te nxenit gjate gjithe jetes si per burrat dhe per grate dhe pershtatja me mundesite e punesimit te ofruara nga tregu i punes. Përafrimin e standarteve të Konvetës nr. 168 të ILO-s për mbrojtjen nga papunësia,  duke arritur  masen e pageses se te ardhures nga papunesia ne 50% te pages minimale ne shkalle vendi.</t>
  </si>
  <si>
    <t>Punekerkues te punesuar/trajnuar nga programi nepermjet formimit  ne pune ( vkm 47)</t>
  </si>
  <si>
    <t>Punekerkues te punesuar nga programi i nxitjes se punesimit per grupet e vecanta (vkm 48)</t>
  </si>
  <si>
    <t>Punekerkues te perfshire ne programin i nxitjes se punesimit te praktikave profesionale, per te rinjte e sapodiplomuar, qe kane mbaruar arsimin e larte (vkm 873)</t>
  </si>
  <si>
    <t>Punekerkuese te punesuara nga programi i nxitjes se punesimit per grate kryefamiljare me fëmijë në ngarkim dhe vajzave nëna (VKM 27)</t>
  </si>
  <si>
    <t>Punekerkues te punesuar nga programi i nxitjes së punësimit të punёkёrkuesve të papunë të rinj (VKM 199)</t>
  </si>
  <si>
    <t>Te punesuar/trajnuar nga  programi i nxitjes se punesimit per personat me aftesi  te kufizuara (vkm 248)</t>
  </si>
  <si>
    <t>Punekerkues te punesuar nga programi i nxitjes së punësimit të të rinjve që kanë fituar statusin e jetimit (VKM 64)</t>
  </si>
  <si>
    <t>Te trajnuar nepermjet programit te nxitjes së punësimit "Për pagesën e pjesëmarrjes në kurset e formimit profesional" (vkm 162)</t>
  </si>
  <si>
    <t>Leje pune  per te huajt</t>
  </si>
  <si>
    <t>Raporte te ndryshme per: PKIE, Prioriteti 5, statistikore, finaciare, procese prokurimi, auditimi etj.</t>
  </si>
  <si>
    <t>Ndermjetesimet e realizuara nga Zyrat e punesimit</t>
  </si>
  <si>
    <t>Zyra Punësimi, sipas Modelit te ri te sherbimeve te punesimit, reforme e cila ka per qëllim përmirësimin e shërbimeve ndaj klientëve ( të papunëve dhe punëdhënësve) dhe rritjen e depërtimit në treg. Ky model ka unifikuar proçesi i ofrimit të shërbimit ne  tre nivele, 1. Shërbimi i Informacionit – Informacion i menjëhershëm mbi një gamë temash mbi Tregun e Punës;  2. Zona e Shërbimeve Kryesore, Ekzekutim i shpejtë në regjistrimin, këshillimin dhe shërbimet kryesore; 3. Këshillimi i Specializuar, Mundësi takimesh për shërbime këshillimi më të thelluara.  Modeli Kombëtar i Shërbimit përfshin 4 aktivitete kryesore: Riorganizimin e ambienteve të punës sipas modelit të ri të shërbimeve te punesimit ne te gjitha Zyrat e Punesimit; Ngritjen e sistemit te menaxhimit te performacës të shërbimeve që ofrojnë ZP; Modernizimin e infrastrukturës dhe sistemeve të IT në Shërbimin Kombëtar të Punësimit (SHKP); Zhvillimi i burimeve njerezore.</t>
  </si>
  <si>
    <t>Te punesuarit/trajnuar nepermjet programeve te nxitjes se punesimit</t>
  </si>
  <si>
    <t>Zbatimi i 8 programeve te nxitjes se punesimit: Trajnimi në vendin e punës; Punësimi i grave dhe vajzave kryefamiljare; Punësimi i personave me aftësi të kufizuara; Punësimi i grupeve vulnerabël; Punësimi i të rinjve të diplomuar në arsimin e larte universitar; Praktika profesionale për të sapo diplomuarit; Nxitje e punësimit për jetimët; Program Nxitje nepermjet pageses per pjesemarrje ne kurse te formimit profesional.</t>
  </si>
  <si>
    <t>Numri i te punesuarve \ trajnuarve</t>
  </si>
  <si>
    <t>Te trajnuar ne Qendrat e Formimit Profesional Publik (QFP)</t>
  </si>
  <si>
    <t>QFP ne zbatim te ligjit nr.15/2017 ofrojne kurse profesionale per punekerkuesit e papune, te regjistruar ne zyrat e punesimit me qellim kualifikimin e tyre ne nje profesion, te kerkuar ne tregun e punes per arritjen e  punesimin te tyre.</t>
  </si>
  <si>
    <t>Numri i te trajnuarve</t>
  </si>
  <si>
    <t>Persona te trajtuar me pagese papunesie</t>
  </si>
  <si>
    <t>Ne zbatim te ligjit nr.7703, datë 11.5.1993, “Për sigurimet shoqërore në Republikën e Shqipërisë”, të ndryshuar dhe VKM  Nr 161, datë 23.1.2018 të Këshillit të Ministrave “Për Pagesën e së ardhurës nga papunësia” mbeshteten me te ardhura punekerkuesit e papune per nje periudhe deri ne 1 vit, personat do të përfitojnë pagesën e të ardhurës nga papunësia (Aktualisht 1100 leke) si dhe kategorizimin e përfituesve të pagesës së papunësisë, sipas  kontributeve  të derdhura në sigurimet shoqërore, në kuadrin e përshtatjes së legjislacionit shqiptar me atë të Konventave Ndërkombëtare të Organizatës Ndërkombëtare të Punës (ILO-s), Konventës nr. 102 “Për sigurimet shoqërore (Standardet minimale)” dhe Konventës nr. 168 “Nxitja e punësimit dhe mbrojtja kundër papunësisë”, të ratifikuara, duke arritur masen e pagese se papunesise ne masen 50% te pages minimale ne shkalle vendi.</t>
  </si>
  <si>
    <t>Numri i personave, perfitues te pageses se te ardhures nga papunesia</t>
  </si>
  <si>
    <t>Dokumenta per shtetasit e huaj qe punojne ne Shqiperi</t>
  </si>
  <si>
    <t xml:space="preserve">Subjek i këtij Ligji janë të gjithë shtetasit e huaj që synojnë të hyjnë në territorin e Republikës së Shqipërisë dhe kanë si qëllim transitimin, punësimin, studimin apo ripranimin. </t>
  </si>
  <si>
    <t>Leje pune, Certifikata regjistrimi dhe Vertetim deklarimi per punesim</t>
  </si>
  <si>
    <r>
      <t xml:space="preserve">Detajimi i Kostos Totale të </t>
    </r>
    <r>
      <rPr>
        <b/>
        <sz val="8"/>
        <color rgb="FFFF0000"/>
        <rFont val="Garamond"/>
        <family val="1"/>
      </rPr>
      <t>Produktit 5</t>
    </r>
    <r>
      <rPr>
        <b/>
        <sz val="8"/>
        <color theme="1"/>
        <rFont val="Garamond"/>
        <family val="1"/>
      </rPr>
      <t xml:space="preserve"> sipas Artikujve Ekonomikë</t>
    </r>
  </si>
  <si>
    <t>Akte ligjore e nenligjore, raportime, raporte statistikore, finaciare, procese prokurimi, raporte auditimi</t>
  </si>
  <si>
    <t>Raporte te ndryshme ne kuader te detyrimeve per PKIE, Prioritetin 5, strategjive e planeve te veprimit per PAK, Romet dhe egjiptianet, si dhe raporte statistikore, finaciare, procese prokurimi, auditimi etj.</t>
  </si>
  <si>
    <t>Numri i dokumentave te hartuara</t>
  </si>
  <si>
    <t>Inspektimi i punes</t>
  </si>
  <si>
    <t>ISHPSHSH eshte garanci per te ruajtur paqen sociale dhe per te siguruar qendrueshmeri ne tregon e punes, si nje faktor I rendesishem dhe I pazevendesueshem ne zhvillimin dhe konsolidimin e tregut te punes. Inspektimi I punes eshte nje mjet qe sherben garantimin e zabatueshmerise se Legjislacionit te Punes nga aktivitetet ekonomike qe ushtrojne aktivitetin e tyre ne Repobliken e Shqiperise.</t>
  </si>
  <si>
    <t>Nepermjet inspektimit te punes synohet realizimi I procesit te inspektimit, promovimin e nje kulture parandaluese per kushtet e sigurise dhe shendetit ne vendin e punes si dhe te pasjes se nje pune te siguruar nga ana shoqerore e shendetesore.</t>
  </si>
  <si>
    <t>Numerin e inspektimive realizimin e tyre.</t>
  </si>
  <si>
    <t xml:space="preserve">Realizimi i inspektimeve ne subjektet ekonomike, duke mbuluar me inspektim subjektet qe paraqesin rrezikshmeri kryesisht per kushtet e sigurise dhe shendetit ne pune te punemarresve, duke synuar dhe  permiresimin e performances ne inspektim.    </t>
  </si>
  <si>
    <t xml:space="preserve">Inspektimet e realizuara nga ISHPSHSH </t>
  </si>
  <si>
    <t xml:space="preserve">Realizimi i inspektimeve ne subjektet ekonomike, duke mbuluar me inspektim subjektet qe paraqesin rrezikshmeri kryesisht per kushtet e sigurise dhe shendetit ne pune te punemarresve, duke synuar dhe  permiresimin e performances ne inspektim.  </t>
  </si>
  <si>
    <t>Numri i inspektimeve te realizuara nga ISHPSHSH</t>
  </si>
  <si>
    <t>Arsimi i Mesem Profesional</t>
  </si>
  <si>
    <t xml:space="preserve">Zhvillimi i  një sistemi të arsimit dhe formimit profesional, i cili garanton arsim dhe formim profesional cilësor dhe gjithëpërfshirës nëpërmjet:                                                                                                                                                                                                            -Optimizimit te rrjetit te ofruesve, diversifikimi i ofertës  per ritjen e aksesit ne AFP                                                                                                                                                                                                          -Rritjes se investimeve  ne sistemin e AFP                                                                                                                                                                                        -Ngritjes se sistemit te kualifikimit dhe trajnimit te vazhduar te mesuesve dhe instruktoreve te AFP-se                                                                                                                                                                                      -Forcimit te lidhjeve me biznesin nepermjet  të nxënit ne vendin e punes (praktika, skema e çirakërisë etj.)         </t>
  </si>
  <si>
    <t xml:space="preserve">Te siguroje dhe mundesoje aftesimi profesional  cilesor,  gjate gjithe jetes, per te gjithe (femrat dhe meshkujt) </t>
  </si>
  <si>
    <t>% e te punesuarve pas diplomit ne AP</t>
  </si>
  <si>
    <t>Numri i te diplomuarve ne AP</t>
  </si>
  <si>
    <t>% e mesuesve te trajnuar me trajnim te vazhdueshem</t>
  </si>
  <si>
    <t xml:space="preserve">Ritja e aksesit  ne Arsimin profesional </t>
  </si>
  <si>
    <t>Treguesit e Performancës në nivel objektivi</t>
  </si>
  <si>
    <t xml:space="preserve">% e nxenesve ne AP ne krahasim  me nxenesit qe ndjeki arsimin parauniversitar </t>
  </si>
  <si>
    <t>Numri i nxenesve femra qe ndjekin AP</t>
  </si>
  <si>
    <t>numeri i nxenesve me PAK ne AP</t>
  </si>
  <si>
    <t>% e nxenesve nga zona rurale ne AP</t>
  </si>
  <si>
    <t>Nxenes qe ndjekin shkollat e AP</t>
  </si>
  <si>
    <t>Numri i nxeneve te rregjistruar ne 35 shkollat e arsimit profesional</t>
  </si>
  <si>
    <t>Numer</t>
  </si>
  <si>
    <t>Bursa te perfituara nga nxensit e AP</t>
  </si>
  <si>
    <t xml:space="preserve">Sipas kritereve te  VKM se bursave qe del cdo vit mesimor </t>
  </si>
  <si>
    <t>numer bursash</t>
  </si>
  <si>
    <t>nxenes perfitojne subvencion tekste mesiomore</t>
  </si>
  <si>
    <t>Nxenesit sipas kriteve te pecaktuara ne VKM perfirojne tekste falas (nxenes Rome egjyptiane,jetime me ndihme ekonomike etj)</t>
  </si>
  <si>
    <t xml:space="preserve">numer </t>
  </si>
  <si>
    <t>Mobilje e Pajisje  per shkollat e AP</t>
  </si>
  <si>
    <t xml:space="preserve">Blerja e karrige tavolina, dollape etj per nxenesit,e mesuest e shkollave profesionale </t>
  </si>
  <si>
    <t>Cope</t>
  </si>
  <si>
    <t xml:space="preserve">Sigurimi i cilesise ne AFP </t>
  </si>
  <si>
    <t xml:space="preserve"> Numer Shkolla te pajisuara  me  makineri pajisje e kabinete per praktikat profesionale e laboratore didaktike </t>
  </si>
  <si>
    <t xml:space="preserve">% e mesuesve te trajnuar </t>
  </si>
  <si>
    <t>Standarte te kualifikmeve te perditsuara te referencuara me KEK</t>
  </si>
  <si>
    <t xml:space="preserve"> KSHK i implementuar </t>
  </si>
  <si>
    <t>Modeli i Akreditimit i konceptuar.</t>
  </si>
  <si>
    <t xml:space="preserve">Skeletkurikula dhe materiale mesimore të hartuara </t>
  </si>
  <si>
    <t xml:space="preserve">Puna per rishikimin dhe hartimi  per një kualifikim te nje niveli te KSHK, programet orientuese etj. </t>
  </si>
  <si>
    <r>
      <rPr>
        <b/>
        <sz val="8"/>
        <color rgb="FFFF0000"/>
        <rFont val="Garamond"/>
        <family val="1"/>
      </rPr>
      <t>Produkti 2</t>
    </r>
    <r>
      <rPr>
        <sz val="8"/>
        <color theme="1"/>
        <rFont val="Garamond"/>
        <family val="1"/>
      </rPr>
      <t>(shto produkte sipas rastit)</t>
    </r>
  </si>
  <si>
    <t>Sandarte profesionesh dhe kualifikimesh te miratuara</t>
  </si>
  <si>
    <t>a)Pershkrimi i arritjeve te nxeensve ne fund te kualifikimit per nje nivel te KSHK b) pershkrimi i  funksioneve,detyrave, kompetencave  dhe kushteve te nevojshme te punes per ushtrimin e nje profesioni.</t>
  </si>
  <si>
    <t>numer</t>
  </si>
  <si>
    <r>
      <t xml:space="preserve">Detajimi i Kostos Totale të </t>
    </r>
    <r>
      <rPr>
        <b/>
        <sz val="8"/>
        <color rgb="FFFF0000"/>
        <rFont val="Garamond"/>
        <family val="1"/>
      </rPr>
      <t xml:space="preserve">Produktit 2 </t>
    </r>
    <r>
      <rPr>
        <b/>
        <sz val="8"/>
        <color theme="1"/>
        <rFont val="Garamond"/>
        <family val="1"/>
      </rPr>
      <t>sipas Artikujve Ekonomikë</t>
    </r>
  </si>
  <si>
    <r>
      <rPr>
        <b/>
        <sz val="8"/>
        <color rgb="FFFF0000"/>
        <rFont val="Garamond"/>
        <family val="1"/>
      </rPr>
      <t>Produkti 3</t>
    </r>
    <r>
      <rPr>
        <sz val="8"/>
        <color theme="1"/>
        <rFont val="Garamond"/>
        <family val="1"/>
      </rPr>
      <t>(shto produkte sipas rastit)</t>
    </r>
  </si>
  <si>
    <t xml:space="preserve">Mesues te trajnuar </t>
  </si>
  <si>
    <t>Trajnimi 24 ditor i mesuesve te teorise dhe praktikes profesionale, dhe trajnime te tjera te vazhduara per mesuesit ne AP</t>
  </si>
  <si>
    <t xml:space="preserve">Shkolla te vetvleresuara </t>
  </si>
  <si>
    <t xml:space="preserve">Fillimi i procesit te vetveleresimit ne shkollat AP (sipas udhezimit nr 16 date 08.05.2018)  hartimi i metodologjise se vleresimit, pilotimi i procesit </t>
  </si>
  <si>
    <t>Akte neligjore te hartuara e miraturara</t>
  </si>
  <si>
    <t>Hartimi i akteve nenligjore per ligjin e KSHK dhe AFP</t>
  </si>
  <si>
    <t>Produkti 1,2,3,4</t>
  </si>
  <si>
    <t xml:space="preserve">Kompjutera, printera, projektor </t>
  </si>
  <si>
    <t>Ndertim/rikostruksion, shkollash dhe reparte te praktikave profesionale</t>
  </si>
  <si>
    <t xml:space="preserve">Ndertimi i shkollave te reja/rikostruksioni dhe shtese e kapaciteteve te shkollave dhe reparteve te praktikave profesionale </t>
  </si>
  <si>
    <t>Numer shkollash dhe repartesh</t>
  </si>
  <si>
    <t xml:space="preserve">laboratore, pajisje, makineri per repartet e praktikave profesionale  </t>
  </si>
  <si>
    <t>Blerja e laboratoreve te lendeve te pergjithshme, blerje makineri dhe pajisje per repartet e praktikave profesionale, kafshe (Lope dele etj) per shkollat bujqesore.</t>
  </si>
  <si>
    <t>Programi konsiston ne hartimin, mbeshtejen e zbatimit dhe monitorimin politikave per sigurimin e strehimit te perballueshem dhe te pershtatshem per kategorite qe nuk perballojne dot kostot e strehimit ne treg; percakton rregulla te pergjitheshme, norma e standarte dhe siguron financime per realizimin e politikave te programit.</t>
  </si>
  <si>
    <t xml:space="preserve">Qellimi final i politikave eshte te ndikoje ne uljen e varferise, te papunesise dhe te emigracionit te te rinjve dhe  ne rritjen e cilesise se jeteses </t>
  </si>
  <si>
    <t>Reduktimi i varferise ekreteme si rezultat i zbatimit te programeve sociale te strehimit Numri i familjeve ne varferi extreme sipas BB)</t>
  </si>
  <si>
    <t>Reduktimi i nurmit te familjeve qe emigrojne si rezultat i mbeshtetjes me programet sociale te strehimit (numri i personave qe kane emigrauar ne vitin 2017)</t>
  </si>
  <si>
    <t>Rritja e numrit te banesave me eficience energjise te permiresuar</t>
  </si>
  <si>
    <t>Te siguroje strehim te pershtatshem e te perballueshem per individe e familje qe nuk perballojne dot kostot e tregut te banesave</t>
  </si>
  <si>
    <t>Perqindja e familjeve qe kane permiresuar kushtet e jeteses si rezultat i perfitimit nga programet sociale (progresive)</t>
  </si>
  <si>
    <t>Rritja e perfitueseve te kategorise "femra te dhunuara" dhe "gra kryefamiljare"</t>
  </si>
  <si>
    <t>Nuk ka informacion</t>
  </si>
  <si>
    <t>Kredi ekzistuese qe subvencionohen</t>
  </si>
  <si>
    <t>Numer familje qe kane perfituar kredi dhe u subvencionohen interesat</t>
  </si>
  <si>
    <t>Numer kredi/familje</t>
  </si>
  <si>
    <r>
      <t xml:space="preserve">Detajimi i Kostos Totale të </t>
    </r>
    <r>
      <rPr>
        <b/>
        <sz val="9"/>
        <color rgb="FFFF0000"/>
        <rFont val="Garamond"/>
        <family val="1"/>
      </rPr>
      <t>Produktit 1</t>
    </r>
    <r>
      <rPr>
        <b/>
        <sz val="9"/>
        <color theme="1"/>
        <rFont val="Garamond"/>
        <family val="1"/>
      </rPr>
      <t xml:space="preserve"> sipas Artikujve Ekonomikë</t>
    </r>
  </si>
  <si>
    <r>
      <rPr>
        <b/>
        <sz val="9"/>
        <color rgb="FFFF0000"/>
        <rFont val="Garamond"/>
        <family val="1"/>
      </rPr>
      <t>Produkti 2</t>
    </r>
    <r>
      <rPr>
        <b/>
        <sz val="9"/>
        <color theme="1"/>
        <rFont val="Garamond"/>
        <family val="1"/>
      </rPr>
      <t xml:space="preserve"> (shto produkte sipas rastit)</t>
    </r>
  </si>
  <si>
    <t>Kredi te reja</t>
  </si>
  <si>
    <t>Familje qe futen rishtas ne skeme</t>
  </si>
  <si>
    <r>
      <t>Detajimi i Kostos Totale të</t>
    </r>
    <r>
      <rPr>
        <b/>
        <sz val="9"/>
        <color rgb="FFFF0000"/>
        <rFont val="Garamond"/>
        <family val="1"/>
      </rPr>
      <t xml:space="preserve"> Produktit 2 </t>
    </r>
    <r>
      <rPr>
        <b/>
        <sz val="9"/>
        <color theme="1"/>
        <rFont val="Garamond"/>
        <family val="1"/>
      </rPr>
      <t>sipas Artikujve Ekonomikë</t>
    </r>
  </si>
  <si>
    <r>
      <rPr>
        <b/>
        <sz val="9"/>
        <color rgb="FFFF0000"/>
        <rFont val="Garamond"/>
        <family val="1"/>
      </rPr>
      <t>Produkti 3</t>
    </r>
    <r>
      <rPr>
        <sz val="9"/>
        <color theme="1"/>
        <rFont val="Garamond"/>
        <family val="1"/>
      </rPr>
      <t xml:space="preserve"> (shto produkte sipas rastit)</t>
    </r>
  </si>
  <si>
    <t>Bonusi i qirase</t>
  </si>
  <si>
    <t>Numer familje qe perfitojne bonus qiraje</t>
  </si>
  <si>
    <t>Numer (familje) perfituesish</t>
  </si>
  <si>
    <r>
      <t>Detajimi i Kostos Totale të</t>
    </r>
    <r>
      <rPr>
        <b/>
        <sz val="9"/>
        <color rgb="FFFF0000"/>
        <rFont val="Garamond"/>
        <family val="1"/>
      </rPr>
      <t xml:space="preserve"> Produktit 3 </t>
    </r>
    <r>
      <rPr>
        <b/>
        <sz val="9"/>
        <color theme="1"/>
        <rFont val="Garamond"/>
        <family val="1"/>
      </rPr>
      <t>sipas Artikujve Ekonomikë</t>
    </r>
  </si>
  <si>
    <t>Adaptimi i objekteve jo banimi ne banesa sociale me qira</t>
  </si>
  <si>
    <t>Objekte te adaptuara</t>
  </si>
  <si>
    <t>Numer familje qe perfitojne banesa sociale me qira ne objekte te adaptuara</t>
  </si>
  <si>
    <r>
      <t xml:space="preserve">Detajimi i Kostos Totale të </t>
    </r>
    <r>
      <rPr>
        <b/>
        <sz val="9"/>
        <color rgb="FFFF0000"/>
        <rFont val="Garamond"/>
        <family val="1"/>
      </rPr>
      <t>Produktit 4</t>
    </r>
    <r>
      <rPr>
        <b/>
        <sz val="9"/>
        <color theme="1"/>
        <rFont val="Garamond"/>
        <family val="1"/>
      </rPr>
      <t xml:space="preserve"> sipas Artikujve Ekonomikë</t>
    </r>
  </si>
  <si>
    <t>Permiresimi i kushteve te banimit te komuniteteve te pa-favorizuara</t>
  </si>
  <si>
    <t xml:space="preserve">Produkti 5 </t>
  </si>
  <si>
    <t>Banesa te permriesuara</t>
  </si>
  <si>
    <t>Familje qe kane perfituar nga banesat e permriesuara</t>
  </si>
  <si>
    <t>numer familjesh</t>
  </si>
  <si>
    <r>
      <t xml:space="preserve">Detajimi i Kostos Totale të </t>
    </r>
    <r>
      <rPr>
        <b/>
        <sz val="9"/>
        <color rgb="FFFF0000"/>
        <rFont val="Garamond"/>
        <family val="1"/>
      </rPr>
      <t>Produktit 5</t>
    </r>
    <r>
      <rPr>
        <b/>
        <sz val="9"/>
        <color theme="1"/>
        <rFont val="Garamond"/>
        <family val="1"/>
      </rPr>
      <t xml:space="preserve"> sipas Artikujve Ekonomikë</t>
    </r>
  </si>
  <si>
    <t>Mbeshtetje per Mbikq.e Tregut, Infrast. e Ciles. dhe Pron. Industr.Ky program nepermjet mbeshtetjes dhe promovimit te perdorimit te i) standardeve europiane e  nderkombetare, ii) akreditimit si njohje e besushmerise se rezulateve te organeve te vleresimit te  konformitetit, iii) metrologjise per matje te sakta dhe te sigurta per konsumatoret si dhe iv)  mbeshtetjes se inspektimeve ne treg , synon te siguroje nje nivel te larte te mbrojtjes se jetes,  shendetit, interesave ekonomike te konsumatoreve, nepermjet inspektimve ne treg  dhe rritjen dhe zhvillimin e tregtise dhe konkurences se ndershme</t>
  </si>
  <si>
    <t>Programi "Sigurimi Shoqëror" mbulon me fonde transfertat për individët nga pensionet publike, nga përfitimet në rastet e paaftësise së përkohshme për punë, nga perfitimet në raste barrëlindje,  nga përfitimet në raste të aksidenteve në punë, nga përfitimet e kompensimeve të ndryshme të shpenzimeve nga rritja e çmimeve, nga  përfitimet  nga sigurimet suplementare,  ne momentin e lindjes së  te drejtës dhe nevojës për to.Gjithashtu, programi mbulon mbledhjen dhe administrimin e të ardhurave nga kontibutet e fermerëve dhe të siguruarve vullnetarisht, administrimi i kontributeve dhe i transfertave me destinacion nga buxheti i shtetit në buxhetin e ISSH, si dhe administrimin e të gjithë informacionit që lidhet me të drejtat e  fituara të kontribuesve në skemën e sigurimit shoqëror të detyrueshëm dhe suplementar.</t>
  </si>
  <si>
    <t>Ministria e Financave dhe Ekonomisë</t>
  </si>
  <si>
    <r>
      <rPr>
        <b/>
        <sz val="8"/>
        <color rgb="FFFF0000"/>
        <rFont val="Garamond"/>
        <family val="1"/>
        <charset val="238"/>
      </rPr>
      <t>Produkti 3</t>
    </r>
    <r>
      <rPr>
        <sz val="8"/>
        <color theme="1"/>
        <rFont val="Garamond"/>
        <family val="1"/>
      </rPr>
      <t xml:space="preserve"> (shto produkte sipas rastit)</t>
    </r>
  </si>
  <si>
    <t>10</t>
  </si>
  <si>
    <t>Ministria e Financave dhe Ekonomise</t>
  </si>
  <si>
    <t>Misioni I Njësisë së Qeverisjes Qendrore</t>
  </si>
  <si>
    <t>Misioni i Ministrisë së Financave dhe Ekonomise është arritja e stabilitetit ekonomik nëpërmjet drejtimit me eficiencë, efektivitet dhe transparencë të financave publike, garantimin e te drejtave kushtetuese per arsim dhe formim profesional, punesim te sigurte e te denje, sigurim shoqeror, hartimin dhe zbatimin e politikave ne fushen e konvergjimit ekonomiko-social të rajoneve të vendit, përmirësimit të klimës dhe shërbimeve për biznesin, etj</t>
  </si>
  <si>
    <t>Menaxhimi i Shpenzimeve Publike</t>
  </si>
  <si>
    <t xml:space="preserve">Fusha e veprimit te ketij programi konsiston ne:  1. Pergatitjen e kuadrit makroekonomik dhe fiskal  2. Planifikimin dhe monitorimin e zbatimit te Programit Buxhetor Afatmesem dhe Buxhetit Vjetor te shtetit  3. Menaxhimin e borxhit publik 4.Harmonizimi i menaxhimin financiar dhe kontrollin ne institucionet publike. 5. Hartimi dhe miratimi i planeve, programeve dhe strategjive per MFK dhe AB ne sektorin publik. Sigurimi i nje procesi me cilesi te larte dhe transparent dhe pergjegjshmeri per zhvillimin dhe implementimin e KBFP ne sektorin publik. </t>
  </si>
  <si>
    <t>Politikat Ekzistuese në Përputhje me Tavanet Indikative Buxhetore</t>
  </si>
  <si>
    <t>Kodi I Programit</t>
  </si>
  <si>
    <t>Emërtesa e Programit Buxhetor 1</t>
  </si>
  <si>
    <t>Emërtesa e Programit Buxhetor X</t>
  </si>
  <si>
    <t>Aftësi më të larta dhe punë më të mirë për të gjithë femrat dhe meshkujt, nepermjet politikave te cilat nxisin vende pune cilësore dhe mundësi aftësimi për te gjithë
femrat dhe meshkujt gjatë gjithë ciklit të jetës. Politika aktive koherente të bashkërenduara me kërkesën dhe ofertën për punësim qe sjellin mënjanimin e hendeqeve të
përfshirjes sociale. Të promovojë nje treg punes gjitheperfshires si për femrat dhe për meshkujt, nepermjet programeve aktive te tregut te punës. (programe nxitje
punesimit, trainimit, ritrainimit, praktikave ne vendin e punes,ose masave te tjera qe gjenerojne punesim). Permiresimi i sistemit te menaxhimit te migrimit sipas sandarteve
te BE. Rritjen e perfshirjes se grupeve te vecanta ne TP. 10% me shume gra dhe burra ne programet e punesimit. 75% do te jene gra, nga 55% e te punesuarve pas
masave te nxitjes se punesimit. 2 here me shume investim per masat e nxitjes se punesimit.</t>
  </si>
  <si>
    <t>PROGRAMI I SHPENZIMEVE SIPAS TAVANEVE</t>
  </si>
  <si>
    <t>Kosto totale e produktit 13</t>
  </si>
  <si>
    <r>
      <t>Detajimi i Kostos Totale të</t>
    </r>
    <r>
      <rPr>
        <b/>
        <sz val="8"/>
        <color rgb="FFFF0000"/>
        <rFont val="Garamond"/>
        <family val="1"/>
      </rPr>
      <t xml:space="preserve"> Produktit 13 </t>
    </r>
    <r>
      <rPr>
        <b/>
        <sz val="8"/>
        <color theme="1"/>
        <rFont val="Garamond"/>
        <family val="1"/>
      </rPr>
      <t>sipas Artikujve Ekonomikë</t>
    </r>
  </si>
  <si>
    <t>Produkti 13</t>
  </si>
  <si>
    <t>Kosto totale e produktit 12</t>
  </si>
  <si>
    <r>
      <t>Detajimi i Kostos Totale të</t>
    </r>
    <r>
      <rPr>
        <b/>
        <sz val="8"/>
        <color rgb="FFFF0000"/>
        <rFont val="Garamond"/>
        <family val="1"/>
      </rPr>
      <t xml:space="preserve"> Produktit 12 </t>
    </r>
    <r>
      <rPr>
        <b/>
        <sz val="8"/>
        <color theme="1"/>
        <rFont val="Garamond"/>
        <family val="1"/>
      </rPr>
      <t>sipas Artikujve Ekonomikë</t>
    </r>
  </si>
  <si>
    <t>Produkti 12</t>
  </si>
  <si>
    <r>
      <t>Detajimi i Kostos Totale të</t>
    </r>
    <r>
      <rPr>
        <b/>
        <sz val="8"/>
        <color rgb="FFFF0000"/>
        <rFont val="Garamond"/>
        <family val="1"/>
      </rPr>
      <t xml:space="preserve"> Produktit 11 </t>
    </r>
    <r>
      <rPr>
        <b/>
        <sz val="8"/>
        <color theme="1"/>
        <rFont val="Garamond"/>
        <family val="1"/>
      </rPr>
      <t>sipas Artikujve Ekonomikë</t>
    </r>
  </si>
  <si>
    <t>ne mije leke</t>
  </si>
  <si>
    <r>
      <t>Detajimi i Kostos Totale të</t>
    </r>
    <r>
      <rPr>
        <b/>
        <sz val="8"/>
        <color rgb="FFFF0000"/>
        <rFont val="Garamond"/>
        <family val="1"/>
      </rPr>
      <t xml:space="preserve"> Produktit 10 </t>
    </r>
    <r>
      <rPr>
        <b/>
        <sz val="8"/>
        <color theme="1"/>
        <rFont val="Garamond"/>
        <family val="1"/>
      </rPr>
      <t>sipas Artikujve Ekonomikë</t>
    </r>
  </si>
  <si>
    <r>
      <t>Detajimi i Kostos Totale të</t>
    </r>
    <r>
      <rPr>
        <b/>
        <sz val="8"/>
        <color rgb="FFFF0000"/>
        <rFont val="Garamond"/>
        <family val="1"/>
      </rPr>
      <t xml:space="preserve"> Produktit 9 </t>
    </r>
    <r>
      <rPr>
        <b/>
        <sz val="8"/>
        <color theme="1"/>
        <rFont val="Garamond"/>
        <family val="1"/>
      </rPr>
      <t>sipas Artikujve Ekonomikë</t>
    </r>
  </si>
  <si>
    <r>
      <t>Detajimi i Kostos Totale të</t>
    </r>
    <r>
      <rPr>
        <b/>
        <sz val="8"/>
        <color rgb="FFFF0000"/>
        <rFont val="Garamond"/>
        <family val="1"/>
      </rPr>
      <t xml:space="preserve"> Produktit 8 </t>
    </r>
    <r>
      <rPr>
        <b/>
        <sz val="8"/>
        <color theme="1"/>
        <rFont val="Garamond"/>
        <family val="1"/>
      </rPr>
      <t>sipas Artikujve Ekonomikë</t>
    </r>
  </si>
  <si>
    <r>
      <t>Detajimi i Kostos Totale të</t>
    </r>
    <r>
      <rPr>
        <b/>
        <sz val="8"/>
        <color rgb="FFFF0000"/>
        <rFont val="Garamond"/>
        <family val="1"/>
      </rPr>
      <t xml:space="preserve"> Produktit 7 </t>
    </r>
    <r>
      <rPr>
        <b/>
        <sz val="8"/>
        <color theme="1"/>
        <rFont val="Garamond"/>
        <family val="1"/>
      </rPr>
      <t>sipas Artikujve Ekonomikë</t>
    </r>
  </si>
  <si>
    <r>
      <t>Detajimi i Kostos Totale të</t>
    </r>
    <r>
      <rPr>
        <b/>
        <sz val="8"/>
        <color rgb="FFFF0000"/>
        <rFont val="Garamond"/>
        <family val="1"/>
      </rPr>
      <t xml:space="preserve"> Produktit 6 </t>
    </r>
    <r>
      <rPr>
        <b/>
        <sz val="8"/>
        <color theme="1"/>
        <rFont val="Garamond"/>
        <family val="1"/>
      </rPr>
      <t>sipas Artikujve Ekonomikë</t>
    </r>
  </si>
  <si>
    <r>
      <t>Detajimi i Kostos Totale të</t>
    </r>
    <r>
      <rPr>
        <b/>
        <sz val="8"/>
        <color rgb="FFFF0000"/>
        <rFont val="Garamond"/>
        <family val="1"/>
      </rPr>
      <t xml:space="preserve"> Produktit 5 </t>
    </r>
    <r>
      <rPr>
        <b/>
        <sz val="8"/>
        <color theme="1"/>
        <rFont val="Garamond"/>
        <family val="1"/>
      </rPr>
      <t>sipas Artikujve Ekonomikë</t>
    </r>
  </si>
  <si>
    <r>
      <t>Detajimi i Kostos Totale të</t>
    </r>
    <r>
      <rPr>
        <b/>
        <sz val="8"/>
        <color rgb="FFFF0000"/>
        <rFont val="Garamond"/>
        <family val="1"/>
      </rPr>
      <t xml:space="preserve"> Produktit 1 </t>
    </r>
    <r>
      <rPr>
        <b/>
        <sz val="8"/>
        <color theme="1"/>
        <rFont val="Garamond"/>
        <family val="1"/>
      </rPr>
      <t>sipas Artikujve Ekonomikë</t>
    </r>
  </si>
  <si>
    <t>Treguesit e Performancës për Objektivin 3**</t>
  </si>
  <si>
    <t>Objektivi 3 i Politikës së Programit                    "Programe Kompensuese te Shtetit dhe Trajtime te vecanta"</t>
  </si>
  <si>
    <t>Treguesit e Performancës për Objektivin 2**</t>
  </si>
  <si>
    <r>
      <rPr>
        <b/>
        <sz val="8"/>
        <color rgb="FFFF0000"/>
        <rFont val="Garamond"/>
        <family val="1"/>
      </rPr>
      <t>Produkti 4</t>
    </r>
    <r>
      <rPr>
        <sz val="8"/>
        <color theme="1"/>
        <rFont val="Garamond"/>
        <family val="1"/>
      </rPr>
      <t xml:space="preserve"> </t>
    </r>
  </si>
  <si>
    <r>
      <rPr>
        <b/>
        <sz val="8"/>
        <color rgb="FFFF0000"/>
        <rFont val="Garamond"/>
        <family val="1"/>
      </rPr>
      <t>Produkti 2</t>
    </r>
    <r>
      <rPr>
        <sz val="8"/>
        <color theme="1"/>
        <rFont val="Garamond"/>
        <family val="1"/>
      </rPr>
      <t xml:space="preserve"> </t>
    </r>
  </si>
  <si>
    <t>Shpenzimet Korente</t>
  </si>
  <si>
    <t>10220</t>
  </si>
  <si>
    <t>Misioni i programit është mbulimi me elementë të sigurimeve shoqërore, i gjithë popullsisë së vendit dhe i rezidenteve ekonomikisht aktive, akordimi, kordimi dhe transferta për llogari të tyre i përfitimeve nga; pensionet, nga paaftësia e përkohshme për punë, në raste barrëlindje,  në raste të aksidenteve në punë, i kompensimeve te ndryshme të shpenzimeve nga rritja e çmimeve, nga sigurimet suplementare,  në momentin e lindjes së  te drejtës dhe nevojës për to. Mbledhja dhe administrimi i të ardhurave nga kontibutet e fermerëve dhe kontributet vullnetare. Administrimi i kontributeve dhe i transfertave me destinacion nga buxheti i shtetit në buxhetin e ISSH.</t>
  </si>
  <si>
    <t>Sigurimi Shoqëror</t>
  </si>
  <si>
    <t>Misioni i Institutit te Sigurimeve Shoqërore (ISSH) është administrimi i Sigurimeve Shoqërore në përgjithësi dhe i politikave të pensioneve në veçanti, vendosja e personave të siguruar dhe përmirësimi i shërbimeve ndaj tyre në qendër të veprimtarisë, mbulimi i popullsisë me elemente të sigurimeve shoqërore atje dhe në atë kohe kur lind kjo e drejtë, rritja e numrit te kontribuesve dhe grumbullimi i të ardhurave të kontributeve nga personat e vetëpunësuar në bujqësi dhe të siguruarit vullnetarisht, përmirësimi i efiçencës në menaxhimin e fondeve të sigurimeve shoqërore, fondeve të sigurimeve suplementare, transfertave nga buxheti i shtetit për programe të veçanta kompensuese të shtetit për pensionistët, menaxhimi me efektivitet  i fondit rezervë.</t>
  </si>
  <si>
    <t>Ministria e Financave dhe Ekonomise/Instituti i Sigurimeve Shoqerore</t>
  </si>
  <si>
    <t>Drejtoria e Pwrgjithshme e Doganave</t>
  </si>
  <si>
    <t xml:space="preserve">Misioni i Drejtorisë së Përgjithshme të Doganave  është
• të mbrojë interesat financiare dhe ekonomike të Shqipërisë
• të kontribuojë për sigurinë dhe mbrojtjen e shoqërisë 
• të lehtësojë  tregtinë, të bashkëpunojë në nivel kombëtar dhe ndërkombëtar me të gjithë aktorët përkatës.
Misioni i Drejtorisë së Përgjithshme të Doganave  është
• të mbrojë interesat financiare dhe ekonomike të Shqipërisë
• të kontribuojë për sigurinë dhe mbrojtjen e shoqërisë 
• të lehtësojë  tregtinë, të bashkëpunojë në nivel kombëtar dhe ndërkombëtar me të gjithë aktorët përkatës.
</t>
  </si>
  <si>
    <t>Mbledhja dhe menaxhimi i të ardhurave doganore,lehtësimi i tregtisë  së ligjshme dhe parandalimi e goditja e trafiqeve ilegale me qëllim rritjen e mirëqënies shoqërore.</t>
  </si>
  <si>
    <t>Politikat Ekzistuese në Përputhje me Tavanet Perfundimtare  Buxhetore</t>
  </si>
  <si>
    <t>Në këtë produkt janë përfshirë blerja dhe pajisjeve per Laboratoriin kimik doganor  SI DHE SKANERA MOBILE PER DEGET DOGANORE</t>
  </si>
  <si>
    <t>Detajimi i Kostos Totale të Produktit 7sipas Artikujve Ekonomikë</t>
  </si>
  <si>
    <t xml:space="preserve">Automjete, Motovedeta </t>
  </si>
  <si>
    <t>Blerjeautomjete dhe motovedeta</t>
  </si>
  <si>
    <t>Mbeshtetje per Mbikeqyrjen e Tregut, Infrastruktures, Cilesise dhe Pronesise Industriale.</t>
  </si>
  <si>
    <t>1010279</t>
  </si>
  <si>
    <t xml:space="preserve">Hartimi dhe zbatimi i politikave për krijimin e një mjedisi të përgjithshëm ligjor dhe institucional që i garanton konsumatorëve mbrojtjen e shëndetit, të sigurisë dhe interesave ekonomike, përmirësimin e edukimit, informimit dhe ndërgjegjësimit, mbështetjen për një zbatim efektiv të të drejtave të tyre, me qëllim fuqizimin e konsumatorëve dhe rritjen e besimit të tyre për kryerjen e blerjeve të mallrave dhe shërbimeve në treg, duke e bërë tregun të punojë për ta”.   
</t>
  </si>
  <si>
    <t>Mbeshtetje per mbikqyrjen e Tregut infrastruktures e cilesise dhe prones industriale</t>
  </si>
  <si>
    <t>Ky program nepermjet mbeshtetjes dhe promovimit te perdorimit te i) standardeve europiane e 
nderkombetare, ii) akreditimit si njohje e besushmerise se rezulateve te organeve te vleresimit te 
konformitetit, iii) metrologjise per matje te sakta dhe te sigurta per konsumatoret si dhe iv) 
mbeshtetjes se pronesise industriale, synon te siguroje nje nivel te larte te mbrojtjes se jetes, 
shendetit, interesave ekonomike te konsumatoreve, nepermjet inspektimve ne treg  dhe rritjen dhe zhvillimin e tregtise dhe konkurences se ndershme</t>
  </si>
  <si>
    <t>000/LEKE</t>
  </si>
  <si>
    <t>Vizioni i DPA është të bëhet anëtar firmosës i marrëveshjeve të njohjes reciproke me EA në të gjitha fushat dhe të marrë pjesë aktive në procesin e zhvillimit ekonomik të vendit.</t>
  </si>
  <si>
    <t>nr.dosje</t>
  </si>
  <si>
    <t>nr. Seminare</t>
  </si>
  <si>
    <r>
      <rPr>
        <b/>
        <sz val="8"/>
        <color rgb="FFFF0000"/>
        <rFont val="Garamond"/>
        <family val="1"/>
      </rPr>
      <t>Produkti X</t>
    </r>
    <r>
      <rPr>
        <sz val="8"/>
        <color theme="1"/>
        <rFont val="Garamond"/>
        <family val="1"/>
      </rPr>
      <t xml:space="preserve"> (shto produkte sipas rastit)</t>
    </r>
  </si>
  <si>
    <t>Zgjerimi i metejshem i njohjes nderkombetare te DPM-se ne tre fusha dhe pergatitja per njohje ne fusha te tjera.</t>
  </si>
  <si>
    <t>paga</t>
  </si>
  <si>
    <t>sigurimet shoqerore dhe shendetsore</t>
  </si>
  <si>
    <t>mallrat dhe sherbimet</t>
  </si>
  <si>
    <r>
      <rPr>
        <b/>
        <sz val="8"/>
        <color rgb="FFFF0000"/>
        <rFont val="Garamond"/>
        <family val="1"/>
      </rPr>
      <t xml:space="preserve">Produkti 1 </t>
    </r>
    <r>
      <rPr>
        <sz val="8"/>
        <color theme="1"/>
        <rFont val="Garamond"/>
        <family val="1"/>
      </rPr>
      <t>(shto produkte sipas rastit)</t>
    </r>
  </si>
  <si>
    <t>Zbatimi i kërkesave ligjore nga subjektet konform legjislacionit në fuqi për metrologjinë, sigurinë e produkteve joushqimore, turizimin, pronësinë intelektuale. Ndërgjegjësimi dhe informimi i subjekteve për detyrimet në zbatim të legjislacionit si dhe i konsumatorëve për të drejtat e tyre.</t>
  </si>
  <si>
    <t>Rritja e financimit  të SME-ve nëpërmjet  fondeve dhe programeve me kontributin e qeverisë dhe donatorëve, për hartimin e politikave, kuadrit ligjor dhe institucional në mbështetje të zhvillimit të sipërmarrjes dhe investimeve.Kryerja e procesit të regjistrimit  dhe të licencimit/lejimit të biznesit</t>
  </si>
  <si>
    <t>Numri i kompanive te suksesshme ne tregun rajonal.</t>
  </si>
  <si>
    <t xml:space="preserve">Numri i fondeve grant te disbursuara  </t>
  </si>
  <si>
    <t>Zgjerimi I databases se eksporteve</t>
  </si>
  <si>
    <t>Nr I kompanive perfituese</t>
  </si>
  <si>
    <t>Nr I kompanive aplikuese</t>
  </si>
  <si>
    <t>Numri I aktiviteteve promovuese</t>
  </si>
  <si>
    <t>Mbështetja e investimeve të drejtpërdrejta në Republikën e Shqipërisë, 
nëpërmjet identifikimit e promovimit të mundësive për investime, duke i ofruar shërbime 
dhe mbështetje investitorëve ekzistues ose potencialë .Nxitjen e eksporteve dhe rritjes se konkurrueshmerise se SME-ve nepermjet promovimit te eksporteve,ofrimit te sherbimeve mbeshtetese dhe suportit financiar me ane te granteve.</t>
  </si>
  <si>
    <t>Programi  ka   për qëllim t'i shërbejë krijimit të një klime pozitive për zhvillimin e biznesit, për krijimin e vendeve të reja të punës, reduktimit të informalitetit në ekonomi, krijimit të një mjedisi konkurrues për zhvillimin e investimeve, krijimit të kushteve të barabarta për konkurrence si dhe tregjeve të sigurta për konsumatorin; përmirësimin e cilësisë se menaxhimit  dhe performances ekonomike të shoqërive  tregtare , krijimit të  një sistemi qe garanton  realizimin e detyrimeve kontraktore ndermjet bizneseve .</t>
  </si>
  <si>
    <t>Ministria e Finanacave dhe Ekonmise</t>
  </si>
  <si>
    <t>Pershkrimi iprogramit</t>
  </si>
  <si>
    <t>Inspektimi në punë është programi që siguron rritjen e mirëqenies në punë nëpërmjet inspektimeve për të siguruar zbatimin e legjislacionit të punës nga subjektet publike dhe private në fushën e marrëdhënieve të punës, sigurisë dhe shëndetit në punë, përmirësimit të cilësisë së shërbimeve shoqërore duke plotësuar dhe zbatuar standartet nderkombetare.</t>
  </si>
  <si>
    <t>Inspektimi ne pune</t>
  </si>
  <si>
    <t xml:space="preserve">FORMAT 2 : FORMATI STANDARD I PËRGATITJES SË KËRKESAVE BUXHETORE PBA 2019-2021 </t>
  </si>
  <si>
    <t>Kodi i Projektit të Investimeve***</t>
  </si>
  <si>
    <t>Paisje Zyre</t>
  </si>
  <si>
    <r>
      <t xml:space="preserve">Detajimi i Kostos Totale të </t>
    </r>
    <r>
      <rPr>
        <b/>
        <sz val="8"/>
        <color rgb="FFFF0000"/>
        <rFont val="Garamond"/>
        <family val="1"/>
      </rPr>
      <t>Produktit A</t>
    </r>
    <r>
      <rPr>
        <b/>
        <sz val="8"/>
        <color theme="1"/>
        <rFont val="Garamond"/>
        <family val="1"/>
      </rPr>
      <t xml:space="preserve"> </t>
    </r>
    <r>
      <rPr>
        <sz val="8"/>
        <color theme="1"/>
        <rFont val="Garamond"/>
        <family val="1"/>
      </rPr>
      <t>sipas Artikujve Ekonomikë</t>
    </r>
  </si>
  <si>
    <t>Kosto totale e produktit</t>
  </si>
  <si>
    <t>M100500</t>
  </si>
  <si>
    <t>Permiresimi I Modulit te Menaxhimit te Kontrollit te Faturimit</t>
  </si>
  <si>
    <t>Krijimi i një mjedisi të ri dhomë serverash(data center), sistem tefonik voip dhe monitorimi i qendërzuar për DPT/DRT</t>
  </si>
  <si>
    <t>Zhvillimi dhe mbajtja në funksion e data warehouse</t>
  </si>
  <si>
    <t>Mbështetja ndaj biznesit</t>
  </si>
  <si>
    <t>Blerje infrastrukture per backup site në kuadër të "Planit të rimëkëmbjes nga katastrofat"</t>
  </si>
  <si>
    <r>
      <t xml:space="preserve">Detajimi i Kostos Totale të </t>
    </r>
    <r>
      <rPr>
        <b/>
        <sz val="8"/>
        <color rgb="FFFF0000"/>
        <rFont val="Garamond"/>
        <family val="1"/>
      </rPr>
      <t>Produktit B</t>
    </r>
    <r>
      <rPr>
        <b/>
        <sz val="8"/>
        <color theme="1"/>
        <rFont val="Garamond"/>
        <family val="1"/>
      </rPr>
      <t xml:space="preserve"> </t>
    </r>
    <r>
      <rPr>
        <sz val="8"/>
        <color theme="1"/>
        <rFont val="Garamond"/>
        <family val="1"/>
      </rPr>
      <t>sipas Artikujve Ekonomikë</t>
    </r>
  </si>
  <si>
    <t xml:space="preserve">Zhvillimi i  një sistemi të arsimit dhe formimit profesional, i cili garanton arsim dhe formim profesional cilësor dhe gjithëpërfshirës nëpërmjet:                                                                                                                                                                                                           
-Optimizimit te rrjetit te ofruesve, diversifikimi i ofertës  per ritjen e aksesit ne AFP                                                                                                                                                                                                          -Rritjes se investimeve  ne sistemin e AFP                                                                                                                                                                                        
-Ngritjes se sistemit te kualifikimit dhe trajnimit te vazhduar te mesuesve dhe instruktoreve te AFP-se                                                                                                                                                                                      -Forcimit te lidhjeve me biznesin nepermjet  të nxënit ne vendin e punes (praktika, skema e çirakërisë etj.)         </t>
  </si>
  <si>
    <t>numër faturash</t>
  </si>
  <si>
    <t>Shpenzime për mbarëvajtjen e veprimtarisë së institucionit: Pagesa e faturave të ujit, energjisë elektrike, karburant etj.</t>
  </si>
  <si>
    <t>Shërbime mirëmbajtje të realizuara</t>
  </si>
  <si>
    <t>numër auditimesh</t>
  </si>
  <si>
    <t>Auditimi i veprimtarive te administrates se MFE, per permiresimin e menaxhimit dhe perdorimin me efektivitet te fondeve publike, duke ndikuar ne eliminuar risqet qe ndikojne ne realizimin e objektivave te strukturave te MFE.</t>
  </si>
  <si>
    <t>Auditime të Kryera</t>
  </si>
  <si>
    <t>Numër aktesh</t>
  </si>
  <si>
    <t>Përgatitja dhe vleresimi paraprak/analiza i projektakteve</t>
  </si>
  <si>
    <t>Personel gra të promovuara në funksione drejtuese</t>
  </si>
  <si>
    <t>Lirime gjate nje viti:
- 20 Nepunes civil, nga te cilet 5 me ngritje ne detyre jashte institucionit
- 19 staf politik
- 5 Kod pune</t>
  </si>
  <si>
    <t>Qarkullimi i jashtëm i punonjësve</t>
  </si>
  <si>
    <t>Masa disiplinore të marra ndaj punonjësve</t>
  </si>
  <si>
    <t>Zhvillimi dhe Mbikqyrja e politikave në fushën e zhvillimit ekonomik, financave publike, arsimit profesional e fushat e tjera të përfshira në këtë program</t>
  </si>
  <si>
    <t>Programi  zhvillon politika dhe strategji ministeriale. Ai kordinon dhe monitoron performancen e programeve te Ministrise , vecanerisht per te promovuar nje perdorim me eficent dhe efektiv te burimeve njerezore dhe financiare. Ky program percakton menaxhimin dhe mbeshtetjen administrative per programet e tjera te ministrise,vecanerisht ne vazhdimesine e zhvillimit te kapaciteteve menaxhuese ne te gjitha nivelet e ministrise per te mundur pergatitjen, zhvillimin dhe implementimin e politikave dhe kuadrit ligjor ne perputhje me standartet e BE-se</t>
  </si>
  <si>
    <t>Planifikimi, Menaxhimi dhe Administrismi</t>
  </si>
  <si>
    <t>Akte ligjore dhe nwnligjore tw pwrgatitura</t>
  </si>
  <si>
    <t>M100290</t>
  </si>
  <si>
    <t>Rikonstruksion I zyrave dhe rrjetit LAN te MoFE (Shtese kontrate)</t>
  </si>
  <si>
    <t>M100024, M100007, dhe 3 projekte te reja</t>
  </si>
  <si>
    <t>Blerje pajisje Zyre, servera, shasi Blade, etj</t>
  </si>
  <si>
    <t>nr. Pajisjesh</t>
  </si>
  <si>
    <t>M100293</t>
  </si>
  <si>
    <t>Blerje Licence per perdoruesit e Sistemit SIFQ</t>
  </si>
  <si>
    <t>nr. Licence</t>
  </si>
  <si>
    <t>Projekt I RI</t>
  </si>
  <si>
    <t>Blerje dhe implementim i Sistemit te Menaxhimit te Dokumendtave Elektornike (SMDE) dhe Arkives Dixhitale te Ministrise se Financave</t>
  </si>
  <si>
    <t>nr. Sistemi</t>
  </si>
  <si>
    <t>Studim projektim</t>
  </si>
  <si>
    <t>Projekt i RI</t>
  </si>
  <si>
    <t>Sistem i qenderzuar financiar per Ministrine e Financave dhe Degete e Thesarit.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</si>
</sst>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3" formatCode="_(* #,##0.00_);_(* \(#,##0.00\);_(* &quot;-&quot;??_);_(@_)"/>
    <numFmt numFmtId="164" formatCode="#,##0.0"/>
    <numFmt numFmtId="165" formatCode="0.0%"/>
    <numFmt numFmtId="166" formatCode="0.0"/>
    <numFmt numFmtId="167" formatCode="_(* #,##0_);_(* \(#,##0\);_(* &quot;-&quot;??_);_(@_)"/>
    <numFmt numFmtId="168" formatCode="_-* #,##0.00_L_e_k_-;\-* #,##0.00_L_e_k_-;_-* &quot;-&quot;??_L_e_k_-;_-@_-"/>
    <numFmt numFmtId="169" formatCode="mmmm\ d\,\ yyyy"/>
  </numFmts>
  <fonts count="78"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10"/>
      <name val="Arial"/>
      <family val="2"/>
    </font>
    <font>
      <b/>
      <sz val="11"/>
      <color theme="1"/>
      <name val="Garamond"/>
      <family val="1"/>
    </font>
    <font>
      <b/>
      <sz val="12"/>
      <color theme="1"/>
      <name val="Garamond"/>
      <family val="1"/>
    </font>
    <font>
      <b/>
      <sz val="14"/>
      <color theme="1"/>
      <name val="Garamond"/>
      <family val="1"/>
    </font>
    <font>
      <sz val="12"/>
      <color theme="1"/>
      <name val="Calibri"/>
      <family val="2"/>
      <scheme val="minor"/>
    </font>
    <font>
      <sz val="12"/>
      <color theme="1"/>
      <name val="Garamond"/>
      <family val="1"/>
    </font>
    <font>
      <sz val="10"/>
      <name val="Arial"/>
      <family val="2"/>
      <charset val="238"/>
    </font>
    <font>
      <sz val="11"/>
      <color rgb="FF000000"/>
      <name val="Calibri"/>
      <family val="2"/>
    </font>
    <font>
      <b/>
      <sz val="10"/>
      <color theme="1"/>
      <name val="Garamond"/>
      <family val="1"/>
    </font>
    <font>
      <sz val="9"/>
      <color theme="1"/>
      <name val="Garamond"/>
      <family val="1"/>
    </font>
    <font>
      <b/>
      <sz val="9"/>
      <color theme="1"/>
      <name val="Garamond"/>
      <family val="1"/>
    </font>
    <font>
      <sz val="8"/>
      <color theme="1"/>
      <name val="Garamond"/>
      <family val="1"/>
    </font>
    <font>
      <b/>
      <sz val="8"/>
      <color theme="1"/>
      <name val="Garamond"/>
      <family val="1"/>
    </font>
    <font>
      <b/>
      <sz val="8"/>
      <color rgb="FFFF0000"/>
      <name val="Garamond"/>
      <family val="1"/>
    </font>
    <font>
      <i/>
      <sz val="8"/>
      <color theme="1"/>
      <name val="Garamond"/>
      <family val="1"/>
    </font>
    <font>
      <b/>
      <i/>
      <sz val="9"/>
      <color rgb="FFFF0000"/>
      <name val="Garamond"/>
      <family val="1"/>
    </font>
    <font>
      <b/>
      <sz val="9"/>
      <color rgb="FFFF0000"/>
      <name val="Garamond"/>
      <family val="1"/>
    </font>
    <font>
      <b/>
      <sz val="11"/>
      <name val="Garamond"/>
      <family val="1"/>
    </font>
    <font>
      <b/>
      <i/>
      <sz val="11"/>
      <color theme="1"/>
      <name val="Garamond"/>
      <family val="1"/>
    </font>
    <font>
      <sz val="11"/>
      <color theme="1"/>
      <name val="Garamond"/>
      <family val="1"/>
    </font>
    <font>
      <i/>
      <sz val="11"/>
      <color theme="1"/>
      <name val="Garamond"/>
      <family val="1"/>
    </font>
    <font>
      <b/>
      <sz val="10"/>
      <color rgb="FFFF0000"/>
      <name val="Garamond"/>
      <family val="1"/>
    </font>
    <font>
      <b/>
      <i/>
      <sz val="8"/>
      <color theme="1"/>
      <name val="Garamond"/>
      <family val="1"/>
    </font>
    <font>
      <b/>
      <i/>
      <sz val="9"/>
      <color theme="1"/>
      <name val="Garamond"/>
      <family val="1"/>
    </font>
    <font>
      <i/>
      <sz val="9"/>
      <color theme="1"/>
      <name val="Garamond"/>
      <family val="1"/>
    </font>
    <font>
      <b/>
      <sz val="8"/>
      <color indexed="10"/>
      <name val="Garamond"/>
      <family val="1"/>
    </font>
    <font>
      <b/>
      <sz val="8"/>
      <color indexed="8"/>
      <name val="Garamond"/>
      <family val="1"/>
    </font>
    <font>
      <i/>
      <sz val="10"/>
      <color theme="1"/>
      <name val="Garamond"/>
      <family val="1"/>
    </font>
    <font>
      <sz val="10"/>
      <color rgb="FFFF0000"/>
      <name val="Garamond"/>
      <family val="1"/>
    </font>
    <font>
      <b/>
      <sz val="12"/>
      <color theme="1"/>
      <name val="Times New Roman"/>
      <family val="1"/>
    </font>
    <font>
      <sz val="8"/>
      <name val="Garamond"/>
      <family val="1"/>
    </font>
    <font>
      <sz val="8"/>
      <color rgb="FFFF0000"/>
      <name val="Garamond"/>
      <family val="1"/>
    </font>
    <font>
      <b/>
      <sz val="8"/>
      <name val="Garamond"/>
      <family val="1"/>
    </font>
    <font>
      <b/>
      <sz val="12"/>
      <color rgb="FFFF0000"/>
      <name val="Garamond"/>
      <family val="1"/>
    </font>
    <font>
      <sz val="8"/>
      <color theme="1"/>
      <name val="Garamond"/>
      <family val="1"/>
      <charset val="238"/>
    </font>
    <font>
      <b/>
      <sz val="8"/>
      <color rgb="FFFF0000"/>
      <name val="Garamond"/>
      <family val="1"/>
      <charset val="238"/>
    </font>
    <font>
      <b/>
      <sz val="8"/>
      <name val="Garamond"/>
      <family val="1"/>
      <charset val="238"/>
    </font>
    <font>
      <sz val="8"/>
      <name val="Garamond"/>
      <family val="1"/>
      <charset val="238"/>
    </font>
    <font>
      <b/>
      <sz val="11"/>
      <color rgb="FFFF0000"/>
      <name val="Calibri"/>
      <family val="2"/>
      <scheme val="minor"/>
    </font>
    <font>
      <sz val="8"/>
      <color theme="1"/>
      <name val="Calibri"/>
      <family val="2"/>
      <scheme val="minor"/>
    </font>
    <font>
      <b/>
      <i/>
      <sz val="8"/>
      <color rgb="FFFF0000"/>
      <name val="Garamond"/>
      <family val="1"/>
    </font>
    <font>
      <b/>
      <sz val="8"/>
      <color rgb="FFFF0000"/>
      <name val="Calibri"/>
      <family val="2"/>
      <scheme val="minor"/>
    </font>
    <font>
      <b/>
      <sz val="10"/>
      <color theme="1"/>
      <name val="Calibri"/>
      <family val="2"/>
      <scheme val="minor"/>
    </font>
    <font>
      <sz val="10"/>
      <color indexed="8"/>
      <name val="Arial"/>
      <family val="2"/>
    </font>
    <font>
      <b/>
      <sz val="11"/>
      <name val="Calibri"/>
      <family val="2"/>
      <scheme val="minor"/>
    </font>
    <font>
      <b/>
      <sz val="10"/>
      <name val="Garamond"/>
      <family val="1"/>
    </font>
    <font>
      <b/>
      <sz val="9"/>
      <name val="Garamond"/>
      <family val="1"/>
    </font>
    <font>
      <b/>
      <i/>
      <sz val="9"/>
      <name val="Garamond"/>
      <family val="1"/>
    </font>
    <font>
      <b/>
      <i/>
      <sz val="8"/>
      <name val="Garamond"/>
      <family val="1"/>
    </font>
    <font>
      <sz val="12"/>
      <color theme="1"/>
      <name val="Times New Roman"/>
      <family val="1"/>
    </font>
    <font>
      <b/>
      <sz val="12"/>
      <color rgb="FFFF0000"/>
      <name val="Times New Roman"/>
      <family val="1"/>
    </font>
    <font>
      <b/>
      <sz val="9"/>
      <color indexed="81"/>
      <name val="Tahoma"/>
      <family val="2"/>
    </font>
    <font>
      <sz val="9"/>
      <color indexed="81"/>
      <name val="Tahoma"/>
      <family val="2"/>
    </font>
    <font>
      <sz val="9"/>
      <name val="Garamond"/>
      <family val="1"/>
    </font>
    <font>
      <i/>
      <sz val="9"/>
      <color theme="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FFCCFF"/>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diagonal/>
    </border>
    <border>
      <left style="medium">
        <color rgb="FF2E74B5"/>
      </left>
      <right style="medium">
        <color rgb="FF2E74B5"/>
      </right>
      <top/>
      <bottom/>
      <diagonal/>
    </border>
    <border>
      <left style="medium">
        <color rgb="FF2E74B5"/>
      </left>
      <right/>
      <top/>
      <bottom/>
      <diagonal/>
    </border>
    <border>
      <left/>
      <right/>
      <top style="medium">
        <color rgb="FF2E74B5"/>
      </top>
      <bottom/>
      <diagonal/>
    </border>
    <border>
      <left/>
      <right style="medium">
        <color rgb="FF2E74B5"/>
      </right>
      <top style="medium">
        <color rgb="FF2E74B5"/>
      </top>
      <bottom/>
      <diagonal/>
    </border>
    <border>
      <left/>
      <right style="medium">
        <color rgb="FF2E74B5"/>
      </right>
      <top/>
      <bottom/>
      <diagonal/>
    </border>
    <border>
      <left style="medium">
        <color rgb="FF2E74B5"/>
      </left>
      <right/>
      <top/>
      <bottom style="medium">
        <color rgb="FF2E74B5"/>
      </bottom>
      <diagonal/>
    </border>
    <border>
      <left/>
      <right/>
      <top/>
      <bottom style="medium">
        <color rgb="FF2E74B5"/>
      </bottom>
      <diagonal/>
    </border>
    <border>
      <left/>
      <right style="medium">
        <color rgb="FF2E74B5"/>
      </right>
      <top/>
      <bottom style="medium">
        <color rgb="FF2E74B5"/>
      </bottom>
      <diagonal/>
    </border>
    <border>
      <left style="medium">
        <color rgb="FF2E74B5"/>
      </left>
      <right style="medium">
        <color rgb="FF2E74B5"/>
      </right>
      <top style="medium">
        <color rgb="FF2E74B5"/>
      </top>
      <bottom/>
      <diagonal/>
    </border>
    <border>
      <left style="medium">
        <color rgb="FF2E74B5"/>
      </left>
      <right style="medium">
        <color rgb="FF2E74B5"/>
      </right>
      <top/>
      <bottom style="medium">
        <color rgb="FF2E74B5"/>
      </bottom>
      <diagonal/>
    </border>
    <border>
      <left style="medium">
        <color rgb="FF2E74B5"/>
      </left>
      <right style="medium">
        <color rgb="FF2E74B5"/>
      </right>
      <top style="thin">
        <color indexed="64"/>
      </top>
      <bottom/>
      <diagonal/>
    </border>
    <border>
      <left/>
      <right style="medium">
        <color rgb="FF2E74B5"/>
      </right>
      <top style="thin">
        <color indexed="64"/>
      </top>
      <bottom/>
      <diagonal/>
    </border>
    <border>
      <left style="thin">
        <color indexed="64"/>
      </left>
      <right style="thin">
        <color indexed="64"/>
      </right>
      <top style="thin">
        <color indexed="64"/>
      </top>
      <bottom style="thin">
        <color indexed="64"/>
      </bottom>
      <diagonal/>
    </border>
    <border>
      <left style="medium">
        <color rgb="FF2E74B5"/>
      </left>
      <right style="medium">
        <color rgb="FF2E74B5"/>
      </right>
      <top style="medium">
        <color rgb="FF2E74B5"/>
      </top>
      <bottom style="thin">
        <color indexed="64"/>
      </bottom>
      <diagonal/>
    </border>
    <border>
      <left style="medium">
        <color rgb="FF2E74B5"/>
      </left>
      <right style="medium">
        <color rgb="FF2E74B5"/>
      </right>
      <top style="thin">
        <color indexed="64"/>
      </top>
      <bottom style="medium">
        <color rgb="FF2E74B5"/>
      </bottom>
      <diagonal/>
    </border>
    <border>
      <left style="medium">
        <color indexed="64"/>
      </left>
      <right style="medium">
        <color indexed="64"/>
      </right>
      <top style="medium">
        <color indexed="64"/>
      </top>
      <bottom style="medium">
        <color indexed="64"/>
      </bottom>
      <diagonal/>
    </border>
    <border>
      <left style="thin">
        <color indexed="64"/>
      </left>
      <right style="medium">
        <color rgb="FF2E74B5"/>
      </right>
      <top style="thin">
        <color indexed="64"/>
      </top>
      <bottom style="thin">
        <color indexed="64"/>
      </bottom>
      <diagonal/>
    </border>
    <border>
      <left/>
      <right style="medium">
        <color rgb="FF2E74B5"/>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rgb="FF2E74B5"/>
      </right>
      <top/>
      <bottom style="medium">
        <color rgb="FF2E74B5"/>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rgb="FF2E74B5"/>
      </top>
      <bottom style="medium">
        <color rgb="FF2E74B5"/>
      </bottom>
      <diagonal/>
    </border>
    <border>
      <left/>
      <right/>
      <top style="thin">
        <color indexed="64"/>
      </top>
      <bottom style="thin">
        <color indexed="64"/>
      </bottom>
      <diagonal/>
    </border>
  </borders>
  <cellStyleXfs count="81">
    <xf numFmtId="0" fontId="0" fillId="0" borderId="0"/>
    <xf numFmtId="0" fontId="5"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23" fillId="0" borderId="0"/>
    <xf numFmtId="9" fontId="5" fillId="0" borderId="0" applyFont="0" applyFill="0" applyBorder="0" applyAlignment="0" applyProtection="0"/>
    <xf numFmtId="0" fontId="27" fillId="0" borderId="0"/>
    <xf numFmtId="164" fontId="23" fillId="0" borderId="0" applyFill="0" applyBorder="0" applyAlignment="0" applyProtection="0"/>
    <xf numFmtId="0" fontId="23" fillId="0" borderId="0" applyFill="0" applyBorder="0" applyAlignment="0" applyProtection="0"/>
    <xf numFmtId="0" fontId="29" fillId="0" borderId="0"/>
    <xf numFmtId="43" fontId="5" fillId="0" borderId="0" applyFont="0" applyFill="0" applyBorder="0" applyAlignment="0" applyProtection="0"/>
    <xf numFmtId="0" fontId="5" fillId="0" borderId="0"/>
    <xf numFmtId="164" fontId="2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3" fillId="0" borderId="0" applyFill="0" applyBorder="0" applyAlignment="0" applyProtection="0"/>
    <xf numFmtId="0" fontId="23" fillId="0" borderId="0" applyFill="0" applyBorder="0" applyAlignment="0" applyProtection="0"/>
    <xf numFmtId="0" fontId="30" fillId="0" borderId="0"/>
    <xf numFmtId="43" fontId="30" fillId="0" borderId="0" applyFont="0" applyFill="0" applyBorder="0" applyAlignment="0" applyProtection="0"/>
    <xf numFmtId="43" fontId="30" fillId="0" borderId="0" applyFont="0" applyFill="0" applyBorder="0" applyAlignment="0" applyProtection="0"/>
    <xf numFmtId="0" fontId="23" fillId="0" borderId="0"/>
    <xf numFmtId="0" fontId="23"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43" fontId="3" fillId="0" borderId="0" applyFont="0" applyFill="0" applyBorder="0" applyAlignment="0" applyProtection="0"/>
    <xf numFmtId="3" fontId="23" fillId="0" borderId="0" applyFill="0" applyBorder="0" applyAlignment="0" applyProtection="0"/>
    <xf numFmtId="5" fontId="23" fillId="0" borderId="0" applyFill="0" applyBorder="0" applyAlignment="0" applyProtection="0"/>
    <xf numFmtId="169" fontId="23" fillId="0" borderId="0" applyFill="0" applyBorder="0" applyAlignment="0" applyProtection="0"/>
    <xf numFmtId="2" fontId="23" fillId="0" borderId="0" applyFill="0" applyBorder="0" applyAlignment="0" applyProtection="0"/>
    <xf numFmtId="0" fontId="29" fillId="0" borderId="0"/>
    <xf numFmtId="0" fontId="23" fillId="0" borderId="0"/>
    <xf numFmtId="0" fontId="66" fillId="0" borderId="0">
      <alignment vertical="top"/>
    </xf>
    <xf numFmtId="0" fontId="23" fillId="0" borderId="0"/>
    <xf numFmtId="0" fontId="23" fillId="0" borderId="0"/>
    <xf numFmtId="0" fontId="2"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311">
    <xf numFmtId="0" fontId="0" fillId="0" borderId="0" xfId="0"/>
    <xf numFmtId="0" fontId="5" fillId="0" borderId="0" xfId="50"/>
    <xf numFmtId="0" fontId="24" fillId="34" borderId="0" xfId="50" applyFont="1" applyFill="1"/>
    <xf numFmtId="0" fontId="5" fillId="34" borderId="0" xfId="50" applyFill="1"/>
    <xf numFmtId="0" fontId="25" fillId="34" borderId="13" xfId="50" applyFont="1" applyFill="1" applyBorder="1" applyAlignment="1">
      <alignment horizontal="center" vertical="center" wrapText="1"/>
    </xf>
    <xf numFmtId="49" fontId="22" fillId="33" borderId="13" xfId="50" applyNumberFormat="1" applyFont="1" applyFill="1" applyBorder="1" applyAlignment="1">
      <alignment horizontal="center" vertical="center" wrapText="1"/>
    </xf>
    <xf numFmtId="0" fontId="25" fillId="33" borderId="13" xfId="50" applyFont="1" applyFill="1" applyBorder="1" applyAlignment="1">
      <alignment horizontal="center" vertical="center" wrapText="1"/>
    </xf>
    <xf numFmtId="0" fontId="25" fillId="33" borderId="13" xfId="50" applyFont="1" applyFill="1" applyBorder="1" applyAlignment="1">
      <alignment horizontal="center" vertical="center"/>
    </xf>
    <xf numFmtId="0" fontId="31" fillId="33" borderId="13" xfId="0" applyFont="1" applyFill="1" applyBorder="1" applyAlignment="1">
      <alignment horizontal="left" vertical="center" wrapText="1"/>
    </xf>
    <xf numFmtId="0" fontId="31" fillId="35" borderId="13" xfId="0" applyFont="1" applyFill="1" applyBorder="1" applyAlignment="1">
      <alignment vertical="center" wrapText="1"/>
    </xf>
    <xf numFmtId="165" fontId="34" fillId="33" borderId="22" xfId="0" applyNumberFormat="1" applyFont="1" applyFill="1" applyBorder="1" applyAlignment="1">
      <alignment horizontal="center" vertical="center"/>
    </xf>
    <xf numFmtId="9" fontId="34" fillId="33" borderId="22" xfId="0" applyNumberFormat="1" applyFont="1" applyFill="1" applyBorder="1" applyAlignment="1">
      <alignment horizontal="center" vertical="center"/>
    </xf>
    <xf numFmtId="0" fontId="36" fillId="35" borderId="24" xfId="0" applyFont="1" applyFill="1" applyBorder="1" applyAlignment="1">
      <alignment horizontal="left" vertical="center" wrapText="1"/>
    </xf>
    <xf numFmtId="0" fontId="34" fillId="33" borderId="24" xfId="0" applyFont="1" applyFill="1" applyBorder="1" applyAlignment="1">
      <alignment horizontal="left" vertical="center" wrapText="1"/>
    </xf>
    <xf numFmtId="0" fontId="35" fillId="33" borderId="19" xfId="0" applyFont="1" applyFill="1" applyBorder="1" applyAlignment="1">
      <alignment horizontal="center" vertical="center" wrapText="1"/>
    </xf>
    <xf numFmtId="0" fontId="35" fillId="33" borderId="22" xfId="0" applyFont="1" applyFill="1" applyBorder="1" applyAlignment="1">
      <alignment horizontal="center" vertical="center" wrapText="1"/>
    </xf>
    <xf numFmtId="3" fontId="34" fillId="33" borderId="24" xfId="0" applyNumberFormat="1" applyFont="1" applyFill="1" applyBorder="1" applyAlignment="1">
      <alignment horizontal="center" vertical="center" wrapText="1"/>
    </xf>
    <xf numFmtId="0" fontId="32" fillId="0" borderId="24" xfId="0" applyFont="1" applyBorder="1" applyAlignment="1">
      <alignment horizontal="left" vertical="center" wrapText="1" indent="1"/>
    </xf>
    <xf numFmtId="3" fontId="34" fillId="0" borderId="22" xfId="0" applyNumberFormat="1" applyFont="1" applyBorder="1" applyAlignment="1">
      <alignment horizontal="center" vertical="center"/>
    </xf>
    <xf numFmtId="3" fontId="37" fillId="0" borderId="22" xfId="0" applyNumberFormat="1" applyFont="1" applyBorder="1" applyAlignment="1">
      <alignment horizontal="center" vertical="center"/>
    </xf>
    <xf numFmtId="0" fontId="38" fillId="0" borderId="15" xfId="0" applyFont="1" applyBorder="1" applyAlignment="1">
      <alignment horizontal="left" vertical="center" wrapText="1" indent="1"/>
    </xf>
    <xf numFmtId="0" fontId="39" fillId="34" borderId="24" xfId="0" applyFont="1" applyFill="1" applyBorder="1" applyAlignment="1">
      <alignment vertical="center" wrapText="1"/>
    </xf>
    <xf numFmtId="3" fontId="35" fillId="34" borderId="22" xfId="0" applyNumberFormat="1" applyFont="1" applyFill="1" applyBorder="1" applyAlignment="1">
      <alignment horizontal="center" vertical="center"/>
    </xf>
    <xf numFmtId="0" fontId="34" fillId="35" borderId="24" xfId="0" applyFont="1" applyFill="1" applyBorder="1" applyAlignment="1">
      <alignment horizontal="left" vertical="center" wrapText="1"/>
    </xf>
    <xf numFmtId="0" fontId="33" fillId="0" borderId="15" xfId="0" applyFont="1" applyBorder="1" applyAlignment="1">
      <alignment horizontal="left" vertical="center" wrapText="1" indent="1"/>
    </xf>
    <xf numFmtId="3" fontId="35" fillId="0" borderId="22" xfId="0" applyNumberFormat="1" applyFont="1" applyBorder="1" applyAlignment="1">
      <alignment horizontal="center" vertical="center"/>
    </xf>
    <xf numFmtId="0" fontId="39" fillId="36" borderId="24" xfId="0" applyFont="1" applyFill="1" applyBorder="1" applyAlignment="1">
      <alignment vertical="center" wrapText="1"/>
    </xf>
    <xf numFmtId="3" fontId="35" fillId="36" borderId="22" xfId="0" applyNumberFormat="1" applyFont="1" applyFill="1" applyBorder="1" applyAlignment="1">
      <alignment horizontal="center" vertical="center"/>
    </xf>
    <xf numFmtId="0" fontId="33" fillId="0" borderId="24" xfId="0" applyFont="1" applyBorder="1" applyAlignment="1">
      <alignment horizontal="left" vertical="center" wrapText="1" indent="1"/>
    </xf>
    <xf numFmtId="0" fontId="33" fillId="35" borderId="24" xfId="0" applyFont="1" applyFill="1" applyBorder="1" applyAlignment="1">
      <alignment vertical="center" wrapText="1"/>
    </xf>
    <xf numFmtId="0" fontId="32" fillId="0" borderId="15" xfId="0" applyFont="1" applyBorder="1" applyAlignment="1">
      <alignment horizontal="left" vertical="center" wrapText="1" indent="1"/>
    </xf>
    <xf numFmtId="3" fontId="45" fillId="0" borderId="22" xfId="0" applyNumberFormat="1" applyFont="1" applyBorder="1" applyAlignment="1">
      <alignment horizontal="center" vertical="center"/>
    </xf>
    <xf numFmtId="3" fontId="35" fillId="35" borderId="22" xfId="0" applyNumberFormat="1" applyFont="1" applyFill="1" applyBorder="1" applyAlignment="1">
      <alignment horizontal="center" vertical="center"/>
    </xf>
    <xf numFmtId="0" fontId="46" fillId="33" borderId="24" xfId="0" applyFont="1" applyFill="1" applyBorder="1" applyAlignment="1">
      <alignment vertical="center" wrapText="1"/>
    </xf>
    <xf numFmtId="3" fontId="45" fillId="33" borderId="22" xfId="0" applyNumberFormat="1" applyFont="1" applyFill="1" applyBorder="1" applyAlignment="1">
      <alignment horizontal="center" vertical="center"/>
    </xf>
    <xf numFmtId="165" fontId="45" fillId="0" borderId="22" xfId="0" applyNumberFormat="1" applyFont="1" applyBorder="1" applyAlignment="1">
      <alignment horizontal="center" vertical="center"/>
    </xf>
    <xf numFmtId="0" fontId="47" fillId="0" borderId="24" xfId="0" applyFont="1" applyBorder="1" applyAlignment="1">
      <alignment horizontal="left" vertical="center" wrapText="1" indent="1"/>
    </xf>
    <xf numFmtId="165" fontId="37" fillId="0" borderId="22" xfId="0" applyNumberFormat="1" applyFont="1" applyBorder="1" applyAlignment="1">
      <alignment horizontal="center" vertical="center"/>
    </xf>
    <xf numFmtId="0" fontId="33" fillId="33" borderId="24" xfId="0" applyFont="1" applyFill="1" applyBorder="1" applyAlignment="1">
      <alignment vertical="center" wrapText="1"/>
    </xf>
    <xf numFmtId="0" fontId="33" fillId="33" borderId="13" xfId="0" applyFont="1" applyFill="1" applyBorder="1" applyAlignment="1">
      <alignment vertical="center" wrapText="1"/>
    </xf>
    <xf numFmtId="3" fontId="34" fillId="0" borderId="27" xfId="0" applyNumberFormat="1" applyFont="1" applyBorder="1" applyAlignment="1">
      <alignment horizontal="center" vertical="center"/>
    </xf>
    <xf numFmtId="0" fontId="38" fillId="0" borderId="27" xfId="0" applyFont="1" applyBorder="1" applyAlignment="1">
      <alignment horizontal="left" vertical="center" wrapText="1" indent="1"/>
    </xf>
    <xf numFmtId="0" fontId="34" fillId="35" borderId="27" xfId="0" applyFont="1" applyFill="1" applyBorder="1" applyAlignment="1">
      <alignment horizontal="left" vertical="center" wrapText="1"/>
    </xf>
    <xf numFmtId="0" fontId="34" fillId="33" borderId="22" xfId="0" applyNumberFormat="1" applyFont="1" applyFill="1" applyBorder="1" applyAlignment="1">
      <alignment horizontal="center" vertical="center"/>
    </xf>
    <xf numFmtId="0" fontId="53" fillId="33" borderId="27" xfId="59" applyFont="1" applyFill="1" applyBorder="1" applyAlignment="1">
      <alignment horizontal="left" vertical="center" wrapText="1"/>
    </xf>
    <xf numFmtId="0" fontId="53" fillId="33" borderId="27" xfId="60" applyFont="1" applyFill="1" applyBorder="1" applyAlignment="1">
      <alignment horizontal="left" vertical="center" wrapText="1"/>
    </xf>
    <xf numFmtId="1" fontId="34" fillId="33" borderId="22" xfId="0" applyNumberFormat="1" applyFont="1" applyFill="1" applyBorder="1" applyAlignment="1">
      <alignment horizontal="center" vertical="center"/>
    </xf>
    <xf numFmtId="3" fontId="34" fillId="33" borderId="22" xfId="0" applyNumberFormat="1" applyFont="1" applyFill="1" applyBorder="1" applyAlignment="1">
      <alignment horizontal="center" vertical="center"/>
    </xf>
    <xf numFmtId="0" fontId="34" fillId="35" borderId="24" xfId="0" applyFont="1" applyFill="1" applyBorder="1" applyAlignment="1">
      <alignment vertical="center" wrapText="1"/>
    </xf>
    <xf numFmtId="0" fontId="39" fillId="0" borderId="15" xfId="0" applyFont="1" applyBorder="1" applyAlignment="1">
      <alignment horizontal="left" vertical="center" wrapText="1" indent="1"/>
    </xf>
    <xf numFmtId="0" fontId="34" fillId="35" borderId="13" xfId="0" applyFont="1" applyFill="1" applyBorder="1" applyAlignment="1">
      <alignment horizontal="left" vertical="center" wrapText="1"/>
    </xf>
    <xf numFmtId="0" fontId="0" fillId="0" borderId="0" xfId="0" applyAlignment="1">
      <alignment vertical="top"/>
    </xf>
    <xf numFmtId="3" fontId="34" fillId="0" borderId="19" xfId="0" applyNumberFormat="1" applyFont="1" applyBorder="1" applyAlignment="1">
      <alignment horizontal="center" vertical="center"/>
    </xf>
    <xf numFmtId="0" fontId="22" fillId="33" borderId="24" xfId="0" applyFont="1" applyFill="1" applyBorder="1" applyAlignment="1">
      <alignment horizontal="left" vertical="center" wrapText="1"/>
    </xf>
    <xf numFmtId="3" fontId="34" fillId="33" borderId="24" xfId="0" applyNumberFormat="1" applyFont="1" applyFill="1" applyBorder="1" applyAlignment="1">
      <alignment horizontal="center" vertical="center"/>
    </xf>
    <xf numFmtId="0" fontId="32" fillId="0" borderId="37" xfId="0" applyFont="1" applyBorder="1" applyAlignment="1">
      <alignment horizontal="left" vertical="center" wrapText="1" indent="1"/>
    </xf>
    <xf numFmtId="9" fontId="34" fillId="33" borderId="27" xfId="0" applyNumberFormat="1" applyFont="1" applyFill="1" applyBorder="1" applyAlignment="1">
      <alignment horizontal="center" vertical="center"/>
    </xf>
    <xf numFmtId="0" fontId="34" fillId="33" borderId="24" xfId="0" applyFont="1" applyFill="1" applyBorder="1" applyAlignment="1">
      <alignment horizontal="center" vertical="center" wrapText="1"/>
    </xf>
    <xf numFmtId="0" fontId="34" fillId="33" borderId="24" xfId="0" applyFont="1" applyFill="1" applyBorder="1" applyAlignment="1">
      <alignment vertical="center" wrapText="1"/>
    </xf>
    <xf numFmtId="0" fontId="34" fillId="33" borderId="19" xfId="0" applyFont="1" applyFill="1" applyBorder="1" applyAlignment="1">
      <alignment horizontal="center" vertical="center" wrapText="1"/>
    </xf>
    <xf numFmtId="0" fontId="34" fillId="33" borderId="22" xfId="0" applyFont="1" applyFill="1" applyBorder="1" applyAlignment="1">
      <alignment horizontal="center" vertical="center" wrapText="1"/>
    </xf>
    <xf numFmtId="0" fontId="57" fillId="33" borderId="24" xfId="0" applyFont="1" applyFill="1" applyBorder="1" applyAlignment="1">
      <alignment vertical="center" wrapText="1"/>
    </xf>
    <xf numFmtId="0" fontId="59" fillId="33" borderId="24" xfId="0" applyFont="1" applyFill="1" applyBorder="1" applyAlignment="1">
      <alignment horizontal="left" vertical="center" wrapText="1"/>
    </xf>
    <xf numFmtId="9" fontId="34" fillId="33" borderId="19" xfId="0" applyNumberFormat="1" applyFont="1" applyFill="1" applyBorder="1" applyAlignment="1">
      <alignment horizontal="center" vertical="center"/>
    </xf>
    <xf numFmtId="9" fontId="34" fillId="33" borderId="35" xfId="0" applyNumberFormat="1" applyFont="1" applyFill="1" applyBorder="1" applyAlignment="1">
      <alignment horizontal="center" vertical="center"/>
    </xf>
    <xf numFmtId="0" fontId="28" fillId="33" borderId="24" xfId="0" applyFont="1" applyFill="1" applyBorder="1" applyAlignment="1">
      <alignment horizontal="left" vertical="center" wrapText="1"/>
    </xf>
    <xf numFmtId="0" fontId="56" fillId="33" borderId="24" xfId="0" applyFont="1" applyFill="1" applyBorder="1" applyAlignment="1">
      <alignment horizontal="left" vertical="center" wrapText="1"/>
    </xf>
    <xf numFmtId="0" fontId="44" fillId="33" borderId="24" xfId="0" applyFont="1" applyFill="1" applyBorder="1" applyAlignment="1">
      <alignment horizontal="left" vertical="center" wrapText="1"/>
    </xf>
    <xf numFmtId="3" fontId="0" fillId="0" borderId="0" xfId="0" applyNumberFormat="1"/>
    <xf numFmtId="0" fontId="24" fillId="34" borderId="0" xfId="61" applyFont="1" applyFill="1"/>
    <xf numFmtId="0" fontId="4" fillId="34" borderId="0" xfId="61" applyFill="1"/>
    <xf numFmtId="0" fontId="4" fillId="0" borderId="0" xfId="61"/>
    <xf numFmtId="0" fontId="25" fillId="34" borderId="13" xfId="61" applyFont="1" applyFill="1" applyBorder="1" applyAlignment="1">
      <alignment horizontal="left" vertical="center" wrapText="1"/>
    </xf>
    <xf numFmtId="0" fontId="25" fillId="33" borderId="13" xfId="61" applyFont="1" applyFill="1" applyBorder="1" applyAlignment="1">
      <alignment horizontal="left" vertical="center" wrapText="1"/>
    </xf>
    <xf numFmtId="0" fontId="25" fillId="34" borderId="13" xfId="61" applyFont="1" applyFill="1" applyBorder="1" applyAlignment="1">
      <alignment horizontal="center" vertical="center" wrapText="1"/>
    </xf>
    <xf numFmtId="49" fontId="22" fillId="33" borderId="13" xfId="61" applyNumberFormat="1" applyFont="1" applyFill="1" applyBorder="1" applyAlignment="1">
      <alignment horizontal="center" vertical="center" wrapText="1"/>
    </xf>
    <xf numFmtId="0" fontId="31" fillId="33" borderId="13" xfId="61" applyFont="1" applyFill="1" applyBorder="1" applyAlignment="1">
      <alignment horizontal="left" vertical="center" wrapText="1"/>
    </xf>
    <xf numFmtId="0" fontId="31" fillId="35" borderId="13" xfId="61" applyFont="1" applyFill="1" applyBorder="1" applyAlignment="1">
      <alignment vertical="center" wrapText="1"/>
    </xf>
    <xf numFmtId="0" fontId="22" fillId="33" borderId="19" xfId="61" applyFont="1" applyFill="1" applyBorder="1" applyAlignment="1">
      <alignment horizontal="center" vertical="center" wrapText="1"/>
    </xf>
    <xf numFmtId="0" fontId="22" fillId="33" borderId="22" xfId="61" applyFont="1" applyFill="1" applyBorder="1" applyAlignment="1">
      <alignment horizontal="center" vertical="center" wrapText="1"/>
    </xf>
    <xf numFmtId="0" fontId="22" fillId="33" borderId="24" xfId="61" applyFont="1" applyFill="1" applyBorder="1" applyAlignment="1">
      <alignment horizontal="center" vertical="center" wrapText="1"/>
    </xf>
    <xf numFmtId="165" fontId="22" fillId="33" borderId="22" xfId="62" applyNumberFormat="1" applyFont="1" applyFill="1" applyBorder="1" applyAlignment="1">
      <alignment horizontal="center" vertical="center" wrapText="1"/>
    </xf>
    <xf numFmtId="0" fontId="33" fillId="38" borderId="24" xfId="61" applyFont="1" applyFill="1" applyBorder="1" applyAlignment="1">
      <alignment vertical="center" wrapText="1"/>
    </xf>
    <xf numFmtId="4" fontId="4" fillId="0" borderId="0" xfId="61" applyNumberFormat="1"/>
    <xf numFmtId="0" fontId="34" fillId="39" borderId="24" xfId="61" applyFont="1" applyFill="1" applyBorder="1" applyAlignment="1">
      <alignment horizontal="center" vertical="center" wrapText="1"/>
    </xf>
    <xf numFmtId="165" fontId="34" fillId="33" borderId="22" xfId="61" applyNumberFormat="1" applyFont="1" applyFill="1" applyBorder="1" applyAlignment="1">
      <alignment horizontal="center" vertical="center"/>
    </xf>
    <xf numFmtId="9" fontId="34" fillId="33" borderId="22" xfId="61" applyNumberFormat="1" applyFont="1" applyFill="1" applyBorder="1" applyAlignment="1">
      <alignment horizontal="center" vertical="center"/>
    </xf>
    <xf numFmtId="0" fontId="34" fillId="39" borderId="24" xfId="61" applyFont="1" applyFill="1" applyBorder="1" applyAlignment="1">
      <alignment vertical="center" wrapText="1"/>
    </xf>
    <xf numFmtId="166" fontId="34" fillId="33" borderId="22" xfId="61" applyNumberFormat="1" applyFont="1" applyFill="1" applyBorder="1" applyAlignment="1">
      <alignment horizontal="center" vertical="center"/>
    </xf>
    <xf numFmtId="1" fontId="34" fillId="33" borderId="25" xfId="61" applyNumberFormat="1" applyFont="1" applyFill="1" applyBorder="1" applyAlignment="1">
      <alignment horizontal="center" vertical="center"/>
    </xf>
    <xf numFmtId="9" fontId="34" fillId="33" borderId="26" xfId="61" applyNumberFormat="1" applyFont="1" applyFill="1" applyBorder="1" applyAlignment="1">
      <alignment horizontal="center" vertical="center"/>
    </xf>
    <xf numFmtId="0" fontId="36" fillId="35" borderId="24" xfId="61" applyFont="1" applyFill="1" applyBorder="1" applyAlignment="1">
      <alignment horizontal="left" vertical="center" wrapText="1"/>
    </xf>
    <xf numFmtId="0" fontId="34" fillId="33" borderId="24" xfId="61" applyFont="1" applyFill="1" applyBorder="1" applyAlignment="1">
      <alignment horizontal="left" vertical="center" wrapText="1"/>
    </xf>
    <xf numFmtId="0" fontId="35" fillId="33" borderId="19" xfId="61" applyFont="1" applyFill="1" applyBorder="1" applyAlignment="1">
      <alignment horizontal="center" vertical="center" wrapText="1"/>
    </xf>
    <xf numFmtId="0" fontId="35" fillId="33" borderId="22" xfId="61" applyFont="1" applyFill="1" applyBorder="1" applyAlignment="1">
      <alignment horizontal="center" vertical="center" wrapText="1"/>
    </xf>
    <xf numFmtId="3" fontId="34" fillId="33" borderId="24" xfId="61" applyNumberFormat="1" applyFont="1" applyFill="1" applyBorder="1" applyAlignment="1">
      <alignment horizontal="center" vertical="center" wrapText="1"/>
    </xf>
    <xf numFmtId="0" fontId="34" fillId="33" borderId="24" xfId="61" applyFont="1" applyFill="1" applyBorder="1" applyAlignment="1">
      <alignment horizontal="center" vertical="center" wrapText="1"/>
    </xf>
    <xf numFmtId="3" fontId="4" fillId="0" borderId="0" xfId="61" applyNumberFormat="1"/>
    <xf numFmtId="0" fontId="32" fillId="0" borderId="24" xfId="61" applyFont="1" applyBorder="1" applyAlignment="1">
      <alignment horizontal="left" vertical="center" wrapText="1" indent="1"/>
    </xf>
    <xf numFmtId="3" fontId="34" fillId="0" borderId="22" xfId="61" applyNumberFormat="1" applyFont="1" applyBorder="1" applyAlignment="1">
      <alignment horizontal="center" vertical="center"/>
    </xf>
    <xf numFmtId="3" fontId="37" fillId="0" borderId="22" xfId="61" applyNumberFormat="1" applyFont="1" applyBorder="1" applyAlignment="1">
      <alignment horizontal="center" vertical="center"/>
    </xf>
    <xf numFmtId="0" fontId="38" fillId="0" borderId="15" xfId="61" applyFont="1" applyBorder="1" applyAlignment="1">
      <alignment horizontal="left" vertical="center" wrapText="1" indent="1"/>
    </xf>
    <xf numFmtId="0" fontId="39" fillId="34" borderId="24" xfId="61" applyFont="1" applyFill="1" applyBorder="1" applyAlignment="1">
      <alignment vertical="center" wrapText="1"/>
    </xf>
    <xf numFmtId="3" fontId="35" fillId="34" borderId="22" xfId="61" applyNumberFormat="1" applyFont="1" applyFill="1" applyBorder="1" applyAlignment="1">
      <alignment horizontal="center" vertical="center"/>
    </xf>
    <xf numFmtId="0" fontId="34" fillId="35" borderId="24" xfId="61" applyFont="1" applyFill="1" applyBorder="1" applyAlignment="1">
      <alignment horizontal="left" vertical="center" wrapText="1"/>
    </xf>
    <xf numFmtId="0" fontId="33" fillId="0" borderId="15" xfId="61" applyFont="1" applyBorder="1" applyAlignment="1">
      <alignment horizontal="left" vertical="center" wrapText="1" indent="1"/>
    </xf>
    <xf numFmtId="3" fontId="35" fillId="0" borderId="22" xfId="61" applyNumberFormat="1" applyFont="1" applyBorder="1" applyAlignment="1">
      <alignment horizontal="center" vertical="center"/>
    </xf>
    <xf numFmtId="0" fontId="39" fillId="36" borderId="24" xfId="61" applyFont="1" applyFill="1" applyBorder="1" applyAlignment="1">
      <alignment vertical="center" wrapText="1"/>
    </xf>
    <xf numFmtId="3" fontId="35" fillId="36" borderId="22" xfId="61" applyNumberFormat="1" applyFont="1" applyFill="1" applyBorder="1" applyAlignment="1">
      <alignment horizontal="center" vertical="center"/>
    </xf>
    <xf numFmtId="0" fontId="24" fillId="35" borderId="24" xfId="61" applyFont="1" applyFill="1" applyBorder="1" applyAlignment="1">
      <alignment vertical="center" wrapText="1"/>
    </xf>
    <xf numFmtId="3" fontId="24" fillId="35" borderId="22" xfId="61" applyNumberFormat="1" applyFont="1" applyFill="1" applyBorder="1" applyAlignment="1">
      <alignment horizontal="center" vertical="center"/>
    </xf>
    <xf numFmtId="0" fontId="41" fillId="33" borderId="24" xfId="61" applyFont="1" applyFill="1" applyBorder="1" applyAlignment="1">
      <alignment vertical="center" wrapText="1"/>
    </xf>
    <xf numFmtId="3" fontId="41" fillId="33" borderId="22" xfId="61" applyNumberFormat="1" applyFont="1" applyFill="1" applyBorder="1" applyAlignment="1">
      <alignment horizontal="center" vertical="center"/>
    </xf>
    <xf numFmtId="165" fontId="41" fillId="0" borderId="22" xfId="61" applyNumberFormat="1" applyFont="1" applyBorder="1" applyAlignment="1">
      <alignment horizontal="center" vertical="center"/>
    </xf>
    <xf numFmtId="0" fontId="42" fillId="0" borderId="24" xfId="61" applyFont="1" applyBorder="1" applyAlignment="1">
      <alignment horizontal="left" vertical="center" wrapText="1" indent="1"/>
    </xf>
    <xf numFmtId="3" fontId="42" fillId="0" borderId="22" xfId="61" applyNumberFormat="1" applyFont="1" applyBorder="1" applyAlignment="1">
      <alignment horizontal="center" vertical="center"/>
    </xf>
    <xf numFmtId="0" fontId="43" fillId="0" borderId="24" xfId="61" applyFont="1" applyBorder="1" applyAlignment="1">
      <alignment horizontal="left" vertical="center" wrapText="1" indent="1"/>
    </xf>
    <xf numFmtId="3" fontId="43" fillId="0" borderId="22" xfId="61" applyNumberFormat="1" applyFont="1" applyBorder="1" applyAlignment="1">
      <alignment horizontal="center" vertical="center"/>
    </xf>
    <xf numFmtId="165" fontId="43" fillId="0" borderId="22" xfId="61" applyNumberFormat="1" applyFont="1" applyBorder="1" applyAlignment="1">
      <alignment horizontal="center" vertical="center"/>
    </xf>
    <xf numFmtId="0" fontId="33" fillId="0" borderId="24" xfId="61" applyFont="1" applyBorder="1" applyAlignment="1">
      <alignment horizontal="left" vertical="center" wrapText="1" indent="1"/>
    </xf>
    <xf numFmtId="0" fontId="24" fillId="34" borderId="0" xfId="63" applyFont="1" applyFill="1"/>
    <xf numFmtId="0" fontId="3" fillId="34" borderId="0" xfId="63" applyFill="1"/>
    <xf numFmtId="0" fontId="3" fillId="0" borderId="0" xfId="63"/>
    <xf numFmtId="0" fontId="25" fillId="34" borderId="13" xfId="63" applyFont="1" applyFill="1" applyBorder="1" applyAlignment="1">
      <alignment horizontal="left" vertical="center" wrapText="1"/>
    </xf>
    <xf numFmtId="0" fontId="25" fillId="33" borderId="13" xfId="63" applyFont="1" applyFill="1" applyBorder="1" applyAlignment="1">
      <alignment horizontal="left" vertical="center" wrapText="1"/>
    </xf>
    <xf numFmtId="0" fontId="25" fillId="34" borderId="13" xfId="63" applyFont="1" applyFill="1" applyBorder="1" applyAlignment="1">
      <alignment horizontal="center" vertical="center" wrapText="1"/>
    </xf>
    <xf numFmtId="0" fontId="22" fillId="33" borderId="13" xfId="63" applyFont="1" applyFill="1" applyBorder="1" applyAlignment="1">
      <alignment horizontal="center" vertical="center" wrapText="1"/>
    </xf>
    <xf numFmtId="0" fontId="31" fillId="33" borderId="13" xfId="63" applyFont="1" applyFill="1" applyBorder="1" applyAlignment="1">
      <alignment horizontal="left" vertical="center" wrapText="1"/>
    </xf>
    <xf numFmtId="0" fontId="31" fillId="35" borderId="13" xfId="63" applyFont="1" applyFill="1" applyBorder="1" applyAlignment="1">
      <alignment vertical="center" wrapText="1"/>
    </xf>
    <xf numFmtId="0" fontId="34" fillId="33" borderId="19" xfId="63" applyFont="1" applyFill="1" applyBorder="1" applyAlignment="1">
      <alignment horizontal="center" vertical="center" wrapText="1"/>
    </xf>
    <xf numFmtId="0" fontId="34" fillId="33" borderId="22" xfId="63" applyFont="1" applyFill="1" applyBorder="1" applyAlignment="1">
      <alignment horizontal="center" vertical="center" wrapText="1"/>
    </xf>
    <xf numFmtId="0" fontId="34" fillId="33" borderId="24" xfId="63" applyFont="1" applyFill="1" applyBorder="1" applyAlignment="1">
      <alignment vertical="center" wrapText="1"/>
    </xf>
    <xf numFmtId="9" fontId="34" fillId="33" borderId="22" xfId="63" applyNumberFormat="1" applyFont="1" applyFill="1" applyBorder="1" applyAlignment="1">
      <alignment horizontal="center" vertical="center"/>
    </xf>
    <xf numFmtId="0" fontId="34" fillId="33" borderId="24" xfId="63" applyFont="1" applyFill="1" applyBorder="1" applyAlignment="1">
      <alignment horizontal="left" vertical="center" wrapText="1"/>
    </xf>
    <xf numFmtId="0" fontId="33" fillId="35" borderId="24" xfId="63" applyFont="1" applyFill="1" applyBorder="1" applyAlignment="1">
      <alignment vertical="center" wrapText="1"/>
    </xf>
    <xf numFmtId="4" fontId="3" fillId="0" borderId="0" xfId="63" applyNumberFormat="1"/>
    <xf numFmtId="0" fontId="22" fillId="33" borderId="27" xfId="63" applyFont="1" applyFill="1" applyBorder="1" applyAlignment="1">
      <alignment horizontal="left" vertical="center" wrapText="1"/>
    </xf>
    <xf numFmtId="0" fontId="22" fillId="0" borderId="27" xfId="63" applyFont="1" applyFill="1" applyBorder="1" applyAlignment="1">
      <alignment horizontal="center" vertical="center" wrapText="1"/>
    </xf>
    <xf numFmtId="0" fontId="22" fillId="33" borderId="27" xfId="63" applyFont="1" applyFill="1" applyBorder="1" applyAlignment="1">
      <alignment horizontal="center" vertical="center" wrapText="1"/>
    </xf>
    <xf numFmtId="0" fontId="22" fillId="33" borderId="27" xfId="63" applyFont="1" applyFill="1" applyBorder="1" applyAlignment="1">
      <alignment vertical="center" wrapText="1"/>
    </xf>
    <xf numFmtId="0" fontId="22" fillId="0" borderId="27" xfId="63" applyFont="1" applyBorder="1" applyAlignment="1">
      <alignment wrapText="1"/>
    </xf>
    <xf numFmtId="3" fontId="22" fillId="0" borderId="22" xfId="63" applyNumberFormat="1" applyFont="1" applyBorder="1" applyAlignment="1">
      <alignment horizontal="center" vertical="center"/>
    </xf>
    <xf numFmtId="3" fontId="34" fillId="0" borderId="22" xfId="63" applyNumberFormat="1" applyFont="1" applyBorder="1" applyAlignment="1">
      <alignment horizontal="center" vertical="center"/>
    </xf>
    <xf numFmtId="9" fontId="22" fillId="33" borderId="22" xfId="63" applyNumberFormat="1" applyFont="1" applyFill="1" applyBorder="1" applyAlignment="1">
      <alignment horizontal="center" vertical="center"/>
    </xf>
    <xf numFmtId="0" fontId="36" fillId="35" borderId="24" xfId="63" applyFont="1" applyFill="1" applyBorder="1" applyAlignment="1">
      <alignment horizontal="left" vertical="center" wrapText="1"/>
    </xf>
    <xf numFmtId="0" fontId="35" fillId="33" borderId="19" xfId="63" applyFont="1" applyFill="1" applyBorder="1" applyAlignment="1">
      <alignment horizontal="center" vertical="center" wrapText="1"/>
    </xf>
    <xf numFmtId="0" fontId="35" fillId="33" borderId="22" xfId="63" applyFont="1" applyFill="1" applyBorder="1" applyAlignment="1">
      <alignment horizontal="center" vertical="center" wrapText="1"/>
    </xf>
    <xf numFmtId="3" fontId="34" fillId="33" borderId="24" xfId="63" applyNumberFormat="1" applyFont="1" applyFill="1" applyBorder="1" applyAlignment="1">
      <alignment horizontal="center" vertical="center" wrapText="1"/>
    </xf>
    <xf numFmtId="0" fontId="34" fillId="33" borderId="24" xfId="63" applyFont="1" applyFill="1" applyBorder="1" applyAlignment="1">
      <alignment horizontal="center" vertical="center" wrapText="1"/>
    </xf>
    <xf numFmtId="165" fontId="34" fillId="33" borderId="22" xfId="63" applyNumberFormat="1" applyFont="1" applyFill="1" applyBorder="1" applyAlignment="1">
      <alignment horizontal="center" vertical="center"/>
    </xf>
    <xf numFmtId="3" fontId="3" fillId="0" borderId="0" xfId="63" applyNumberFormat="1"/>
    <xf numFmtId="0" fontId="32" fillId="0" borderId="24" xfId="63" applyFont="1" applyBorder="1" applyAlignment="1">
      <alignment horizontal="left" vertical="center" wrapText="1" indent="1"/>
    </xf>
    <xf numFmtId="3" fontId="50" fillId="0" borderId="22" xfId="63" applyNumberFormat="1" applyFont="1" applyBorder="1" applyAlignment="1">
      <alignment horizontal="center" vertical="center"/>
    </xf>
    <xf numFmtId="0" fontId="38" fillId="0" borderId="15" xfId="63" applyFont="1" applyBorder="1" applyAlignment="1">
      <alignment horizontal="left" vertical="center" wrapText="1" indent="1"/>
    </xf>
    <xf numFmtId="0" fontId="39" fillId="34" borderId="24" xfId="63" applyFont="1" applyFill="1" applyBorder="1" applyAlignment="1">
      <alignment vertical="center" wrapText="1"/>
    </xf>
    <xf numFmtId="3" fontId="22" fillId="34" borderId="22" xfId="63" applyNumberFormat="1" applyFont="1" applyFill="1" applyBorder="1" applyAlignment="1">
      <alignment horizontal="center" vertical="center"/>
    </xf>
    <xf numFmtId="0" fontId="36" fillId="35" borderId="24" xfId="63" applyFont="1" applyFill="1" applyBorder="1" applyAlignment="1">
      <alignment vertical="center" wrapText="1"/>
    </xf>
    <xf numFmtId="3" fontId="22" fillId="33" borderId="24" xfId="63" applyNumberFormat="1" applyFont="1" applyFill="1" applyBorder="1" applyAlignment="1">
      <alignment horizontal="center" vertical="center" wrapText="1"/>
    </xf>
    <xf numFmtId="3" fontId="37" fillId="0" borderId="22" xfId="63" applyNumberFormat="1" applyFont="1" applyBorder="1" applyAlignment="1">
      <alignment horizontal="center" vertical="center"/>
    </xf>
    <xf numFmtId="0" fontId="39" fillId="0" borderId="15" xfId="63" applyFont="1" applyBorder="1" applyAlignment="1">
      <alignment horizontal="left" vertical="center" wrapText="1" indent="1"/>
    </xf>
    <xf numFmtId="3" fontId="35" fillId="34" borderId="22" xfId="63" applyNumberFormat="1" applyFont="1" applyFill="1" applyBorder="1" applyAlignment="1">
      <alignment horizontal="center" vertical="center"/>
    </xf>
    <xf numFmtId="0" fontId="34" fillId="35" borderId="24" xfId="63" applyFont="1" applyFill="1" applyBorder="1" applyAlignment="1">
      <alignment horizontal="left" vertical="center" wrapText="1"/>
    </xf>
    <xf numFmtId="0" fontId="22" fillId="0" borderId="24" xfId="63" applyFont="1" applyBorder="1" applyAlignment="1">
      <alignment horizontal="left" vertical="center" wrapText="1"/>
    </xf>
    <xf numFmtId="0" fontId="51" fillId="0" borderId="15" xfId="63" applyFont="1" applyBorder="1" applyAlignment="1">
      <alignment horizontal="left" vertical="center" wrapText="1"/>
    </xf>
    <xf numFmtId="0" fontId="34" fillId="35" borderId="13" xfId="63" applyFont="1" applyFill="1" applyBorder="1" applyAlignment="1">
      <alignment horizontal="left" vertical="center" wrapText="1"/>
    </xf>
    <xf numFmtId="0" fontId="33" fillId="0" borderId="24" xfId="63" applyFont="1" applyBorder="1" applyAlignment="1">
      <alignment horizontal="left" vertical="center" wrapText="1" indent="1"/>
    </xf>
    <xf numFmtId="0" fontId="62" fillId="0" borderId="0" xfId="63" applyFont="1"/>
    <xf numFmtId="0" fontId="35" fillId="0" borderId="24" xfId="63" applyFont="1" applyBorder="1" applyAlignment="1">
      <alignment horizontal="left" vertical="center" wrapText="1" indent="1"/>
    </xf>
    <xf numFmtId="0" fontId="36" fillId="34" borderId="24" xfId="63" applyFont="1" applyFill="1" applyBorder="1" applyAlignment="1">
      <alignment vertical="center" wrapText="1"/>
    </xf>
    <xf numFmtId="165" fontId="37" fillId="0" borderId="0" xfId="63" applyNumberFormat="1" applyFont="1" applyBorder="1" applyAlignment="1">
      <alignment horizontal="center" vertical="center"/>
    </xf>
    <xf numFmtId="3" fontId="37" fillId="0" borderId="0" xfId="63" applyNumberFormat="1" applyFont="1" applyBorder="1" applyAlignment="1">
      <alignment horizontal="center" vertical="center"/>
    </xf>
    <xf numFmtId="165" fontId="37" fillId="0" borderId="22" xfId="63" applyNumberFormat="1" applyFont="1" applyBorder="1" applyAlignment="1">
      <alignment horizontal="center" vertical="center"/>
    </xf>
    <xf numFmtId="0" fontId="37" fillId="0" borderId="24" xfId="63" applyFont="1" applyBorder="1" applyAlignment="1">
      <alignment horizontal="left" vertical="center" wrapText="1" indent="1"/>
    </xf>
    <xf numFmtId="0" fontId="34" fillId="0" borderId="24" xfId="63" applyFont="1" applyBorder="1" applyAlignment="1">
      <alignment horizontal="left" vertical="center" wrapText="1" indent="1"/>
    </xf>
    <xf numFmtId="0" fontId="37" fillId="0" borderId="0" xfId="63" applyFont="1" applyBorder="1" applyAlignment="1">
      <alignment horizontal="left" vertical="center" wrapText="1" indent="1"/>
    </xf>
    <xf numFmtId="165" fontId="45" fillId="0" borderId="22" xfId="63" applyNumberFormat="1" applyFont="1" applyBorder="1" applyAlignment="1">
      <alignment horizontal="center" vertical="center"/>
    </xf>
    <xf numFmtId="3" fontId="45" fillId="33" borderId="22" xfId="63" applyNumberFormat="1" applyFont="1" applyFill="1" applyBorder="1" applyAlignment="1">
      <alignment horizontal="center" vertical="center"/>
    </xf>
    <xf numFmtId="0" fontId="45" fillId="33" borderId="24" xfId="63" applyFont="1" applyFill="1" applyBorder="1" applyAlignment="1">
      <alignment vertical="center" wrapText="1"/>
    </xf>
    <xf numFmtId="3" fontId="35" fillId="35" borderId="22" xfId="63" applyNumberFormat="1" applyFont="1" applyFill="1" applyBorder="1" applyAlignment="1">
      <alignment horizontal="center" vertical="center"/>
    </xf>
    <xf numFmtId="0" fontId="35" fillId="35" borderId="24" xfId="63" applyFont="1" applyFill="1" applyBorder="1" applyAlignment="1">
      <alignment vertical="center" wrapText="1"/>
    </xf>
    <xf numFmtId="0" fontId="36" fillId="0" borderId="15" xfId="63" applyFont="1" applyBorder="1" applyAlignment="1">
      <alignment horizontal="left" vertical="center" wrapText="1" indent="1"/>
    </xf>
    <xf numFmtId="4" fontId="34" fillId="33" borderId="24" xfId="63" applyNumberFormat="1" applyFont="1" applyFill="1" applyBorder="1" applyAlignment="1">
      <alignment horizontal="center" vertical="center" wrapText="1"/>
    </xf>
    <xf numFmtId="3" fontId="35" fillId="34" borderId="21" xfId="63" applyNumberFormat="1" applyFont="1" applyFill="1" applyBorder="1" applyAlignment="1">
      <alignment horizontal="center" vertical="center"/>
    </xf>
    <xf numFmtId="3" fontId="34" fillId="33" borderId="22" xfId="63" applyNumberFormat="1" applyFont="1" applyFill="1" applyBorder="1" applyAlignment="1">
      <alignment horizontal="center" vertical="center"/>
    </xf>
    <xf numFmtId="0" fontId="35" fillId="35" borderId="24" xfId="63" applyFont="1" applyFill="1" applyBorder="1" applyAlignment="1">
      <alignment horizontal="center" vertical="center" wrapText="1"/>
    </xf>
    <xf numFmtId="10" fontId="62" fillId="0" borderId="0" xfId="64" applyNumberFormat="1" applyFont="1"/>
    <xf numFmtId="9" fontId="34" fillId="33" borderId="22" xfId="64" applyFont="1" applyFill="1" applyBorder="1" applyAlignment="1">
      <alignment horizontal="center" vertical="center"/>
    </xf>
    <xf numFmtId="3" fontId="62" fillId="0" borderId="0" xfId="63" applyNumberFormat="1" applyFont="1"/>
    <xf numFmtId="0" fontId="62" fillId="33" borderId="0" xfId="63" applyFont="1" applyFill="1"/>
    <xf numFmtId="3" fontId="62" fillId="33" borderId="0" xfId="63" applyNumberFormat="1" applyFont="1" applyFill="1"/>
    <xf numFmtId="0" fontId="34" fillId="35" borderId="24" xfId="63" applyFont="1" applyFill="1" applyBorder="1" applyAlignment="1">
      <alignment vertical="center" wrapText="1"/>
    </xf>
    <xf numFmtId="0" fontId="63" fillId="0" borderId="15" xfId="63" applyFont="1" applyBorder="1" applyAlignment="1">
      <alignment horizontal="left" vertical="center" wrapText="1" indent="1"/>
    </xf>
    <xf numFmtId="165" fontId="34" fillId="33" borderId="22" xfId="64" applyNumberFormat="1" applyFont="1" applyFill="1" applyBorder="1" applyAlignment="1">
      <alignment horizontal="center" vertical="center"/>
    </xf>
    <xf numFmtId="3" fontId="34" fillId="33" borderId="22" xfId="64" applyNumberFormat="1" applyFont="1" applyFill="1" applyBorder="1" applyAlignment="1">
      <alignment horizontal="center" vertical="center"/>
    </xf>
    <xf numFmtId="4" fontId="62" fillId="0" borderId="0" xfId="63" applyNumberFormat="1" applyFont="1"/>
    <xf numFmtId="0" fontId="35" fillId="35" borderId="13" xfId="63" applyFont="1" applyFill="1" applyBorder="1" applyAlignment="1">
      <alignment vertical="center" wrapText="1"/>
    </xf>
    <xf numFmtId="0" fontId="35" fillId="33" borderId="13" xfId="63" applyFont="1" applyFill="1" applyBorder="1" applyAlignment="1">
      <alignment horizontal="left" vertical="center" wrapText="1"/>
    </xf>
    <xf numFmtId="0" fontId="28" fillId="33" borderId="13" xfId="63" applyFont="1" applyFill="1" applyBorder="1" applyAlignment="1">
      <alignment horizontal="center" vertical="center" wrapText="1"/>
    </xf>
    <xf numFmtId="0" fontId="67" fillId="33" borderId="0" xfId="63" applyFont="1" applyFill="1"/>
    <xf numFmtId="0" fontId="22" fillId="33" borderId="13" xfId="63" quotePrefix="1" applyFont="1" applyFill="1" applyBorder="1" applyAlignment="1">
      <alignment horizontal="center" vertical="center" wrapText="1"/>
    </xf>
    <xf numFmtId="0" fontId="68" fillId="33" borderId="13" xfId="63" applyFont="1" applyFill="1" applyBorder="1" applyAlignment="1">
      <alignment horizontal="left" vertical="center" wrapText="1"/>
    </xf>
    <xf numFmtId="0" fontId="68" fillId="33" borderId="13" xfId="63" applyFont="1" applyFill="1" applyBorder="1" applyAlignment="1">
      <alignment vertical="center" wrapText="1"/>
    </xf>
    <xf numFmtId="0" fontId="55" fillId="33" borderId="19" xfId="63" applyFont="1" applyFill="1" applyBorder="1" applyAlignment="1">
      <alignment horizontal="center" vertical="center" wrapText="1"/>
    </xf>
    <xf numFmtId="0" fontId="55" fillId="33" borderId="22" xfId="63" applyFont="1" applyFill="1" applyBorder="1" applyAlignment="1">
      <alignment horizontal="center" vertical="center" wrapText="1"/>
    </xf>
    <xf numFmtId="0" fontId="55" fillId="33" borderId="31" xfId="63" applyFont="1" applyFill="1" applyBorder="1" applyAlignment="1">
      <alignment vertical="center" wrapText="1"/>
    </xf>
    <xf numFmtId="9" fontId="55" fillId="33" borderId="32" xfId="63" applyNumberFormat="1" applyFont="1" applyFill="1" applyBorder="1" applyAlignment="1">
      <alignment horizontal="center" vertical="center"/>
    </xf>
    <xf numFmtId="9" fontId="55" fillId="33" borderId="33" xfId="63" applyNumberFormat="1" applyFont="1" applyFill="1" applyBorder="1" applyAlignment="1">
      <alignment horizontal="center" vertical="center"/>
    </xf>
    <xf numFmtId="0" fontId="69" fillId="33" borderId="24" xfId="63" applyFont="1" applyFill="1" applyBorder="1" applyAlignment="1">
      <alignment vertical="center" wrapText="1"/>
    </xf>
    <xf numFmtId="9" fontId="69" fillId="33" borderId="0" xfId="63" applyNumberFormat="1" applyFont="1" applyFill="1" applyBorder="1" applyAlignment="1">
      <alignment horizontal="center" vertical="center"/>
    </xf>
    <xf numFmtId="0" fontId="55" fillId="33" borderId="20" xfId="63" applyFont="1" applyFill="1" applyBorder="1" applyAlignment="1">
      <alignment horizontal="left" vertical="center" wrapText="1"/>
    </xf>
    <xf numFmtId="9" fontId="55" fillId="33" borderId="34" xfId="63" applyNumberFormat="1" applyFont="1" applyFill="1" applyBorder="1" applyAlignment="1">
      <alignment horizontal="center" vertical="center"/>
    </xf>
    <xf numFmtId="9" fontId="55" fillId="33" borderId="22" xfId="63" applyNumberFormat="1" applyFont="1" applyFill="1" applyBorder="1" applyAlignment="1">
      <alignment horizontal="center" vertical="center"/>
    </xf>
    <xf numFmtId="49" fontId="69" fillId="33" borderId="0" xfId="63" applyNumberFormat="1" applyFont="1" applyFill="1" applyBorder="1" applyAlignment="1">
      <alignment horizontal="center" vertical="center"/>
    </xf>
    <xf numFmtId="9" fontId="55" fillId="33" borderId="0" xfId="63" applyNumberFormat="1" applyFont="1" applyFill="1" applyBorder="1" applyAlignment="1">
      <alignment horizontal="center" vertical="center"/>
    </xf>
    <xf numFmtId="49" fontId="55" fillId="33" borderId="22" xfId="63" applyNumberFormat="1" applyFont="1" applyFill="1" applyBorder="1" applyAlignment="1">
      <alignment horizontal="center" vertical="center"/>
    </xf>
    <xf numFmtId="0" fontId="55" fillId="33" borderId="24" xfId="63" applyFont="1" applyFill="1" applyBorder="1" applyAlignment="1">
      <alignment horizontal="left" vertical="center" wrapText="1"/>
    </xf>
    <xf numFmtId="0" fontId="55" fillId="33" borderId="10" xfId="63" applyFont="1" applyFill="1" applyBorder="1" applyAlignment="1">
      <alignment horizontal="left" vertical="center" wrapText="1"/>
    </xf>
    <xf numFmtId="3" fontId="55" fillId="33" borderId="24" xfId="63" applyNumberFormat="1" applyFont="1" applyFill="1" applyBorder="1" applyAlignment="1">
      <alignment horizontal="center" vertical="center" wrapText="1"/>
    </xf>
    <xf numFmtId="0" fontId="55" fillId="33" borderId="24" xfId="63" applyFont="1" applyFill="1" applyBorder="1" applyAlignment="1">
      <alignment horizontal="center" vertical="center" wrapText="1"/>
    </xf>
    <xf numFmtId="165" fontId="55" fillId="33" borderId="22" xfId="63" applyNumberFormat="1" applyFont="1" applyFill="1" applyBorder="1" applyAlignment="1">
      <alignment horizontal="center" vertical="center"/>
    </xf>
    <xf numFmtId="3" fontId="67" fillId="33" borderId="0" xfId="63" applyNumberFormat="1" applyFont="1" applyFill="1"/>
    <xf numFmtId="0" fontId="69" fillId="33" borderId="24" xfId="63" applyFont="1" applyFill="1" applyBorder="1" applyAlignment="1">
      <alignment horizontal="left" vertical="center" wrapText="1" indent="1"/>
    </xf>
    <xf numFmtId="3" fontId="69" fillId="33" borderId="22" xfId="63" applyNumberFormat="1" applyFont="1" applyFill="1" applyBorder="1" applyAlignment="1">
      <alignment horizontal="center" vertical="center"/>
    </xf>
    <xf numFmtId="0" fontId="70" fillId="33" borderId="15" xfId="63" applyFont="1" applyFill="1" applyBorder="1" applyAlignment="1">
      <alignment horizontal="left" vertical="center" wrapText="1" indent="1"/>
    </xf>
    <xf numFmtId="3" fontId="55" fillId="33" borderId="22" xfId="63" applyNumberFormat="1" applyFont="1" applyFill="1" applyBorder="1" applyAlignment="1">
      <alignment horizontal="center" vertical="center"/>
    </xf>
    <xf numFmtId="0" fontId="55" fillId="33" borderId="24" xfId="63" applyFont="1" applyFill="1" applyBorder="1" applyAlignment="1">
      <alignment vertical="center" wrapText="1"/>
    </xf>
    <xf numFmtId="3" fontId="71" fillId="33" borderId="22" xfId="63" applyNumberFormat="1" applyFont="1" applyFill="1" applyBorder="1" applyAlignment="1">
      <alignment horizontal="center" vertical="center"/>
    </xf>
    <xf numFmtId="0" fontId="69" fillId="33" borderId="15" xfId="63" applyFont="1" applyFill="1" applyBorder="1" applyAlignment="1">
      <alignment horizontal="left" vertical="center" wrapText="1" indent="1"/>
    </xf>
    <xf numFmtId="0" fontId="69" fillId="33" borderId="27" xfId="63" applyFont="1" applyFill="1" applyBorder="1" applyAlignment="1">
      <alignment horizontal="left" vertical="center" wrapText="1" indent="1"/>
    </xf>
    <xf numFmtId="0" fontId="55" fillId="33" borderId="27" xfId="63" applyFont="1" applyFill="1" applyBorder="1" applyAlignment="1">
      <alignment horizontal="left" vertical="center" wrapText="1"/>
    </xf>
    <xf numFmtId="0" fontId="70" fillId="33" borderId="27" xfId="63" applyFont="1" applyFill="1" applyBorder="1" applyAlignment="1">
      <alignment horizontal="left" vertical="center" wrapText="1" indent="1"/>
    </xf>
    <xf numFmtId="0" fontId="55" fillId="33" borderId="13" xfId="63" applyFont="1" applyFill="1" applyBorder="1" applyAlignment="1">
      <alignment horizontal="left" vertical="center" wrapText="1"/>
    </xf>
    <xf numFmtId="3" fontId="71" fillId="33" borderId="19" xfId="63" applyNumberFormat="1" applyFont="1" applyFill="1" applyBorder="1" applyAlignment="1">
      <alignment horizontal="center" vertical="center"/>
    </xf>
    <xf numFmtId="3" fontId="55" fillId="33" borderId="19" xfId="63" applyNumberFormat="1" applyFont="1" applyFill="1" applyBorder="1" applyAlignment="1">
      <alignment horizontal="center" vertical="center"/>
    </xf>
    <xf numFmtId="0" fontId="70" fillId="33" borderId="31" xfId="63" applyFont="1" applyFill="1" applyBorder="1" applyAlignment="1">
      <alignment horizontal="left" vertical="center" wrapText="1" indent="1"/>
    </xf>
    <xf numFmtId="3" fontId="71" fillId="33" borderId="32" xfId="63" applyNumberFormat="1" applyFont="1" applyFill="1" applyBorder="1" applyAlignment="1">
      <alignment horizontal="center" vertical="center"/>
    </xf>
    <xf numFmtId="3" fontId="71" fillId="33" borderId="33" xfId="63" applyNumberFormat="1" applyFont="1" applyFill="1" applyBorder="1" applyAlignment="1">
      <alignment horizontal="center" vertical="center"/>
    </xf>
    <xf numFmtId="3" fontId="71" fillId="33" borderId="21" xfId="63" applyNumberFormat="1" applyFont="1" applyFill="1" applyBorder="1" applyAlignment="1">
      <alignment horizontal="center" vertical="center"/>
    </xf>
    <xf numFmtId="0" fontId="69" fillId="33" borderId="13" xfId="63" applyFont="1" applyFill="1" applyBorder="1" applyAlignment="1">
      <alignment vertical="center" wrapText="1"/>
    </xf>
    <xf numFmtId="0" fontId="55" fillId="33" borderId="28" xfId="63" applyFont="1" applyFill="1" applyBorder="1" applyAlignment="1">
      <alignment vertical="center" wrapText="1"/>
    </xf>
    <xf numFmtId="0" fontId="69" fillId="33" borderId="27" xfId="63" applyFont="1" applyFill="1" applyBorder="1" applyAlignment="1">
      <alignment vertical="center" wrapText="1"/>
    </xf>
    <xf numFmtId="3" fontId="55" fillId="33" borderId="32" xfId="63" applyNumberFormat="1" applyFont="1" applyFill="1" applyBorder="1" applyAlignment="1">
      <alignment horizontal="center" vertical="center"/>
    </xf>
    <xf numFmtId="0" fontId="70" fillId="33" borderId="24" xfId="63" applyFont="1" applyFill="1" applyBorder="1" applyAlignment="1">
      <alignment vertical="center" wrapText="1"/>
    </xf>
    <xf numFmtId="165" fontId="71" fillId="33" borderId="22" xfId="63" applyNumberFormat="1" applyFont="1" applyFill="1" applyBorder="1" applyAlignment="1">
      <alignment horizontal="center" vertical="center"/>
    </xf>
    <xf numFmtId="0" fontId="70" fillId="33" borderId="24" xfId="63" applyFont="1" applyFill="1" applyBorder="1" applyAlignment="1">
      <alignment horizontal="left" vertical="center" wrapText="1" indent="1"/>
    </xf>
    <xf numFmtId="0" fontId="31" fillId="33" borderId="27" xfId="63" applyFont="1" applyFill="1" applyBorder="1" applyAlignment="1">
      <alignment horizontal="left" vertical="center" wrapText="1"/>
    </xf>
    <xf numFmtId="0" fontId="31" fillId="35" borderId="27" xfId="63" applyFont="1" applyFill="1" applyBorder="1" applyAlignment="1">
      <alignment vertical="center" wrapText="1"/>
    </xf>
    <xf numFmtId="0" fontId="34" fillId="33" borderId="27" xfId="63" applyFont="1" applyFill="1" applyBorder="1" applyAlignment="1">
      <alignment horizontal="center" vertical="center" wrapText="1"/>
    </xf>
    <xf numFmtId="0" fontId="34" fillId="33" borderId="27" xfId="63" applyFont="1" applyFill="1" applyBorder="1" applyAlignment="1">
      <alignment vertical="center" wrapText="1"/>
    </xf>
    <xf numFmtId="3" fontId="32" fillId="33" borderId="27" xfId="63" applyNumberFormat="1" applyFont="1" applyFill="1" applyBorder="1" applyAlignment="1">
      <alignment horizontal="center" vertical="center" wrapText="1"/>
    </xf>
    <xf numFmtId="0" fontId="34" fillId="33" borderId="27" xfId="63" applyFont="1" applyFill="1" applyBorder="1" applyAlignment="1">
      <alignment horizontal="left" vertical="center" wrapText="1"/>
    </xf>
    <xf numFmtId="0" fontId="33" fillId="35" borderId="27" xfId="63" applyFont="1" applyFill="1" applyBorder="1" applyAlignment="1">
      <alignment vertical="center" wrapText="1"/>
    </xf>
    <xf numFmtId="0" fontId="32" fillId="0" borderId="27" xfId="63" applyFont="1" applyFill="1" applyBorder="1" applyAlignment="1">
      <alignment horizontal="center" vertical="center" wrapText="1"/>
    </xf>
    <xf numFmtId="0" fontId="32" fillId="33" borderId="27" xfId="63" applyFont="1" applyFill="1" applyBorder="1" applyAlignment="1">
      <alignment horizontal="center" vertical="center" wrapText="1"/>
    </xf>
    <xf numFmtId="0" fontId="34" fillId="33" borderId="27" xfId="63" applyFont="1" applyFill="1" applyBorder="1" applyAlignment="1">
      <alignment vertical="center"/>
    </xf>
    <xf numFmtId="9" fontId="22" fillId="33" borderId="27" xfId="63" applyNumberFormat="1" applyFont="1" applyFill="1" applyBorder="1" applyAlignment="1">
      <alignment horizontal="center" vertical="center"/>
    </xf>
    <xf numFmtId="0" fontId="36" fillId="35" borderId="27" xfId="63" applyFont="1" applyFill="1" applyBorder="1" applyAlignment="1">
      <alignment horizontal="left" vertical="center" wrapText="1"/>
    </xf>
    <xf numFmtId="0" fontId="35" fillId="33" borderId="27" xfId="63" applyFont="1" applyFill="1" applyBorder="1" applyAlignment="1">
      <alignment horizontal="center" vertical="center" wrapText="1"/>
    </xf>
    <xf numFmtId="165" fontId="32" fillId="33" borderId="27" xfId="63" applyNumberFormat="1" applyFont="1" applyFill="1" applyBorder="1" applyAlignment="1">
      <alignment horizontal="center" vertical="center"/>
    </xf>
    <xf numFmtId="0" fontId="32" fillId="0" borderId="27" xfId="63" applyFont="1" applyBorder="1" applyAlignment="1">
      <alignment horizontal="left" vertical="center" wrapText="1" indent="1"/>
    </xf>
    <xf numFmtId="3" fontId="22" fillId="0" borderId="27" xfId="63" applyNumberFormat="1" applyFont="1" applyBorder="1" applyAlignment="1">
      <alignment horizontal="center" vertical="center"/>
    </xf>
    <xf numFmtId="3" fontId="22" fillId="0" borderId="27" xfId="63" applyNumberFormat="1" applyFont="1" applyBorder="1" applyAlignment="1">
      <alignment horizontal="center" vertical="center" wrapText="1"/>
    </xf>
    <xf numFmtId="3" fontId="50" fillId="0" borderId="27" xfId="63" applyNumberFormat="1" applyFont="1" applyBorder="1" applyAlignment="1">
      <alignment horizontal="center" vertical="center"/>
    </xf>
    <xf numFmtId="3" fontId="37" fillId="0" borderId="27" xfId="63" applyNumberFormat="1" applyFont="1" applyBorder="1" applyAlignment="1">
      <alignment horizontal="center" vertical="center"/>
    </xf>
    <xf numFmtId="3" fontId="34" fillId="0" borderId="27" xfId="63" applyNumberFormat="1" applyFont="1" applyBorder="1" applyAlignment="1">
      <alignment horizontal="center" vertical="center"/>
    </xf>
    <xf numFmtId="3" fontId="34" fillId="0" borderId="27" xfId="63" applyNumberFormat="1" applyFont="1" applyBorder="1" applyAlignment="1">
      <alignment horizontal="center" vertical="center" wrapText="1"/>
    </xf>
    <xf numFmtId="0" fontId="38" fillId="0" borderId="27" xfId="63" applyFont="1" applyBorder="1" applyAlignment="1">
      <alignment horizontal="left" vertical="center" wrapText="1" indent="1"/>
    </xf>
    <xf numFmtId="0" fontId="39" fillId="34" borderId="27" xfId="63" applyFont="1" applyFill="1" applyBorder="1" applyAlignment="1">
      <alignment vertical="center" wrapText="1"/>
    </xf>
    <xf numFmtId="3" fontId="22" fillId="34" borderId="27" xfId="63" applyNumberFormat="1" applyFont="1" applyFill="1" applyBorder="1" applyAlignment="1">
      <alignment horizontal="center" vertical="center"/>
    </xf>
    <xf numFmtId="0" fontId="36" fillId="35" borderId="27" xfId="63" applyFont="1" applyFill="1" applyBorder="1" applyAlignment="1">
      <alignment vertical="center" wrapText="1"/>
    </xf>
    <xf numFmtId="3" fontId="34" fillId="33" borderId="27" xfId="63" applyNumberFormat="1" applyFont="1" applyFill="1" applyBorder="1" applyAlignment="1">
      <alignment horizontal="center" vertical="center" wrapText="1"/>
    </xf>
    <xf numFmtId="165" fontId="34" fillId="33" borderId="27" xfId="63" applyNumberFormat="1" applyFont="1" applyFill="1" applyBorder="1" applyAlignment="1">
      <alignment horizontal="center" vertical="center"/>
    </xf>
    <xf numFmtId="165" fontId="34" fillId="33" borderId="27" xfId="63" applyNumberFormat="1" applyFont="1" applyFill="1" applyBorder="1" applyAlignment="1">
      <alignment horizontal="center" vertical="center" wrapText="1"/>
    </xf>
    <xf numFmtId="3" fontId="34" fillId="0" borderId="27" xfId="63" applyNumberFormat="1" applyFont="1" applyFill="1" applyBorder="1" applyAlignment="1">
      <alignment horizontal="center" vertical="center"/>
    </xf>
    <xf numFmtId="3" fontId="22" fillId="0" borderId="27" xfId="63" applyNumberFormat="1" applyFont="1" applyFill="1" applyBorder="1" applyAlignment="1">
      <alignment horizontal="center" vertical="center"/>
    </xf>
    <xf numFmtId="3" fontId="22" fillId="0" borderId="27" xfId="63" applyNumberFormat="1" applyFont="1" applyFill="1" applyBorder="1" applyAlignment="1">
      <alignment horizontal="center" vertical="center" wrapText="1"/>
    </xf>
    <xf numFmtId="0" fontId="39" fillId="0" borderId="27" xfId="63" applyFont="1" applyBorder="1" applyAlignment="1">
      <alignment horizontal="left" vertical="center" wrapText="1" indent="1"/>
    </xf>
    <xf numFmtId="3" fontId="37" fillId="0" borderId="27" xfId="63" applyNumberFormat="1" applyFont="1" applyFill="1" applyBorder="1" applyAlignment="1">
      <alignment horizontal="center" vertical="center"/>
    </xf>
    <xf numFmtId="3" fontId="35" fillId="34" borderId="27" xfId="63" applyNumberFormat="1" applyFont="1" applyFill="1" applyBorder="1" applyAlignment="1">
      <alignment horizontal="center" vertical="center"/>
    </xf>
    <xf numFmtId="3" fontId="35" fillId="0" borderId="27" xfId="63" applyNumberFormat="1" applyFont="1" applyFill="1" applyBorder="1" applyAlignment="1">
      <alignment horizontal="center" vertical="center"/>
    </xf>
    <xf numFmtId="0" fontId="34" fillId="35" borderId="27" xfId="63" applyFont="1" applyFill="1" applyBorder="1" applyAlignment="1">
      <alignment horizontal="left" vertical="center" wrapText="1"/>
    </xf>
    <xf numFmtId="3" fontId="22" fillId="33" borderId="27" xfId="63" applyNumberFormat="1" applyFont="1" applyFill="1" applyBorder="1" applyAlignment="1">
      <alignment horizontal="center" vertical="center" wrapText="1"/>
    </xf>
    <xf numFmtId="165" fontId="22" fillId="33" borderId="27" xfId="63" applyNumberFormat="1" applyFont="1" applyFill="1" applyBorder="1" applyAlignment="1">
      <alignment horizontal="center" vertical="center"/>
    </xf>
    <xf numFmtId="165" fontId="22" fillId="33" borderId="27" xfId="63" applyNumberFormat="1" applyFont="1" applyFill="1" applyBorder="1" applyAlignment="1">
      <alignment horizontal="center" vertical="center" wrapText="1"/>
    </xf>
    <xf numFmtId="0" fontId="22" fillId="0" borderId="27" xfId="63" applyFont="1" applyBorder="1" applyAlignment="1">
      <alignment horizontal="left" vertical="center" wrapText="1"/>
    </xf>
    <xf numFmtId="0" fontId="51" fillId="0" borderId="27" xfId="63" applyFont="1" applyBorder="1" applyAlignment="1">
      <alignment horizontal="left" vertical="center" wrapText="1"/>
    </xf>
    <xf numFmtId="0" fontId="32" fillId="33" borderId="27" xfId="63" applyFont="1" applyFill="1" applyBorder="1" applyAlignment="1">
      <alignment horizontal="left" vertical="center" wrapText="1"/>
    </xf>
    <xf numFmtId="49" fontId="28" fillId="33" borderId="13" xfId="63" applyNumberFormat="1" applyFont="1" applyFill="1" applyBorder="1" applyAlignment="1">
      <alignment horizontal="center" vertical="center" wrapText="1"/>
    </xf>
    <xf numFmtId="0" fontId="33" fillId="35" borderId="13" xfId="63" applyFont="1" applyFill="1" applyBorder="1" applyAlignment="1">
      <alignment vertical="center" wrapText="1"/>
    </xf>
    <xf numFmtId="0" fontId="33" fillId="0" borderId="15" xfId="63" applyFont="1" applyBorder="1" applyAlignment="1">
      <alignment horizontal="left" vertical="center" wrapText="1" indent="1"/>
    </xf>
    <xf numFmtId="3" fontId="35" fillId="0" borderId="22" xfId="63" applyNumberFormat="1" applyFont="1" applyBorder="1" applyAlignment="1">
      <alignment horizontal="center" vertical="center"/>
    </xf>
    <xf numFmtId="3" fontId="45" fillId="0" borderId="22" xfId="63" applyNumberFormat="1" applyFont="1" applyBorder="1" applyAlignment="1">
      <alignment horizontal="center" vertical="center"/>
    </xf>
    <xf numFmtId="0" fontId="39" fillId="36" borderId="24" xfId="63" applyFont="1" applyFill="1" applyBorder="1" applyAlignment="1">
      <alignment vertical="center" wrapText="1"/>
    </xf>
    <xf numFmtId="3" fontId="35" fillId="36" borderId="22" xfId="63" applyNumberFormat="1" applyFont="1" applyFill="1" applyBorder="1" applyAlignment="1">
      <alignment horizontal="center" vertical="center"/>
    </xf>
    <xf numFmtId="0" fontId="46" fillId="33" borderId="24" xfId="63" applyFont="1" applyFill="1" applyBorder="1" applyAlignment="1">
      <alignment vertical="center" wrapText="1"/>
    </xf>
    <xf numFmtId="0" fontId="47" fillId="0" borderId="24" xfId="63" applyFont="1" applyBorder="1" applyAlignment="1">
      <alignment horizontal="left" vertical="center" wrapText="1" indent="1"/>
    </xf>
    <xf numFmtId="3" fontId="34" fillId="0" borderId="24" xfId="63" applyNumberFormat="1" applyFont="1" applyFill="1" applyBorder="1" applyAlignment="1">
      <alignment horizontal="center" vertical="center" wrapText="1"/>
    </xf>
    <xf numFmtId="0" fontId="34" fillId="40" borderId="24" xfId="63" applyFont="1" applyFill="1" applyBorder="1" applyAlignment="1">
      <alignment vertical="center" wrapText="1"/>
    </xf>
    <xf numFmtId="9" fontId="34" fillId="40" borderId="22" xfId="63" applyNumberFormat="1" applyFont="1" applyFill="1" applyBorder="1" applyAlignment="1">
      <alignment horizontal="center" vertical="center"/>
    </xf>
    <xf numFmtId="0" fontId="34" fillId="40" borderId="24" xfId="63" applyFont="1" applyFill="1" applyBorder="1" applyAlignment="1">
      <alignment horizontal="left" vertical="center" wrapText="1"/>
    </xf>
    <xf numFmtId="3" fontId="34" fillId="40" borderId="24" xfId="63" applyNumberFormat="1" applyFont="1" applyFill="1" applyBorder="1" applyAlignment="1">
      <alignment horizontal="center" vertical="center" wrapText="1"/>
    </xf>
    <xf numFmtId="0" fontId="32" fillId="40" borderId="24" xfId="63" applyFont="1" applyFill="1" applyBorder="1" applyAlignment="1">
      <alignment horizontal="left" vertical="center" wrapText="1" indent="1"/>
    </xf>
    <xf numFmtId="3" fontId="34" fillId="40" borderId="22" xfId="63" applyNumberFormat="1" applyFont="1" applyFill="1" applyBorder="1" applyAlignment="1">
      <alignment horizontal="center" vertical="center"/>
    </xf>
    <xf numFmtId="3" fontId="37" fillId="36" borderId="22" xfId="63" applyNumberFormat="1" applyFont="1" applyFill="1" applyBorder="1" applyAlignment="1">
      <alignment horizontal="center" vertical="center"/>
    </xf>
    <xf numFmtId="3" fontId="34" fillId="36" borderId="24" xfId="63" applyNumberFormat="1" applyFont="1" applyFill="1" applyBorder="1" applyAlignment="1">
      <alignment horizontal="center" vertical="center" wrapText="1"/>
    </xf>
    <xf numFmtId="3" fontId="34" fillId="36" borderId="22" xfId="63" applyNumberFormat="1" applyFont="1" applyFill="1" applyBorder="1" applyAlignment="1">
      <alignment horizontal="center" vertical="center"/>
    </xf>
    <xf numFmtId="0" fontId="34" fillId="36" borderId="24" xfId="63" applyFont="1" applyFill="1" applyBorder="1" applyAlignment="1">
      <alignment horizontal="left" vertical="center" wrapText="1"/>
    </xf>
    <xf numFmtId="3" fontId="34" fillId="41" borderId="0" xfId="63" applyNumberFormat="1" applyFont="1" applyFill="1" applyBorder="1" applyAlignment="1">
      <alignment horizontal="center" vertical="center"/>
    </xf>
    <xf numFmtId="0" fontId="33" fillId="41" borderId="0" xfId="63" applyFont="1" applyFill="1" applyBorder="1" applyAlignment="1">
      <alignment horizontal="left" vertical="center" wrapText="1" indent="1"/>
    </xf>
    <xf numFmtId="3" fontId="34" fillId="41" borderId="22" xfId="63" applyNumberFormat="1" applyFont="1" applyFill="1" applyBorder="1" applyAlignment="1">
      <alignment horizontal="center" vertical="center"/>
    </xf>
    <xf numFmtId="0" fontId="33" fillId="41" borderId="24" xfId="63" applyFont="1" applyFill="1" applyBorder="1" applyAlignment="1">
      <alignment horizontal="left" vertical="center" wrapText="1" indent="1"/>
    </xf>
    <xf numFmtId="3" fontId="35" fillId="41" borderId="22" xfId="63" applyNumberFormat="1" applyFont="1" applyFill="1" applyBorder="1" applyAlignment="1">
      <alignment horizontal="center" vertical="center"/>
    </xf>
    <xf numFmtId="0" fontId="39" fillId="41" borderId="24" xfId="63" applyFont="1" applyFill="1" applyBorder="1" applyAlignment="1">
      <alignment vertical="center" wrapText="1"/>
    </xf>
    <xf numFmtId="165" fontId="37" fillId="41" borderId="22" xfId="63" applyNumberFormat="1" applyFont="1" applyFill="1" applyBorder="1" applyAlignment="1">
      <alignment horizontal="center" vertical="center"/>
    </xf>
    <xf numFmtId="3" fontId="37" fillId="41" borderId="22" xfId="63" applyNumberFormat="1" applyFont="1" applyFill="1" applyBorder="1" applyAlignment="1">
      <alignment horizontal="center" vertical="center"/>
    </xf>
    <xf numFmtId="0" fontId="47" fillId="41" borderId="24" xfId="63" applyFont="1" applyFill="1" applyBorder="1" applyAlignment="1">
      <alignment horizontal="left" vertical="center" wrapText="1" indent="1"/>
    </xf>
    <xf numFmtId="0" fontId="32" fillId="41" borderId="24" xfId="63" applyFont="1" applyFill="1" applyBorder="1" applyAlignment="1">
      <alignment horizontal="left" vertical="center" wrapText="1" indent="1"/>
    </xf>
    <xf numFmtId="165" fontId="45" fillId="41" borderId="22" xfId="63" applyNumberFormat="1" applyFont="1" applyFill="1" applyBorder="1" applyAlignment="1">
      <alignment horizontal="center" vertical="center"/>
    </xf>
    <xf numFmtId="3" fontId="45" fillId="41" borderId="22" xfId="63" applyNumberFormat="1" applyFont="1" applyFill="1" applyBorder="1" applyAlignment="1">
      <alignment horizontal="center" vertical="center"/>
    </xf>
    <xf numFmtId="0" fontId="46" fillId="41" borderId="24" xfId="63" applyFont="1" applyFill="1" applyBorder="1" applyAlignment="1">
      <alignment vertical="center" wrapText="1"/>
    </xf>
    <xf numFmtId="0" fontId="33" fillId="41" borderId="24" xfId="63" applyFont="1" applyFill="1" applyBorder="1" applyAlignment="1">
      <alignment vertical="center" wrapText="1"/>
    </xf>
    <xf numFmtId="0" fontId="38" fillId="41" borderId="15" xfId="63" applyFont="1" applyFill="1" applyBorder="1" applyAlignment="1">
      <alignment horizontal="left" vertical="center" wrapText="1" indent="1"/>
    </xf>
    <xf numFmtId="0" fontId="35" fillId="41" borderId="22" xfId="63" applyFont="1" applyFill="1" applyBorder="1" applyAlignment="1">
      <alignment horizontal="center" vertical="center" wrapText="1"/>
    </xf>
    <xf numFmtId="0" fontId="35" fillId="41" borderId="19" xfId="63" applyFont="1" applyFill="1" applyBorder="1" applyAlignment="1">
      <alignment horizontal="center" vertical="center" wrapText="1"/>
    </xf>
    <xf numFmtId="165" fontId="34" fillId="41" borderId="22" xfId="63" applyNumberFormat="1" applyFont="1" applyFill="1" applyBorder="1" applyAlignment="1">
      <alignment horizontal="center" vertical="center"/>
    </xf>
    <xf numFmtId="0" fontId="34" fillId="41" borderId="24" xfId="63" applyFont="1" applyFill="1" applyBorder="1" applyAlignment="1">
      <alignment horizontal="center" vertical="center" wrapText="1"/>
    </xf>
    <xf numFmtId="0" fontId="34" fillId="41" borderId="24" xfId="63" applyFont="1" applyFill="1" applyBorder="1" applyAlignment="1">
      <alignment horizontal="left" vertical="center" wrapText="1"/>
    </xf>
    <xf numFmtId="3" fontId="34" fillId="41" borderId="24" xfId="63" applyNumberFormat="1" applyFont="1" applyFill="1" applyBorder="1" applyAlignment="1">
      <alignment horizontal="center" vertical="center" wrapText="1"/>
    </xf>
    <xf numFmtId="0" fontId="36" fillId="41" borderId="24" xfId="63" applyFont="1" applyFill="1" applyBorder="1" applyAlignment="1">
      <alignment horizontal="left" vertical="center" wrapText="1"/>
    </xf>
    <xf numFmtId="0" fontId="33" fillId="41" borderId="15" xfId="63" applyFont="1" applyFill="1" applyBorder="1" applyAlignment="1">
      <alignment horizontal="left" vertical="center" wrapText="1" indent="1"/>
    </xf>
    <xf numFmtId="0" fontId="34" fillId="41" borderId="24" xfId="63" applyFont="1" applyFill="1" applyBorder="1" applyAlignment="1">
      <alignment vertical="center" wrapText="1"/>
    </xf>
    <xf numFmtId="9" fontId="34" fillId="41" borderId="22" xfId="63" applyNumberFormat="1" applyFont="1" applyFill="1" applyBorder="1" applyAlignment="1">
      <alignment horizontal="center" vertical="center"/>
    </xf>
    <xf numFmtId="0" fontId="33" fillId="41" borderId="13" xfId="63" applyFont="1" applyFill="1" applyBorder="1" applyAlignment="1">
      <alignment vertical="center" wrapText="1"/>
    </xf>
    <xf numFmtId="0" fontId="34" fillId="41" borderId="13" xfId="63" applyFont="1" applyFill="1" applyBorder="1" applyAlignment="1">
      <alignment horizontal="left" vertical="center" wrapText="1"/>
    </xf>
    <xf numFmtId="0" fontId="39" fillId="41" borderId="24" xfId="63" applyFont="1" applyFill="1" applyBorder="1" applyAlignment="1">
      <alignment horizontal="center" vertical="center" wrapText="1"/>
    </xf>
    <xf numFmtId="0" fontId="39" fillId="41" borderId="15" xfId="63" applyFont="1" applyFill="1" applyBorder="1" applyAlignment="1">
      <alignment horizontal="left" vertical="center" wrapText="1" indent="1"/>
    </xf>
    <xf numFmtId="43" fontId="34" fillId="41" borderId="24" xfId="67" applyFont="1" applyFill="1" applyBorder="1" applyAlignment="1">
      <alignment horizontal="center" vertical="center" wrapText="1"/>
    </xf>
    <xf numFmtId="9" fontId="54" fillId="0" borderId="22" xfId="63" applyNumberFormat="1" applyFont="1" applyFill="1" applyBorder="1" applyAlignment="1">
      <alignment horizontal="center" vertical="center"/>
    </xf>
    <xf numFmtId="0" fontId="34" fillId="43" borderId="24" xfId="63" applyFont="1" applyFill="1" applyBorder="1" applyAlignment="1">
      <alignment vertical="center" wrapText="1"/>
    </xf>
    <xf numFmtId="0" fontId="39" fillId="0" borderId="24" xfId="63" applyFont="1" applyFill="1" applyBorder="1" applyAlignment="1">
      <alignment vertical="center" wrapText="1"/>
    </xf>
    <xf numFmtId="0" fontId="54" fillId="0" borderId="24" xfId="63" applyFont="1" applyFill="1" applyBorder="1" applyAlignment="1">
      <alignment horizontal="left" vertical="center" wrapText="1"/>
    </xf>
    <xf numFmtId="9" fontId="34" fillId="0" borderId="22" xfId="63" applyNumberFormat="1" applyFont="1" applyFill="1" applyBorder="1" applyAlignment="1">
      <alignment horizontal="center" vertical="center"/>
    </xf>
    <xf numFmtId="0" fontId="34" fillId="0" borderId="24" xfId="63" applyFont="1" applyFill="1" applyBorder="1" applyAlignment="1">
      <alignment horizontal="left" vertical="center" wrapText="1"/>
    </xf>
    <xf numFmtId="167" fontId="34" fillId="0" borderId="22" xfId="67" applyNumberFormat="1" applyFont="1" applyFill="1" applyBorder="1" applyAlignment="1">
      <alignment horizontal="center" vertical="center"/>
    </xf>
    <xf numFmtId="0" fontId="34" fillId="0" borderId="24" xfId="63" applyFont="1" applyFill="1" applyBorder="1" applyAlignment="1">
      <alignment vertical="center" wrapText="1"/>
    </xf>
    <xf numFmtId="0" fontId="34" fillId="0" borderId="22" xfId="63" applyFont="1" applyFill="1" applyBorder="1" applyAlignment="1">
      <alignment horizontal="center" vertical="center" wrapText="1"/>
    </xf>
    <xf numFmtId="0" fontId="34" fillId="0" borderId="19" xfId="63" applyFont="1" applyFill="1" applyBorder="1" applyAlignment="1">
      <alignment horizontal="center" vertical="center" wrapText="1"/>
    </xf>
    <xf numFmtId="0" fontId="34" fillId="41" borderId="22" xfId="63" applyNumberFormat="1" applyFont="1" applyFill="1" applyBorder="1" applyAlignment="1">
      <alignment horizontal="center" vertical="center"/>
    </xf>
    <xf numFmtId="0" fontId="32" fillId="41" borderId="24" xfId="63" applyFont="1" applyFill="1" applyBorder="1" applyAlignment="1">
      <alignment horizontal="center" vertical="center" wrapText="1"/>
    </xf>
    <xf numFmtId="0" fontId="36" fillId="41" borderId="24" xfId="63" applyFont="1" applyFill="1" applyBorder="1" applyAlignment="1">
      <alignment vertical="center" wrapText="1"/>
    </xf>
    <xf numFmtId="0" fontId="34" fillId="33" borderId="22" xfId="63" applyNumberFormat="1" applyFont="1" applyFill="1" applyBorder="1" applyAlignment="1">
      <alignment horizontal="center" vertical="center"/>
    </xf>
    <xf numFmtId="0" fontId="53" fillId="33" borderId="27" xfId="75" applyFont="1" applyFill="1" applyBorder="1" applyAlignment="1">
      <alignment horizontal="left" vertical="center" wrapText="1"/>
    </xf>
    <xf numFmtId="0" fontId="53" fillId="33" borderId="27" xfId="76" applyFont="1" applyFill="1" applyBorder="1" applyAlignment="1">
      <alignment horizontal="left" vertical="center" wrapText="1"/>
    </xf>
    <xf numFmtId="3" fontId="37" fillId="0" borderId="22" xfId="63" applyNumberFormat="1" applyFont="1" applyFill="1" applyBorder="1" applyAlignment="1">
      <alignment horizontal="center" vertical="center"/>
    </xf>
    <xf numFmtId="0" fontId="38" fillId="0" borderId="15" xfId="63" applyFont="1" applyFill="1" applyBorder="1" applyAlignment="1">
      <alignment horizontal="left" vertical="center" wrapText="1" indent="1"/>
    </xf>
    <xf numFmtId="0" fontId="32" fillId="0" borderId="24" xfId="63" applyFont="1" applyFill="1" applyBorder="1" applyAlignment="1">
      <alignment horizontal="left" vertical="center" wrapText="1" indent="1"/>
    </xf>
    <xf numFmtId="0" fontId="35" fillId="0" borderId="22" xfId="63" applyFont="1" applyFill="1" applyBorder="1" applyAlignment="1">
      <alignment horizontal="center" vertical="center" wrapText="1"/>
    </xf>
    <xf numFmtId="0" fontId="35" fillId="0" borderId="19" xfId="63" applyFont="1" applyFill="1" applyBorder="1" applyAlignment="1">
      <alignment horizontal="center" vertical="center" wrapText="1"/>
    </xf>
    <xf numFmtId="165" fontId="34" fillId="0" borderId="22" xfId="63" applyNumberFormat="1" applyFont="1" applyFill="1" applyBorder="1" applyAlignment="1">
      <alignment horizontal="center" vertical="center"/>
    </xf>
    <xf numFmtId="0" fontId="34" fillId="0" borderId="24" xfId="63" applyFont="1" applyFill="1" applyBorder="1" applyAlignment="1">
      <alignment horizontal="center" vertical="center" wrapText="1"/>
    </xf>
    <xf numFmtId="0" fontId="36" fillId="0" borderId="24" xfId="63" applyFont="1" applyFill="1" applyBorder="1" applyAlignment="1">
      <alignment horizontal="left" vertical="center" wrapText="1"/>
    </xf>
    <xf numFmtId="0" fontId="34" fillId="0" borderId="22" xfId="63" applyFont="1" applyFill="1" applyBorder="1" applyAlignment="1">
      <alignment horizontal="center" vertical="center"/>
    </xf>
    <xf numFmtId="0" fontId="34" fillId="0" borderId="21" xfId="63" applyFont="1" applyFill="1" applyBorder="1" applyAlignment="1">
      <alignment horizontal="center" vertical="center"/>
    </xf>
    <xf numFmtId="3" fontId="34" fillId="0" borderId="22" xfId="63" applyNumberFormat="1" applyFont="1" applyFill="1" applyBorder="1" applyAlignment="1">
      <alignment horizontal="center" vertical="center"/>
    </xf>
    <xf numFmtId="3" fontId="35" fillId="0" borderId="22" xfId="63" applyNumberFormat="1" applyFont="1" applyFill="1" applyBorder="1" applyAlignment="1">
      <alignment horizontal="center" vertical="center"/>
    </xf>
    <xf numFmtId="0" fontId="33" fillId="0" borderId="15" xfId="63" applyFont="1" applyFill="1" applyBorder="1" applyAlignment="1">
      <alignment horizontal="left" vertical="center" wrapText="1" indent="1"/>
    </xf>
    <xf numFmtId="0" fontId="47" fillId="0" borderId="24" xfId="63" applyFont="1" applyFill="1" applyBorder="1" applyAlignment="1">
      <alignment horizontal="left" vertical="center" wrapText="1" indent="1"/>
    </xf>
    <xf numFmtId="165" fontId="37" fillId="0" borderId="22" xfId="63" applyNumberFormat="1" applyFont="1" applyFill="1" applyBorder="1" applyAlignment="1">
      <alignment horizontal="center" vertical="center"/>
    </xf>
    <xf numFmtId="1" fontId="34" fillId="0" borderId="22" xfId="63" applyNumberFormat="1" applyFont="1" applyFill="1" applyBorder="1" applyAlignment="1">
      <alignment horizontal="center" vertical="center"/>
    </xf>
    <xf numFmtId="0" fontId="34" fillId="0" borderId="36" xfId="63" applyFont="1" applyFill="1" applyBorder="1" applyAlignment="1">
      <alignment vertical="center" wrapText="1"/>
    </xf>
    <xf numFmtId="9" fontId="34" fillId="0" borderId="27" xfId="63" applyNumberFormat="1" applyFont="1" applyFill="1" applyBorder="1" applyAlignment="1">
      <alignment horizontal="center" vertical="center"/>
    </xf>
    <xf numFmtId="0" fontId="34" fillId="0" borderId="27" xfId="63" applyFont="1" applyFill="1" applyBorder="1" applyAlignment="1">
      <alignment horizontal="left" vertical="center" wrapText="1"/>
    </xf>
    <xf numFmtId="1" fontId="34" fillId="0" borderId="27" xfId="63" applyNumberFormat="1" applyFont="1" applyFill="1" applyBorder="1" applyAlignment="1">
      <alignment horizontal="center" vertical="center"/>
    </xf>
    <xf numFmtId="0" fontId="34" fillId="0" borderId="27" xfId="63" applyFont="1" applyFill="1" applyBorder="1" applyAlignment="1">
      <alignment vertical="center" wrapText="1"/>
    </xf>
    <xf numFmtId="1" fontId="34" fillId="0" borderId="19" xfId="63" applyNumberFormat="1" applyFont="1" applyFill="1" applyBorder="1" applyAlignment="1">
      <alignment horizontal="center" vertical="center"/>
    </xf>
    <xf numFmtId="0" fontId="34" fillId="0" borderId="15" xfId="63" applyFont="1" applyFill="1" applyBorder="1" applyAlignment="1">
      <alignment vertical="center" wrapText="1"/>
    </xf>
    <xf numFmtId="0" fontId="33" fillId="0" borderId="24" xfId="63" applyFont="1" applyFill="1" applyBorder="1" applyAlignment="1">
      <alignment vertical="center" wrapText="1"/>
    </xf>
    <xf numFmtId="3" fontId="35" fillId="33" borderId="22" xfId="63" applyNumberFormat="1" applyFont="1" applyFill="1" applyBorder="1" applyAlignment="1">
      <alignment horizontal="center" vertical="center"/>
    </xf>
    <xf numFmtId="0" fontId="39" fillId="33" borderId="24" xfId="63" applyFont="1" applyFill="1" applyBorder="1" applyAlignment="1">
      <alignment vertical="center" wrapText="1"/>
    </xf>
    <xf numFmtId="3" fontId="37" fillId="33" borderId="22" xfId="63" applyNumberFormat="1" applyFont="1" applyFill="1" applyBorder="1" applyAlignment="1">
      <alignment horizontal="center" vertical="center"/>
    </xf>
    <xf numFmtId="0" fontId="38" fillId="33" borderId="15" xfId="63" applyFont="1" applyFill="1" applyBorder="1" applyAlignment="1">
      <alignment horizontal="left" vertical="center" wrapText="1" indent="1"/>
    </xf>
    <xf numFmtId="0" fontId="47" fillId="33" borderId="24" xfId="63" applyFont="1" applyFill="1" applyBorder="1" applyAlignment="1">
      <alignment horizontal="left" vertical="center" wrapText="1" indent="1"/>
    </xf>
    <xf numFmtId="0" fontId="32" fillId="33" borderId="24" xfId="63" applyFont="1" applyFill="1" applyBorder="1" applyAlignment="1">
      <alignment horizontal="left" vertical="center" wrapText="1" indent="1"/>
    </xf>
    <xf numFmtId="165" fontId="37" fillId="33" borderId="22" xfId="63" applyNumberFormat="1" applyFont="1" applyFill="1" applyBorder="1" applyAlignment="1">
      <alignment horizontal="center" vertical="center"/>
    </xf>
    <xf numFmtId="9" fontId="37" fillId="33" borderId="22" xfId="64" applyFont="1" applyFill="1" applyBorder="1" applyAlignment="1">
      <alignment horizontal="center" vertical="center"/>
    </xf>
    <xf numFmtId="0" fontId="36" fillId="33" borderId="24" xfId="63" applyFont="1" applyFill="1" applyBorder="1" applyAlignment="1">
      <alignment horizontal="left" vertical="center" wrapText="1"/>
    </xf>
    <xf numFmtId="9" fontId="72" fillId="33" borderId="22" xfId="63" applyNumberFormat="1" applyFont="1" applyFill="1" applyBorder="1" applyAlignment="1">
      <alignment horizontal="center" vertical="center"/>
    </xf>
    <xf numFmtId="0" fontId="72" fillId="33" borderId="24" xfId="63" applyFont="1" applyFill="1" applyBorder="1" applyAlignment="1">
      <alignment horizontal="left" vertical="center" wrapText="1"/>
    </xf>
    <xf numFmtId="0" fontId="72" fillId="33" borderId="24" xfId="63" applyFont="1" applyFill="1" applyBorder="1" applyAlignment="1">
      <alignment vertical="center" wrapText="1"/>
    </xf>
    <xf numFmtId="0" fontId="52" fillId="35" borderId="24" xfId="63" applyFont="1" applyFill="1" applyBorder="1" applyAlignment="1">
      <alignment vertical="center" wrapText="1"/>
    </xf>
    <xf numFmtId="0" fontId="72" fillId="33" borderId="27" xfId="63" applyNumberFormat="1" applyFont="1" applyFill="1" applyBorder="1" applyAlignment="1">
      <alignment horizontal="center" vertical="center"/>
    </xf>
    <xf numFmtId="0" fontId="72" fillId="33" borderId="20" xfId="63" applyFont="1" applyFill="1" applyBorder="1" applyAlignment="1">
      <alignment horizontal="left" vertical="center" wrapText="1"/>
    </xf>
    <xf numFmtId="9" fontId="72" fillId="33" borderId="27" xfId="63" applyNumberFormat="1" applyFont="1" applyFill="1" applyBorder="1" applyAlignment="1">
      <alignment horizontal="center" vertical="center"/>
    </xf>
    <xf numFmtId="1" fontId="72" fillId="33" borderId="19" xfId="63" applyNumberFormat="1" applyFont="1" applyFill="1" applyBorder="1" applyAlignment="1">
      <alignment horizontal="center" vertical="center"/>
    </xf>
    <xf numFmtId="1" fontId="72" fillId="33" borderId="22" xfId="63" applyNumberFormat="1" applyFont="1" applyFill="1" applyBorder="1" applyAlignment="1">
      <alignment horizontal="center" vertical="center"/>
    </xf>
    <xf numFmtId="0" fontId="72" fillId="33" borderId="22" xfId="63" applyNumberFormat="1" applyFont="1" applyFill="1" applyBorder="1" applyAlignment="1">
      <alignment horizontal="center" vertical="center"/>
    </xf>
    <xf numFmtId="0" fontId="72" fillId="33" borderId="22" xfId="63" applyFont="1" applyFill="1" applyBorder="1" applyAlignment="1">
      <alignment horizontal="center" vertical="center" wrapText="1"/>
    </xf>
    <xf numFmtId="0" fontId="72" fillId="33" borderId="19" xfId="63" applyFont="1" applyFill="1" applyBorder="1" applyAlignment="1">
      <alignment horizontal="center" vertical="center" wrapText="1"/>
    </xf>
    <xf numFmtId="0" fontId="52" fillId="35" borderId="13" xfId="63" applyFont="1" applyFill="1" applyBorder="1" applyAlignment="1">
      <alignment vertical="center" wrapText="1"/>
    </xf>
    <xf numFmtId="0" fontId="52" fillId="33" borderId="13" xfId="63" applyFont="1" applyFill="1" applyBorder="1" applyAlignment="1">
      <alignment horizontal="left" vertical="center" wrapText="1"/>
    </xf>
    <xf numFmtId="0" fontId="72" fillId="0" borderId="0" xfId="63" applyFont="1"/>
    <xf numFmtId="0" fontId="34" fillId="33" borderId="24" xfId="0" applyFont="1" applyFill="1" applyBorder="1" applyAlignment="1">
      <alignment horizontal="center" vertical="center" wrapText="1"/>
    </xf>
    <xf numFmtId="0" fontId="24" fillId="34" borderId="0" xfId="77" applyFont="1" applyFill="1"/>
    <xf numFmtId="0" fontId="2" fillId="34" borderId="0" xfId="77" applyFill="1"/>
    <xf numFmtId="0" fontId="2" fillId="0" borderId="0" xfId="77"/>
    <xf numFmtId="0" fontId="25" fillId="34" borderId="13" xfId="77" applyFont="1" applyFill="1" applyBorder="1" applyAlignment="1">
      <alignment horizontal="left" vertical="center" wrapText="1"/>
    </xf>
    <xf numFmtId="0" fontId="25" fillId="33" borderId="13" xfId="77" applyFont="1" applyFill="1" applyBorder="1" applyAlignment="1">
      <alignment horizontal="left" vertical="center" wrapText="1"/>
    </xf>
    <xf numFmtId="0" fontId="25" fillId="34" borderId="13" xfId="77" applyFont="1" applyFill="1" applyBorder="1" applyAlignment="1">
      <alignment horizontal="center" vertical="center" wrapText="1"/>
    </xf>
    <xf numFmtId="49" fontId="22" fillId="33" borderId="13" xfId="77" applyNumberFormat="1" applyFont="1" applyFill="1" applyBorder="1" applyAlignment="1">
      <alignment horizontal="center" vertical="center" wrapText="1"/>
    </xf>
    <xf numFmtId="0" fontId="22" fillId="33" borderId="13" xfId="77" applyFont="1" applyFill="1" applyBorder="1" applyAlignment="1">
      <alignment horizontal="center" vertical="center" wrapText="1"/>
    </xf>
    <xf numFmtId="0" fontId="31" fillId="33" borderId="13" xfId="77" applyFont="1" applyFill="1" applyBorder="1" applyAlignment="1">
      <alignment horizontal="left" vertical="center" wrapText="1"/>
    </xf>
    <xf numFmtId="0" fontId="31" fillId="35" borderId="13" xfId="77" applyFont="1" applyFill="1" applyBorder="1" applyAlignment="1">
      <alignment vertical="center" wrapText="1"/>
    </xf>
    <xf numFmtId="0" fontId="34" fillId="0" borderId="19" xfId="77" applyFont="1" applyFill="1" applyBorder="1" applyAlignment="1">
      <alignment horizontal="center" vertical="center" wrapText="1"/>
    </xf>
    <xf numFmtId="0" fontId="34" fillId="0" borderId="22" xfId="77" applyFont="1" applyFill="1" applyBorder="1" applyAlignment="1">
      <alignment horizontal="center" vertical="center" wrapText="1"/>
    </xf>
    <xf numFmtId="0" fontId="34" fillId="0" borderId="24" xfId="77" applyFont="1" applyFill="1" applyBorder="1" applyAlignment="1">
      <alignment vertical="center" wrapText="1"/>
    </xf>
    <xf numFmtId="9" fontId="34" fillId="0" borderId="22" xfId="77" applyNumberFormat="1" applyFont="1" applyFill="1" applyBorder="1" applyAlignment="1">
      <alignment horizontal="center" vertical="center"/>
    </xf>
    <xf numFmtId="0" fontId="34" fillId="0" borderId="24" xfId="77" applyFont="1" applyFill="1" applyBorder="1" applyAlignment="1">
      <alignment horizontal="left" vertical="center" wrapText="1"/>
    </xf>
    <xf numFmtId="0" fontId="33" fillId="35" borderId="24" xfId="77" applyFont="1" applyFill="1" applyBorder="1" applyAlignment="1">
      <alignment vertical="center" wrapText="1"/>
    </xf>
    <xf numFmtId="0" fontId="34" fillId="35" borderId="13" xfId="77" applyFont="1" applyFill="1" applyBorder="1" applyAlignment="1">
      <alignment horizontal="left" vertical="center" wrapText="1"/>
    </xf>
    <xf numFmtId="0" fontId="36" fillId="35" borderId="24" xfId="77" applyFont="1" applyFill="1" applyBorder="1" applyAlignment="1">
      <alignment horizontal="left" vertical="center" wrapText="1"/>
    </xf>
    <xf numFmtId="0" fontId="34" fillId="33" borderId="24" xfId="77" applyFont="1" applyFill="1" applyBorder="1" applyAlignment="1">
      <alignment horizontal="left" vertical="center" wrapText="1"/>
    </xf>
    <xf numFmtId="0" fontId="35" fillId="33" borderId="19" xfId="77" applyFont="1" applyFill="1" applyBorder="1" applyAlignment="1">
      <alignment horizontal="center" vertical="center" wrapText="1"/>
    </xf>
    <xf numFmtId="0" fontId="35" fillId="33" borderId="22" xfId="77" applyFont="1" applyFill="1" applyBorder="1" applyAlignment="1">
      <alignment horizontal="center" vertical="center" wrapText="1"/>
    </xf>
    <xf numFmtId="3" fontId="34" fillId="33" borderId="24" xfId="77" applyNumberFormat="1" applyFont="1" applyFill="1" applyBorder="1" applyAlignment="1">
      <alignment horizontal="center" vertical="center" wrapText="1"/>
    </xf>
    <xf numFmtId="0" fontId="34" fillId="33" borderId="24" xfId="77" applyFont="1" applyFill="1" applyBorder="1" applyAlignment="1">
      <alignment horizontal="center" vertical="center" wrapText="1"/>
    </xf>
    <xf numFmtId="165" fontId="34" fillId="33" borderId="22" xfId="77" applyNumberFormat="1" applyFont="1" applyFill="1" applyBorder="1" applyAlignment="1">
      <alignment horizontal="center" vertical="center"/>
    </xf>
    <xf numFmtId="3" fontId="2" fillId="0" borderId="0" xfId="77" applyNumberFormat="1"/>
    <xf numFmtId="0" fontId="32" fillId="0" borderId="24" xfId="77" applyFont="1" applyBorder="1" applyAlignment="1">
      <alignment horizontal="left" vertical="center" wrapText="1" indent="1"/>
    </xf>
    <xf numFmtId="3" fontId="34" fillId="0" borderId="22" xfId="77" applyNumberFormat="1" applyFont="1" applyBorder="1" applyAlignment="1">
      <alignment horizontal="center" vertical="center"/>
    </xf>
    <xf numFmtId="3" fontId="37" fillId="0" borderId="22" xfId="77" applyNumberFormat="1" applyFont="1" applyBorder="1" applyAlignment="1">
      <alignment horizontal="center" vertical="center"/>
    </xf>
    <xf numFmtId="0" fontId="38" fillId="0" borderId="15" xfId="77" applyFont="1" applyBorder="1" applyAlignment="1">
      <alignment horizontal="left" vertical="center" wrapText="1" indent="1"/>
    </xf>
    <xf numFmtId="0" fontId="34" fillId="33" borderId="19" xfId="77" applyFont="1" applyFill="1" applyBorder="1" applyAlignment="1">
      <alignment horizontal="center" vertical="center" wrapText="1"/>
    </xf>
    <xf numFmtId="0" fontId="34" fillId="33" borderId="22" xfId="77" applyFont="1" applyFill="1" applyBorder="1" applyAlignment="1">
      <alignment horizontal="center" vertical="center" wrapText="1"/>
    </xf>
    <xf numFmtId="0" fontId="34" fillId="33" borderId="24" xfId="77" applyFont="1" applyFill="1" applyBorder="1" applyAlignment="1">
      <alignment vertical="center" wrapText="1"/>
    </xf>
    <xf numFmtId="9" fontId="34" fillId="0" borderId="22" xfId="77" applyNumberFormat="1" applyFont="1" applyFill="1" applyBorder="1" applyAlignment="1">
      <alignment horizontal="center" vertical="center" wrapText="1"/>
    </xf>
    <xf numFmtId="9" fontId="34" fillId="35" borderId="22" xfId="77" applyNumberFormat="1" applyFont="1" applyFill="1" applyBorder="1" applyAlignment="1">
      <alignment horizontal="center" vertical="center" wrapText="1"/>
    </xf>
    <xf numFmtId="165" fontId="34" fillId="33" borderId="22" xfId="77" applyNumberFormat="1" applyFont="1" applyFill="1" applyBorder="1" applyAlignment="1">
      <alignment horizontal="center" vertical="center" wrapText="1"/>
    </xf>
    <xf numFmtId="3" fontId="34" fillId="0" borderId="22" xfId="77" applyNumberFormat="1" applyFont="1" applyBorder="1" applyAlignment="1">
      <alignment horizontal="center" vertical="center" wrapText="1"/>
    </xf>
    <xf numFmtId="3" fontId="37" fillId="0" borderId="22" xfId="77" applyNumberFormat="1" applyFont="1" applyBorder="1" applyAlignment="1">
      <alignment horizontal="center" vertical="center" wrapText="1"/>
    </xf>
    <xf numFmtId="0" fontId="39" fillId="34" borderId="24" xfId="77" applyFont="1" applyFill="1" applyBorder="1" applyAlignment="1">
      <alignment vertical="center" wrapText="1"/>
    </xf>
    <xf numFmtId="3" fontId="35" fillId="34" borderId="22" xfId="77" applyNumberFormat="1" applyFont="1" applyFill="1" applyBorder="1" applyAlignment="1">
      <alignment horizontal="center" vertical="center"/>
    </xf>
    <xf numFmtId="0" fontId="34" fillId="35" borderId="24" xfId="77" applyFont="1" applyFill="1" applyBorder="1" applyAlignment="1">
      <alignment horizontal="left" vertical="center" wrapText="1"/>
    </xf>
    <xf numFmtId="3" fontId="34" fillId="0" borderId="22" xfId="77" applyNumberFormat="1" applyFont="1" applyFill="1" applyBorder="1" applyAlignment="1">
      <alignment horizontal="center" vertical="center" wrapText="1"/>
    </xf>
    <xf numFmtId="3" fontId="34" fillId="33" borderId="22" xfId="77" applyNumberFormat="1" applyFont="1" applyFill="1" applyBorder="1" applyAlignment="1">
      <alignment horizontal="center" vertical="center"/>
    </xf>
    <xf numFmtId="0" fontId="34" fillId="33" borderId="23" xfId="77" applyFont="1" applyFill="1" applyBorder="1" applyAlignment="1">
      <alignment horizontal="center" vertical="center" wrapText="1"/>
    </xf>
    <xf numFmtId="0" fontId="33" fillId="0" borderId="24" xfId="77" applyFont="1" applyBorder="1" applyAlignment="1">
      <alignment horizontal="left" vertical="center" wrapText="1" indent="1"/>
    </xf>
    <xf numFmtId="0" fontId="32" fillId="34" borderId="24" xfId="77" applyFont="1" applyFill="1" applyBorder="1" applyAlignment="1">
      <alignment horizontal="left" vertical="center" wrapText="1" indent="1"/>
    </xf>
    <xf numFmtId="3" fontId="34" fillId="34" borderId="21" xfId="77" applyNumberFormat="1" applyFont="1" applyFill="1" applyBorder="1" applyAlignment="1">
      <alignment horizontal="center" vertical="center"/>
    </xf>
    <xf numFmtId="3" fontId="34" fillId="34" borderId="22" xfId="77" applyNumberFormat="1" applyFont="1" applyFill="1" applyBorder="1" applyAlignment="1">
      <alignment horizontal="center" vertical="center"/>
    </xf>
    <xf numFmtId="0" fontId="38" fillId="0" borderId="28" xfId="77" applyFont="1" applyBorder="1" applyAlignment="1">
      <alignment horizontal="left" vertical="center" wrapText="1" indent="1"/>
    </xf>
    <xf numFmtId="0" fontId="34" fillId="35" borderId="29" xfId="77" applyFont="1" applyFill="1" applyBorder="1" applyAlignment="1">
      <alignment horizontal="left" vertical="center" wrapText="1"/>
    </xf>
    <xf numFmtId="0" fontId="32" fillId="0" borderId="24" xfId="77" applyFont="1" applyBorder="1" applyAlignment="1">
      <alignment horizontal="left" vertical="center" wrapText="1"/>
    </xf>
    <xf numFmtId="0" fontId="38" fillId="0" borderId="15" xfId="77" applyFont="1" applyBorder="1" applyAlignment="1">
      <alignment horizontal="left" vertical="center" wrapText="1"/>
    </xf>
    <xf numFmtId="0" fontId="33" fillId="35" borderId="13" xfId="77" applyFont="1" applyFill="1" applyBorder="1" applyAlignment="1">
      <alignment vertical="center" wrapText="1"/>
    </xf>
    <xf numFmtId="2" fontId="34" fillId="35" borderId="22" xfId="77" applyNumberFormat="1" applyFont="1" applyFill="1" applyBorder="1" applyAlignment="1">
      <alignment horizontal="center" vertical="center" wrapText="1"/>
    </xf>
    <xf numFmtId="0" fontId="34" fillId="0" borderId="22" xfId="77" applyNumberFormat="1" applyFont="1" applyFill="1" applyBorder="1" applyAlignment="1">
      <alignment horizontal="center" vertical="center" wrapText="1"/>
    </xf>
    <xf numFmtId="2" fontId="34" fillId="0" borderId="22" xfId="77" applyNumberFormat="1" applyFont="1" applyFill="1" applyBorder="1" applyAlignment="1">
      <alignment horizontal="center" vertical="center" wrapText="1"/>
    </xf>
    <xf numFmtId="0" fontId="33" fillId="0" borderId="15" xfId="77" applyFont="1" applyBorder="1" applyAlignment="1">
      <alignment horizontal="left" vertical="center" wrapText="1" indent="1"/>
    </xf>
    <xf numFmtId="3" fontId="35" fillId="0" borderId="22" xfId="77" applyNumberFormat="1" applyFont="1" applyBorder="1" applyAlignment="1">
      <alignment horizontal="center" vertical="center"/>
    </xf>
    <xf numFmtId="0" fontId="39" fillId="34" borderId="27" xfId="77" applyFont="1" applyFill="1" applyBorder="1" applyAlignment="1">
      <alignment vertical="center" wrapText="1"/>
    </xf>
    <xf numFmtId="0" fontId="32" fillId="0" borderId="15" xfId="77" applyFont="1" applyBorder="1" applyAlignment="1">
      <alignment horizontal="left" vertical="center" wrapText="1"/>
    </xf>
    <xf numFmtId="0" fontId="38" fillId="0" borderId="27" xfId="77" applyFont="1" applyBorder="1" applyAlignment="1">
      <alignment horizontal="left" vertical="center" wrapText="1"/>
    </xf>
    <xf numFmtId="0" fontId="34" fillId="35" borderId="27" xfId="77" applyFont="1" applyFill="1" applyBorder="1" applyAlignment="1">
      <alignment horizontal="left" vertical="center" wrapText="1"/>
    </xf>
    <xf numFmtId="0" fontId="33" fillId="35" borderId="30" xfId="77" applyFont="1" applyFill="1" applyBorder="1" applyAlignment="1">
      <alignment vertical="center" wrapText="1"/>
    </xf>
    <xf numFmtId="0" fontId="32" fillId="0" borderId="15" xfId="77" applyFont="1" applyBorder="1" applyAlignment="1">
      <alignment horizontal="left" vertical="center" wrapText="1" indent="1"/>
    </xf>
    <xf numFmtId="0" fontId="33" fillId="0" borderId="27" xfId="77" applyFont="1" applyBorder="1" applyAlignment="1">
      <alignment horizontal="left" vertical="center" wrapText="1" indent="1"/>
    </xf>
    <xf numFmtId="3" fontId="45" fillId="0" borderId="22" xfId="77" applyNumberFormat="1" applyFont="1" applyBorder="1" applyAlignment="1">
      <alignment horizontal="center" vertical="center"/>
    </xf>
    <xf numFmtId="3" fontId="37" fillId="0" borderId="22" xfId="77" applyNumberFormat="1" applyFont="1" applyFill="1" applyBorder="1" applyAlignment="1">
      <alignment horizontal="center" vertical="center" wrapText="1"/>
    </xf>
    <xf numFmtId="0" fontId="33" fillId="0" borderId="15" xfId="77" applyFont="1" applyBorder="1" applyAlignment="1">
      <alignment horizontal="left" vertical="center" wrapText="1"/>
    </xf>
    <xf numFmtId="3" fontId="35" fillId="0" borderId="22" xfId="77" applyNumberFormat="1" applyFont="1" applyBorder="1" applyAlignment="1">
      <alignment horizontal="center" vertical="center" wrapText="1"/>
    </xf>
    <xf numFmtId="3" fontId="35" fillId="34" borderId="22" xfId="77" applyNumberFormat="1" applyFont="1" applyFill="1" applyBorder="1" applyAlignment="1">
      <alignment horizontal="center" vertical="center" wrapText="1"/>
    </xf>
    <xf numFmtId="0" fontId="39" fillId="36" borderId="24" xfId="77" applyFont="1" applyFill="1" applyBorder="1" applyAlignment="1">
      <alignment vertical="center" wrapText="1"/>
    </xf>
    <xf numFmtId="3" fontId="35" fillId="36" borderId="22" xfId="77" applyNumberFormat="1" applyFont="1" applyFill="1" applyBorder="1" applyAlignment="1">
      <alignment horizontal="center" vertical="center"/>
    </xf>
    <xf numFmtId="3" fontId="35" fillId="35" borderId="22" xfId="77" applyNumberFormat="1" applyFont="1" applyFill="1" applyBorder="1" applyAlignment="1">
      <alignment horizontal="center" vertical="center"/>
    </xf>
    <xf numFmtId="0" fontId="46" fillId="33" borderId="24" xfId="77" applyFont="1" applyFill="1" applyBorder="1" applyAlignment="1">
      <alignment vertical="center" wrapText="1"/>
    </xf>
    <xf numFmtId="3" fontId="45" fillId="33" borderId="22" xfId="77" applyNumberFormat="1" applyFont="1" applyFill="1" applyBorder="1" applyAlignment="1">
      <alignment horizontal="center" vertical="center"/>
    </xf>
    <xf numFmtId="165" fontId="45" fillId="0" borderId="22" xfId="77" applyNumberFormat="1" applyFont="1" applyBorder="1" applyAlignment="1">
      <alignment horizontal="center" vertical="center"/>
    </xf>
    <xf numFmtId="0" fontId="47" fillId="0" borderId="24" xfId="77" applyFont="1" applyBorder="1" applyAlignment="1">
      <alignment horizontal="left" vertical="center" wrapText="1" indent="1"/>
    </xf>
    <xf numFmtId="165" fontId="37" fillId="0" borderId="22" xfId="77" applyNumberFormat="1" applyFont="1" applyBorder="1" applyAlignment="1">
      <alignment horizontal="center" vertical="center"/>
    </xf>
    <xf numFmtId="0" fontId="34" fillId="33" borderId="24" xfId="0" applyFont="1" applyFill="1" applyBorder="1" applyAlignment="1">
      <alignment horizontal="center" vertical="center" wrapText="1"/>
    </xf>
    <xf numFmtId="3" fontId="34" fillId="0" borderId="24" xfId="0" applyNumberFormat="1" applyFont="1" applyFill="1" applyBorder="1" applyAlignment="1">
      <alignment horizontal="center" vertical="center" wrapText="1"/>
    </xf>
    <xf numFmtId="0" fontId="39" fillId="0" borderId="28" xfId="0" applyFont="1" applyBorder="1" applyAlignment="1">
      <alignment horizontal="left" vertical="center" wrapText="1" indent="1"/>
    </xf>
    <xf numFmtId="0" fontId="69" fillId="35" borderId="24" xfId="0" applyFont="1" applyFill="1" applyBorder="1" applyAlignment="1">
      <alignment vertical="center" wrapText="1"/>
    </xf>
    <xf numFmtId="0" fontId="53" fillId="33" borderId="24" xfId="0" applyFont="1" applyFill="1" applyBorder="1" applyAlignment="1">
      <alignment vertical="center" wrapText="1"/>
    </xf>
    <xf numFmtId="1" fontId="53" fillId="33" borderId="22" xfId="0" applyNumberFormat="1" applyFont="1" applyFill="1" applyBorder="1" applyAlignment="1">
      <alignment horizontal="center" vertical="center"/>
    </xf>
    <xf numFmtId="0" fontId="53" fillId="33" borderId="22" xfId="0" applyNumberFormat="1" applyFont="1" applyFill="1" applyBorder="1" applyAlignment="1">
      <alignment horizontal="center" vertical="center"/>
    </xf>
    <xf numFmtId="9" fontId="53" fillId="33" borderId="22" xfId="0" applyNumberFormat="1" applyFont="1" applyFill="1" applyBorder="1" applyAlignment="1">
      <alignment horizontal="left" vertical="top" wrapText="1"/>
    </xf>
    <xf numFmtId="0" fontId="53" fillId="33" borderId="24" xfId="0" applyFont="1" applyFill="1" applyBorder="1" applyAlignment="1">
      <alignment horizontal="left" vertical="center" wrapText="1"/>
    </xf>
    <xf numFmtId="2" fontId="53" fillId="33" borderId="22" xfId="0" applyNumberFormat="1" applyFont="1" applyFill="1" applyBorder="1" applyAlignment="1">
      <alignment horizontal="center" vertical="center"/>
    </xf>
    <xf numFmtId="0" fontId="55" fillId="35" borderId="24" xfId="0" applyFont="1" applyFill="1" applyBorder="1" applyAlignment="1">
      <alignment horizontal="left" vertical="center" wrapText="1"/>
    </xf>
    <xf numFmtId="0" fontId="55" fillId="33" borderId="19" xfId="0" applyFont="1" applyFill="1" applyBorder="1" applyAlignment="1">
      <alignment horizontal="center" vertical="center" wrapText="1"/>
    </xf>
    <xf numFmtId="0" fontId="55" fillId="33" borderId="22" xfId="0" applyFont="1" applyFill="1" applyBorder="1" applyAlignment="1">
      <alignment horizontal="center" vertical="center" wrapText="1"/>
    </xf>
    <xf numFmtId="0" fontId="24" fillId="34" borderId="13" xfId="50" applyFont="1" applyFill="1" applyBorder="1" applyAlignment="1">
      <alignment horizontal="center" vertical="center" wrapText="1"/>
    </xf>
    <xf numFmtId="0" fontId="22" fillId="33" borderId="10" xfId="50" applyFont="1" applyFill="1" applyBorder="1" applyAlignment="1">
      <alignment horizontal="left" vertical="top" wrapText="1"/>
    </xf>
    <xf numFmtId="0" fontId="22" fillId="33" borderId="11" xfId="50" applyFont="1" applyFill="1" applyBorder="1" applyAlignment="1">
      <alignment horizontal="left" vertical="top" wrapText="1"/>
    </xf>
    <xf numFmtId="0" fontId="22" fillId="33" borderId="12" xfId="50" applyFont="1" applyFill="1" applyBorder="1" applyAlignment="1">
      <alignment horizontal="left" vertical="top" wrapText="1"/>
    </xf>
    <xf numFmtId="0" fontId="22" fillId="33" borderId="10" xfId="50" applyFont="1" applyFill="1" applyBorder="1" applyAlignment="1">
      <alignment horizontal="left" vertical="center" wrapText="1"/>
    </xf>
    <xf numFmtId="0" fontId="22" fillId="33" borderId="11" xfId="50" applyFont="1" applyFill="1" applyBorder="1" applyAlignment="1">
      <alignment horizontal="left" vertical="center" wrapText="1"/>
    </xf>
    <xf numFmtId="0" fontId="22" fillId="33" borderId="12" xfId="50" applyFont="1" applyFill="1" applyBorder="1" applyAlignment="1">
      <alignment horizontal="left" vertical="center" wrapText="1"/>
    </xf>
    <xf numFmtId="0" fontId="25" fillId="34" borderId="10" xfId="50" applyFont="1" applyFill="1" applyBorder="1" applyAlignment="1">
      <alignment horizontal="center" vertical="center" wrapText="1"/>
    </xf>
    <xf numFmtId="0" fontId="25" fillId="34" borderId="11" xfId="50" applyFont="1" applyFill="1" applyBorder="1" applyAlignment="1">
      <alignment horizontal="center" vertical="center" wrapText="1"/>
    </xf>
    <xf numFmtId="0" fontId="25" fillId="34" borderId="12" xfId="50" applyFont="1" applyFill="1" applyBorder="1" applyAlignment="1">
      <alignment horizontal="center" vertical="center" wrapText="1"/>
    </xf>
    <xf numFmtId="49" fontId="26" fillId="33" borderId="10" xfId="50" applyNumberFormat="1" applyFont="1" applyFill="1" applyBorder="1" applyAlignment="1">
      <alignment horizontal="center" vertical="center"/>
    </xf>
    <xf numFmtId="49" fontId="26" fillId="33" borderId="11" xfId="50" applyNumberFormat="1" applyFont="1" applyFill="1" applyBorder="1" applyAlignment="1">
      <alignment horizontal="center" vertical="center"/>
    </xf>
    <xf numFmtId="49" fontId="26" fillId="33" borderId="12" xfId="50" applyNumberFormat="1" applyFont="1" applyFill="1" applyBorder="1" applyAlignment="1">
      <alignment horizontal="center" vertical="center"/>
    </xf>
    <xf numFmtId="0" fontId="31" fillId="0" borderId="10"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20" fillId="0" borderId="0" xfId="0" applyFont="1" applyAlignment="1">
      <alignment horizontal="center" vertical="center" wrapText="1"/>
    </xf>
    <xf numFmtId="0" fontId="61" fillId="34" borderId="0" xfId="0" applyFont="1" applyFill="1" applyAlignment="1">
      <alignment horizontal="center"/>
    </xf>
    <xf numFmtId="0" fontId="51" fillId="33" borderId="13" xfId="0" applyFont="1" applyFill="1" applyBorder="1" applyAlignment="1">
      <alignment horizontal="center" vertical="center"/>
    </xf>
    <xf numFmtId="49" fontId="22" fillId="33" borderId="10" xfId="0" applyNumberFormat="1" applyFont="1" applyFill="1" applyBorder="1" applyAlignment="1">
      <alignment horizontal="center" vertical="center"/>
    </xf>
    <xf numFmtId="49" fontId="22" fillId="33" borderId="11" xfId="0" applyNumberFormat="1" applyFont="1" applyFill="1" applyBorder="1" applyAlignment="1">
      <alignment horizontal="center" vertical="center"/>
    </xf>
    <xf numFmtId="49" fontId="22" fillId="33" borderId="12" xfId="0" applyNumberFormat="1" applyFont="1" applyFill="1" applyBorder="1" applyAlignment="1">
      <alignment horizontal="center" vertical="center"/>
    </xf>
    <xf numFmtId="0" fontId="22" fillId="33" borderId="10"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53" fillId="33" borderId="10" xfId="0" applyFont="1" applyFill="1" applyBorder="1" applyAlignment="1">
      <alignment horizontal="center" vertical="center"/>
    </xf>
    <xf numFmtId="0" fontId="53" fillId="33" borderId="11" xfId="0" applyFont="1" applyFill="1" applyBorder="1" applyAlignment="1">
      <alignment horizontal="center" vertical="center"/>
    </xf>
    <xf numFmtId="0" fontId="53" fillId="33" borderId="12" xfId="0" applyFont="1" applyFill="1" applyBorder="1" applyAlignment="1">
      <alignment horizontal="center" vertical="center"/>
    </xf>
    <xf numFmtId="0" fontId="53" fillId="33" borderId="23" xfId="0" applyFont="1" applyFill="1" applyBorder="1" applyAlignment="1">
      <alignment horizontal="center" vertical="center" wrapText="1"/>
    </xf>
    <xf numFmtId="0" fontId="53" fillId="33" borderId="24" xfId="0" applyFont="1" applyFill="1" applyBorder="1" applyAlignment="1">
      <alignment horizontal="center" vertical="center" wrapText="1"/>
    </xf>
    <xf numFmtId="0" fontId="35" fillId="35" borderId="10" xfId="0" applyFont="1" applyFill="1" applyBorder="1" applyAlignment="1">
      <alignment horizontal="center" vertical="center" wrapText="1"/>
    </xf>
    <xf numFmtId="0" fontId="35" fillId="35" borderId="11" xfId="0" applyFont="1" applyFill="1" applyBorder="1" applyAlignment="1">
      <alignment horizontal="center" vertical="center" wrapText="1"/>
    </xf>
    <xf numFmtId="0" fontId="35" fillId="35" borderId="12" xfId="0" applyFont="1" applyFill="1" applyBorder="1" applyAlignment="1">
      <alignment horizontal="center" vertical="center" wrapText="1"/>
    </xf>
    <xf numFmtId="0" fontId="76" fillId="0" borderId="14" xfId="0" applyFont="1" applyBorder="1" applyAlignment="1">
      <alignment horizontal="left" vertical="center" wrapText="1"/>
    </xf>
    <xf numFmtId="0" fontId="76" fillId="0" borderId="17" xfId="0" applyFont="1" applyBorder="1" applyAlignment="1">
      <alignment horizontal="left" vertical="center" wrapText="1"/>
    </xf>
    <xf numFmtId="0" fontId="76" fillId="0" borderId="18" xfId="0" applyFont="1" applyBorder="1" applyAlignment="1">
      <alignment horizontal="left" vertical="center" wrapText="1"/>
    </xf>
    <xf numFmtId="0" fontId="76" fillId="0" borderId="16" xfId="0" applyFont="1" applyBorder="1" applyAlignment="1">
      <alignment horizontal="left" vertical="center" wrapText="1"/>
    </xf>
    <xf numFmtId="0" fontId="76" fillId="0" borderId="0" xfId="0" applyFont="1" applyBorder="1" applyAlignment="1">
      <alignment horizontal="left" vertical="center" wrapText="1"/>
    </xf>
    <xf numFmtId="0" fontId="76" fillId="0" borderId="19" xfId="0" applyFont="1" applyBorder="1" applyAlignment="1">
      <alignment horizontal="left" vertical="center" wrapText="1"/>
    </xf>
    <xf numFmtId="0" fontId="76" fillId="0" borderId="20" xfId="0" applyFont="1" applyBorder="1" applyAlignment="1">
      <alignment horizontal="left" vertical="center" wrapText="1"/>
    </xf>
    <xf numFmtId="0" fontId="76" fillId="0" borderId="21" xfId="0" applyFont="1" applyBorder="1" applyAlignment="1">
      <alignment horizontal="left" vertical="center" wrapText="1"/>
    </xf>
    <xf numFmtId="0" fontId="76" fillId="0" borderId="22" xfId="0" applyFont="1" applyBorder="1" applyAlignment="1">
      <alignment horizontal="left" vertical="center" wrapText="1"/>
    </xf>
    <xf numFmtId="0" fontId="76" fillId="35" borderId="10" xfId="0" applyFont="1" applyFill="1" applyBorder="1" applyAlignment="1">
      <alignment horizontal="left" vertical="center" wrapText="1"/>
    </xf>
    <xf numFmtId="0" fontId="76" fillId="35" borderId="11" xfId="0" applyFont="1" applyFill="1" applyBorder="1" applyAlignment="1">
      <alignment horizontal="left" vertical="center" wrapText="1"/>
    </xf>
    <xf numFmtId="0" fontId="76" fillId="35" borderId="12" xfId="0" applyFont="1" applyFill="1" applyBorder="1" applyAlignment="1">
      <alignment horizontal="left" vertical="center" wrapText="1"/>
    </xf>
    <xf numFmtId="0" fontId="53" fillId="33" borderId="10" xfId="0" applyFont="1" applyFill="1" applyBorder="1" applyAlignment="1">
      <alignment horizontal="center" vertical="center" wrapText="1"/>
    </xf>
    <xf numFmtId="0" fontId="53" fillId="33" borderId="11" xfId="0" applyFont="1" applyFill="1" applyBorder="1" applyAlignment="1">
      <alignment horizontal="center" vertical="center" wrapText="1"/>
    </xf>
    <xf numFmtId="0" fontId="53" fillId="33" borderId="12" xfId="0" applyFont="1" applyFill="1" applyBorder="1" applyAlignment="1">
      <alignment horizontal="center" vertical="center" wrapText="1"/>
    </xf>
    <xf numFmtId="0" fontId="55" fillId="35" borderId="10" xfId="0" applyFont="1" applyFill="1" applyBorder="1" applyAlignment="1">
      <alignment horizontal="center" vertical="center"/>
    </xf>
    <xf numFmtId="0" fontId="55" fillId="35" borderId="11" xfId="0" applyFont="1" applyFill="1" applyBorder="1" applyAlignment="1">
      <alignment horizontal="center" vertical="center"/>
    </xf>
    <xf numFmtId="0" fontId="55" fillId="35" borderId="12" xfId="0" applyFont="1" applyFill="1" applyBorder="1" applyAlignment="1">
      <alignment horizontal="center" vertical="center"/>
    </xf>
    <xf numFmtId="0" fontId="68" fillId="35" borderId="10" xfId="0" applyFont="1" applyFill="1" applyBorder="1" applyAlignment="1">
      <alignment horizontal="center" vertical="center"/>
    </xf>
    <xf numFmtId="0" fontId="68" fillId="35" borderId="11" xfId="0" applyFont="1" applyFill="1" applyBorder="1" applyAlignment="1">
      <alignment horizontal="center" vertical="center"/>
    </xf>
    <xf numFmtId="0" fontId="68" fillId="35" borderId="12" xfId="0" applyFont="1" applyFill="1" applyBorder="1" applyAlignment="1">
      <alignment horizontal="center" vertical="center"/>
    </xf>
    <xf numFmtId="0" fontId="53" fillId="35" borderId="10" xfId="0" applyFont="1" applyFill="1" applyBorder="1" applyAlignment="1">
      <alignment horizontal="center" vertical="center" wrapText="1"/>
    </xf>
    <xf numFmtId="0" fontId="53" fillId="35" borderId="11" xfId="0" applyFont="1" applyFill="1" applyBorder="1" applyAlignment="1">
      <alignment horizontal="center" vertical="center" wrapText="1"/>
    </xf>
    <xf numFmtId="0" fontId="53" fillId="35" borderId="12" xfId="0" applyFont="1" applyFill="1" applyBorder="1" applyAlignment="1">
      <alignment horizontal="center" vertical="center" wrapText="1"/>
    </xf>
    <xf numFmtId="0" fontId="34" fillId="33" borderId="23" xfId="0" applyFont="1" applyFill="1" applyBorder="1" applyAlignment="1">
      <alignment horizontal="center" vertical="center" wrapText="1"/>
    </xf>
    <xf numFmtId="0" fontId="34" fillId="33" borderId="24" xfId="0" applyFont="1" applyFill="1" applyBorder="1" applyAlignment="1">
      <alignment horizontal="center" vertical="center" wrapText="1"/>
    </xf>
    <xf numFmtId="0" fontId="54" fillId="35" borderId="10" xfId="0" applyFont="1" applyFill="1" applyBorder="1" applyAlignment="1">
      <alignment horizontal="center" vertical="center"/>
    </xf>
    <xf numFmtId="0" fontId="54" fillId="35" borderId="11" xfId="0" applyFont="1" applyFill="1" applyBorder="1" applyAlignment="1">
      <alignment horizontal="center" vertical="center"/>
    </xf>
    <xf numFmtId="0" fontId="54" fillId="35" borderId="12" xfId="0" applyFont="1" applyFill="1" applyBorder="1" applyAlignment="1">
      <alignment horizontal="center" vertical="center"/>
    </xf>
    <xf numFmtId="0" fontId="54" fillId="33" borderId="10" xfId="0" applyFont="1" applyFill="1" applyBorder="1" applyAlignment="1">
      <alignment horizontal="left" vertical="center" wrapText="1"/>
    </xf>
    <xf numFmtId="0" fontId="54" fillId="33" borderId="11" xfId="0" applyFont="1" applyFill="1" applyBorder="1" applyAlignment="1">
      <alignment horizontal="left" vertical="center" wrapText="1"/>
    </xf>
    <xf numFmtId="0" fontId="54" fillId="33" borderId="12" xfId="0" applyFont="1" applyFill="1" applyBorder="1" applyAlignment="1">
      <alignment horizontal="left"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xf numFmtId="0" fontId="34" fillId="33" borderId="10" xfId="0" applyFont="1" applyFill="1" applyBorder="1" applyAlignment="1">
      <alignment horizontal="center" vertical="center" wrapText="1"/>
    </xf>
    <xf numFmtId="0" fontId="34" fillId="33" borderId="11" xfId="0" applyFont="1" applyFill="1" applyBorder="1" applyAlignment="1">
      <alignment horizontal="center" vertical="center" wrapText="1"/>
    </xf>
    <xf numFmtId="0" fontId="34" fillId="33" borderId="12" xfId="0" applyFont="1" applyFill="1" applyBorder="1" applyAlignment="1">
      <alignment horizontal="center" vertical="center" wrapText="1"/>
    </xf>
    <xf numFmtId="0" fontId="31" fillId="43" borderId="10" xfId="0" applyFont="1" applyFill="1" applyBorder="1" applyAlignment="1">
      <alignment horizontal="center" vertical="center"/>
    </xf>
    <xf numFmtId="0" fontId="31" fillId="43" borderId="11" xfId="0" applyFont="1" applyFill="1" applyBorder="1" applyAlignment="1">
      <alignment horizontal="center" vertical="center"/>
    </xf>
    <xf numFmtId="0" fontId="31" fillId="43" borderId="12" xfId="0" applyFont="1" applyFill="1" applyBorder="1" applyAlignment="1">
      <alignment horizontal="center" vertical="center"/>
    </xf>
    <xf numFmtId="9" fontId="34" fillId="35" borderId="10" xfId="0" applyNumberFormat="1" applyFont="1" applyFill="1" applyBorder="1" applyAlignment="1">
      <alignment horizontal="center" vertical="center"/>
    </xf>
    <xf numFmtId="9" fontId="34" fillId="35" borderId="11" xfId="0" applyNumberFormat="1" applyFont="1" applyFill="1" applyBorder="1" applyAlignment="1">
      <alignment horizontal="center" vertical="center"/>
    </xf>
    <xf numFmtId="9" fontId="34" fillId="35" borderId="12" xfId="0" applyNumberFormat="1" applyFont="1" applyFill="1" applyBorder="1" applyAlignment="1">
      <alignment horizontal="center" vertical="center"/>
    </xf>
    <xf numFmtId="0" fontId="34" fillId="35" borderId="10" xfId="0" applyFont="1" applyFill="1" applyBorder="1" applyAlignment="1">
      <alignment horizontal="center" vertical="center"/>
    </xf>
    <xf numFmtId="0" fontId="34" fillId="35" borderId="11" xfId="0" applyFont="1" applyFill="1" applyBorder="1" applyAlignment="1">
      <alignment horizontal="center" vertical="center"/>
    </xf>
    <xf numFmtId="0" fontId="34" fillId="35" borderId="12" xfId="0" applyFont="1" applyFill="1" applyBorder="1" applyAlignment="1">
      <alignment horizontal="center" vertical="center"/>
    </xf>
    <xf numFmtId="0" fontId="34" fillId="33" borderId="10" xfId="0" applyFont="1" applyFill="1" applyBorder="1" applyAlignment="1">
      <alignment horizontal="center" vertical="center"/>
    </xf>
    <xf numFmtId="0" fontId="34" fillId="33" borderId="11" xfId="0" applyFont="1" applyFill="1" applyBorder="1" applyAlignment="1">
      <alignment horizontal="center" vertical="center"/>
    </xf>
    <xf numFmtId="0" fontId="34" fillId="33" borderId="12" xfId="0" applyFont="1" applyFill="1" applyBorder="1" applyAlignment="1">
      <alignment horizontal="center" vertical="center"/>
    </xf>
    <xf numFmtId="0" fontId="34" fillId="35" borderId="10" xfId="0" applyFont="1" applyFill="1" applyBorder="1" applyAlignment="1">
      <alignment horizontal="center" vertical="center" wrapText="1"/>
    </xf>
    <xf numFmtId="0" fontId="34" fillId="35" borderId="11" xfId="0" applyFont="1" applyFill="1" applyBorder="1" applyAlignment="1">
      <alignment horizontal="center" vertical="center" wrapText="1"/>
    </xf>
    <xf numFmtId="0" fontId="34" fillId="35" borderId="12" xfId="0" applyFont="1" applyFill="1" applyBorder="1" applyAlignment="1">
      <alignment horizontal="center" vertical="center" wrapText="1"/>
    </xf>
    <xf numFmtId="0" fontId="32" fillId="0" borderId="14" xfId="61" applyFont="1" applyBorder="1" applyAlignment="1">
      <alignment horizontal="left" vertical="center" wrapText="1"/>
    </xf>
    <xf numFmtId="0" fontId="32" fillId="0" borderId="17" xfId="61" applyFont="1" applyBorder="1" applyAlignment="1">
      <alignment horizontal="left" vertical="center" wrapText="1"/>
    </xf>
    <xf numFmtId="0" fontId="32" fillId="0" borderId="18" xfId="61" applyFont="1" applyBorder="1" applyAlignment="1">
      <alignment horizontal="left" vertical="center" wrapText="1"/>
    </xf>
    <xf numFmtId="0" fontId="32" fillId="0" borderId="16" xfId="61" applyFont="1" applyBorder="1" applyAlignment="1">
      <alignment horizontal="left" vertical="center" wrapText="1"/>
    </xf>
    <xf numFmtId="0" fontId="32" fillId="0" borderId="0" xfId="61" applyFont="1" applyBorder="1" applyAlignment="1">
      <alignment horizontal="left" vertical="center" wrapText="1"/>
    </xf>
    <xf numFmtId="0" fontId="32" fillId="0" borderId="19" xfId="61" applyFont="1" applyBorder="1" applyAlignment="1">
      <alignment horizontal="left" vertical="center" wrapText="1"/>
    </xf>
    <xf numFmtId="0" fontId="32" fillId="0" borderId="20" xfId="61" applyFont="1" applyBorder="1" applyAlignment="1">
      <alignment horizontal="left" vertical="center" wrapText="1"/>
    </xf>
    <xf numFmtId="0" fontId="32" fillId="0" borderId="21" xfId="61" applyFont="1" applyBorder="1" applyAlignment="1">
      <alignment horizontal="left" vertical="center" wrapText="1"/>
    </xf>
    <xf numFmtId="0" fontId="32" fillId="0" borderId="22" xfId="61" applyFont="1" applyBorder="1" applyAlignment="1">
      <alignment horizontal="left" vertical="center" wrapText="1"/>
    </xf>
    <xf numFmtId="0" fontId="22" fillId="34" borderId="10" xfId="61" applyFont="1" applyFill="1" applyBorder="1" applyAlignment="1">
      <alignment horizontal="center" vertical="center"/>
    </xf>
    <xf numFmtId="0" fontId="22" fillId="34" borderId="11" xfId="61" applyFont="1" applyFill="1" applyBorder="1" applyAlignment="1">
      <alignment horizontal="center" vertical="center"/>
    </xf>
    <xf numFmtId="0" fontId="22" fillId="34" borderId="12" xfId="61" applyFont="1" applyFill="1" applyBorder="1" applyAlignment="1">
      <alignment horizontal="center" vertical="center"/>
    </xf>
    <xf numFmtId="49" fontId="22" fillId="33" borderId="10" xfId="61" applyNumberFormat="1" applyFont="1" applyFill="1" applyBorder="1" applyAlignment="1">
      <alignment horizontal="center" vertical="center"/>
    </xf>
    <xf numFmtId="49" fontId="22" fillId="33" borderId="11" xfId="61" applyNumberFormat="1" applyFont="1" applyFill="1" applyBorder="1" applyAlignment="1">
      <alignment horizontal="center" vertical="center"/>
    </xf>
    <xf numFmtId="49" fontId="22" fillId="33" borderId="12" xfId="61" applyNumberFormat="1" applyFont="1" applyFill="1" applyBorder="1" applyAlignment="1">
      <alignment horizontal="center" vertical="center"/>
    </xf>
    <xf numFmtId="0" fontId="22" fillId="33" borderId="10" xfId="61" applyFont="1" applyFill="1" applyBorder="1" applyAlignment="1">
      <alignment horizontal="left" vertical="center" wrapText="1"/>
    </xf>
    <xf numFmtId="0" fontId="22" fillId="33" borderId="11" xfId="61" applyFont="1" applyFill="1" applyBorder="1" applyAlignment="1">
      <alignment horizontal="left" vertical="center" wrapText="1"/>
    </xf>
    <xf numFmtId="0" fontId="22" fillId="33" borderId="12" xfId="61" applyFont="1" applyFill="1" applyBorder="1" applyAlignment="1">
      <alignment horizontal="left" vertical="center" wrapText="1"/>
    </xf>
    <xf numFmtId="0" fontId="25" fillId="34" borderId="11" xfId="61" applyFont="1" applyFill="1" applyBorder="1" applyAlignment="1">
      <alignment horizontal="center" vertical="center" wrapText="1"/>
    </xf>
    <xf numFmtId="0" fontId="25" fillId="34" borderId="12" xfId="61" applyFont="1" applyFill="1" applyBorder="1" applyAlignment="1">
      <alignment horizontal="center" vertical="center" wrapText="1"/>
    </xf>
    <xf numFmtId="0" fontId="22" fillId="33" borderId="10" xfId="61" applyFont="1" applyFill="1" applyBorder="1" applyAlignment="1">
      <alignment vertical="center" wrapText="1"/>
    </xf>
    <xf numFmtId="0" fontId="22" fillId="33" borderId="11" xfId="61" applyFont="1" applyFill="1" applyBorder="1" applyAlignment="1">
      <alignment vertical="center" wrapText="1"/>
    </xf>
    <xf numFmtId="0" fontId="22" fillId="33" borderId="12" xfId="61" applyFont="1" applyFill="1" applyBorder="1" applyAlignment="1">
      <alignment vertical="center" wrapText="1"/>
    </xf>
    <xf numFmtId="0" fontId="20" fillId="0" borderId="0" xfId="61" applyFont="1" applyAlignment="1">
      <alignment horizontal="center"/>
    </xf>
    <xf numFmtId="0" fontId="61" fillId="34" borderId="0" xfId="61" applyFont="1" applyFill="1" applyAlignment="1">
      <alignment horizontal="center"/>
    </xf>
    <xf numFmtId="0" fontId="22" fillId="33" borderId="13" xfId="61" applyFont="1" applyFill="1" applyBorder="1" applyAlignment="1">
      <alignment horizontal="center" vertical="center"/>
    </xf>
    <xf numFmtId="0" fontId="22" fillId="33" borderId="10" xfId="61" applyFont="1" applyFill="1" applyBorder="1" applyAlignment="1">
      <alignment horizontal="center" vertical="center" wrapText="1"/>
    </xf>
    <xf numFmtId="0" fontId="22" fillId="33" borderId="11" xfId="61" applyFont="1" applyFill="1" applyBorder="1" applyAlignment="1">
      <alignment horizontal="center" vertical="center" wrapText="1"/>
    </xf>
    <xf numFmtId="0" fontId="22" fillId="33" borderId="12" xfId="61" applyFont="1" applyFill="1" applyBorder="1" applyAlignment="1">
      <alignment horizontal="center" vertical="center" wrapText="1"/>
    </xf>
    <xf numFmtId="0" fontId="31" fillId="0" borderId="10" xfId="61" applyFont="1" applyBorder="1" applyAlignment="1">
      <alignment horizontal="center"/>
    </xf>
    <xf numFmtId="0" fontId="31" fillId="0" borderId="11" xfId="61" applyFont="1" applyBorder="1" applyAlignment="1">
      <alignment horizontal="center"/>
    </xf>
    <xf numFmtId="0" fontId="31" fillId="0" borderId="12" xfId="61" applyFont="1" applyBorder="1" applyAlignment="1">
      <alignment horizontal="center"/>
    </xf>
    <xf numFmtId="0" fontId="34" fillId="33" borderId="23" xfId="61" applyFont="1" applyFill="1" applyBorder="1" applyAlignment="1">
      <alignment horizontal="center" vertical="center" wrapText="1"/>
    </xf>
    <xf numFmtId="0" fontId="34" fillId="33" borderId="24" xfId="61" applyFont="1" applyFill="1" applyBorder="1" applyAlignment="1">
      <alignment horizontal="center" vertical="center" wrapText="1"/>
    </xf>
    <xf numFmtId="0" fontId="22" fillId="35" borderId="10" xfId="61" applyFont="1" applyFill="1" applyBorder="1" applyAlignment="1">
      <alignment horizontal="left" vertical="top" wrapText="1"/>
    </xf>
    <xf numFmtId="0" fontId="22" fillId="35" borderId="11" xfId="61" applyFont="1" applyFill="1" applyBorder="1" applyAlignment="1">
      <alignment horizontal="left" vertical="top" wrapText="1"/>
    </xf>
    <xf numFmtId="0" fontId="22" fillId="35" borderId="12" xfId="61" applyFont="1" applyFill="1" applyBorder="1" applyAlignment="1">
      <alignment horizontal="left" vertical="top" wrapText="1"/>
    </xf>
    <xf numFmtId="0" fontId="22" fillId="33" borderId="23" xfId="61" applyFont="1" applyFill="1" applyBorder="1" applyAlignment="1">
      <alignment horizontal="center" vertical="center" wrapText="1"/>
    </xf>
    <xf numFmtId="0" fontId="22" fillId="33" borderId="24" xfId="61" applyFont="1" applyFill="1" applyBorder="1" applyAlignment="1">
      <alignment horizontal="center" vertical="center" wrapText="1"/>
    </xf>
    <xf numFmtId="0" fontId="32" fillId="35" borderId="10" xfId="61" applyFont="1" applyFill="1" applyBorder="1" applyAlignment="1">
      <alignment horizontal="left" vertical="center" wrapText="1"/>
    </xf>
    <xf numFmtId="0" fontId="32" fillId="35" borderId="11" xfId="61" applyFont="1" applyFill="1" applyBorder="1" applyAlignment="1">
      <alignment horizontal="left" vertical="center" wrapText="1"/>
    </xf>
    <xf numFmtId="0" fontId="32" fillId="35" borderId="12" xfId="61" applyFont="1" applyFill="1" applyBorder="1" applyAlignment="1">
      <alignment horizontal="left" vertical="center" wrapText="1"/>
    </xf>
    <xf numFmtId="0" fontId="34" fillId="33" borderId="10" xfId="61" applyFont="1" applyFill="1" applyBorder="1" applyAlignment="1">
      <alignment horizontal="center" vertical="center" wrapText="1"/>
    </xf>
    <xf numFmtId="0" fontId="34" fillId="33" borderId="11" xfId="61" applyFont="1" applyFill="1" applyBorder="1" applyAlignment="1">
      <alignment horizontal="center" vertical="center" wrapText="1"/>
    </xf>
    <xf numFmtId="0" fontId="34" fillId="33" borderId="12" xfId="61" applyFont="1" applyFill="1" applyBorder="1" applyAlignment="1">
      <alignment horizontal="center" vertical="center" wrapText="1"/>
    </xf>
    <xf numFmtId="0" fontId="35" fillId="35" borderId="10" xfId="61" applyFont="1" applyFill="1" applyBorder="1" applyAlignment="1">
      <alignment horizontal="center" vertical="center"/>
    </xf>
    <xf numFmtId="0" fontId="35" fillId="35" borderId="11" xfId="61" applyFont="1" applyFill="1" applyBorder="1" applyAlignment="1">
      <alignment horizontal="center" vertical="center"/>
    </xf>
    <xf numFmtId="0" fontId="35" fillId="35" borderId="12" xfId="61" applyFont="1" applyFill="1" applyBorder="1" applyAlignment="1">
      <alignment horizontal="center" vertical="center"/>
    </xf>
    <xf numFmtId="0" fontId="31" fillId="35" borderId="10" xfId="61" applyFont="1" applyFill="1" applyBorder="1" applyAlignment="1">
      <alignment horizontal="center" vertical="center"/>
    </xf>
    <xf numFmtId="0" fontId="31" fillId="35" borderId="11" xfId="61" applyFont="1" applyFill="1" applyBorder="1" applyAlignment="1">
      <alignment horizontal="center" vertical="center"/>
    </xf>
    <xf numFmtId="0" fontId="31" fillId="35" borderId="12" xfId="61" applyFont="1" applyFill="1" applyBorder="1" applyAlignment="1">
      <alignment horizontal="center" vertical="center"/>
    </xf>
    <xf numFmtId="0" fontId="34" fillId="35" borderId="10" xfId="61" applyFont="1" applyFill="1" applyBorder="1" applyAlignment="1">
      <alignment horizontal="center" vertical="center"/>
    </xf>
    <xf numFmtId="0" fontId="34" fillId="35" borderId="11" xfId="61" applyFont="1" applyFill="1" applyBorder="1" applyAlignment="1">
      <alignment horizontal="center" vertical="center"/>
    </xf>
    <xf numFmtId="0" fontId="34" fillId="35" borderId="12" xfId="61" applyFont="1" applyFill="1" applyBorder="1" applyAlignment="1">
      <alignment horizontal="center" vertical="center"/>
    </xf>
    <xf numFmtId="0" fontId="34" fillId="33" borderId="10" xfId="61" applyFont="1" applyFill="1" applyBorder="1" applyAlignment="1">
      <alignment horizontal="center" vertical="center"/>
    </xf>
    <xf numFmtId="0" fontId="34" fillId="33" borderId="11" xfId="61" applyFont="1" applyFill="1" applyBorder="1" applyAlignment="1">
      <alignment horizontal="center" vertical="center"/>
    </xf>
    <xf numFmtId="0" fontId="34" fillId="33" borderId="12" xfId="61" applyFont="1" applyFill="1" applyBorder="1" applyAlignment="1">
      <alignment horizontal="center" vertical="center"/>
    </xf>
    <xf numFmtId="0" fontId="35" fillId="35" borderId="10" xfId="61" applyFont="1" applyFill="1" applyBorder="1" applyAlignment="1">
      <alignment horizontal="center" vertical="center" wrapText="1"/>
    </xf>
    <xf numFmtId="0" fontId="35" fillId="35" borderId="11" xfId="61" applyFont="1" applyFill="1" applyBorder="1" applyAlignment="1">
      <alignment horizontal="center" vertical="center" wrapText="1"/>
    </xf>
    <xf numFmtId="0" fontId="35" fillId="35" borderId="12" xfId="61" applyFont="1" applyFill="1" applyBorder="1" applyAlignment="1">
      <alignment horizontal="center" vertical="center" wrapText="1"/>
    </xf>
    <xf numFmtId="0" fontId="40" fillId="35" borderId="10" xfId="61" applyFont="1" applyFill="1" applyBorder="1" applyAlignment="1">
      <alignment horizontal="center" vertical="center" wrapText="1"/>
    </xf>
    <xf numFmtId="0" fontId="40" fillId="35" borderId="11" xfId="61" applyFont="1" applyFill="1" applyBorder="1" applyAlignment="1">
      <alignment horizontal="center" vertical="center" wrapText="1"/>
    </xf>
    <xf numFmtId="0" fontId="40" fillId="35" borderId="12" xfId="61" applyFont="1" applyFill="1" applyBorder="1" applyAlignment="1">
      <alignment horizontal="center" vertical="center" wrapText="1"/>
    </xf>
    <xf numFmtId="9" fontId="34" fillId="35" borderId="10" xfId="61" applyNumberFormat="1" applyFont="1" applyFill="1" applyBorder="1" applyAlignment="1">
      <alignment horizontal="center" vertical="center"/>
    </xf>
    <xf numFmtId="9" fontId="34" fillId="35" borderId="11" xfId="61" applyNumberFormat="1" applyFont="1" applyFill="1" applyBorder="1" applyAlignment="1">
      <alignment horizontal="center" vertical="center"/>
    </xf>
    <xf numFmtId="9" fontId="34" fillId="35" borderId="12" xfId="61" applyNumberFormat="1" applyFont="1" applyFill="1" applyBorder="1" applyAlignment="1">
      <alignment horizontal="center" vertical="center"/>
    </xf>
    <xf numFmtId="0" fontId="34" fillId="33" borderId="23" xfId="61" applyFont="1" applyFill="1" applyBorder="1" applyAlignment="1">
      <alignment vertical="center" wrapText="1"/>
    </xf>
    <xf numFmtId="0" fontId="34" fillId="33" borderId="15" xfId="61" applyFont="1" applyFill="1" applyBorder="1" applyAlignment="1">
      <alignment vertical="center" wrapText="1"/>
    </xf>
    <xf numFmtId="0" fontId="34" fillId="33" borderId="24" xfId="61" applyFont="1" applyFill="1" applyBorder="1" applyAlignment="1">
      <alignment vertical="center" wrapText="1"/>
    </xf>
    <xf numFmtId="0" fontId="34" fillId="33" borderId="14" xfId="61" applyFont="1" applyFill="1" applyBorder="1" applyAlignment="1">
      <alignment horizontal="center" vertical="center"/>
    </xf>
    <xf numFmtId="0" fontId="34" fillId="33" borderId="17" xfId="61" applyFont="1" applyFill="1" applyBorder="1" applyAlignment="1">
      <alignment horizontal="center" vertical="center"/>
    </xf>
    <xf numFmtId="0" fontId="34" fillId="33" borderId="18" xfId="61" applyFont="1" applyFill="1" applyBorder="1" applyAlignment="1">
      <alignment horizontal="center" vertical="center"/>
    </xf>
    <xf numFmtId="0" fontId="34" fillId="33" borderId="16" xfId="61" applyFont="1" applyFill="1" applyBorder="1" applyAlignment="1">
      <alignment horizontal="center" vertical="center"/>
    </xf>
    <xf numFmtId="0" fontId="34" fillId="33" borderId="0" xfId="61" applyFont="1" applyFill="1" applyBorder="1" applyAlignment="1">
      <alignment horizontal="center" vertical="center"/>
    </xf>
    <xf numFmtId="0" fontId="34" fillId="33" borderId="19" xfId="61" applyFont="1" applyFill="1" applyBorder="1" applyAlignment="1">
      <alignment horizontal="center" vertical="center"/>
    </xf>
    <xf numFmtId="0" fontId="34" fillId="33" borderId="20" xfId="61" applyFont="1" applyFill="1" applyBorder="1" applyAlignment="1">
      <alignment horizontal="center" vertical="center"/>
    </xf>
    <xf numFmtId="0" fontId="34" fillId="33" borderId="21" xfId="61" applyFont="1" applyFill="1" applyBorder="1" applyAlignment="1">
      <alignment horizontal="center" vertical="center"/>
    </xf>
    <xf numFmtId="0" fontId="34" fillId="33" borderId="22" xfId="61" applyFont="1" applyFill="1" applyBorder="1" applyAlignment="1">
      <alignment horizontal="center" vertical="center"/>
    </xf>
    <xf numFmtId="0" fontId="34" fillId="35" borderId="10" xfId="61" applyFont="1" applyFill="1" applyBorder="1" applyAlignment="1">
      <alignment horizontal="center" vertical="center" wrapText="1"/>
    </xf>
    <xf numFmtId="0" fontId="34" fillId="35" borderId="11" xfId="61" applyFont="1" applyFill="1" applyBorder="1" applyAlignment="1">
      <alignment horizontal="center" vertical="center" wrapText="1"/>
    </xf>
    <xf numFmtId="0" fontId="34" fillId="35" borderId="12" xfId="61" applyFont="1" applyFill="1" applyBorder="1" applyAlignment="1">
      <alignment horizontal="center" vertical="center" wrapText="1"/>
    </xf>
    <xf numFmtId="0" fontId="20" fillId="0" borderId="0" xfId="77" applyFont="1" applyAlignment="1">
      <alignment horizontal="center"/>
    </xf>
    <xf numFmtId="0" fontId="22" fillId="33" borderId="10" xfId="77" applyFont="1" applyFill="1" applyBorder="1" applyAlignment="1">
      <alignment horizontal="center" vertical="center"/>
    </xf>
    <xf numFmtId="0" fontId="22" fillId="33" borderId="11" xfId="77" applyFont="1" applyFill="1" applyBorder="1" applyAlignment="1">
      <alignment horizontal="center" vertical="center"/>
    </xf>
    <xf numFmtId="0" fontId="22" fillId="33" borderId="12" xfId="77" applyFont="1" applyFill="1" applyBorder="1" applyAlignment="1">
      <alignment horizontal="center" vertical="center"/>
    </xf>
    <xf numFmtId="49" fontId="22" fillId="33" borderId="10" xfId="77" applyNumberFormat="1" applyFont="1" applyFill="1" applyBorder="1" applyAlignment="1">
      <alignment horizontal="center" vertical="center"/>
    </xf>
    <xf numFmtId="49" fontId="22" fillId="33" borderId="11" xfId="77" applyNumberFormat="1" applyFont="1" applyFill="1" applyBorder="1" applyAlignment="1">
      <alignment horizontal="center" vertical="center"/>
    </xf>
    <xf numFmtId="49" fontId="22" fillId="33" borderId="12" xfId="77" applyNumberFormat="1" applyFont="1" applyFill="1" applyBorder="1" applyAlignment="1">
      <alignment horizontal="center" vertical="center"/>
    </xf>
    <xf numFmtId="0" fontId="22" fillId="33" borderId="10" xfId="77" applyFont="1" applyFill="1" applyBorder="1" applyAlignment="1">
      <alignment horizontal="center" vertical="center" wrapText="1"/>
    </xf>
    <xf numFmtId="0" fontId="22" fillId="33" borderId="11" xfId="77" applyFont="1" applyFill="1" applyBorder="1" applyAlignment="1">
      <alignment horizontal="center" vertical="center" wrapText="1"/>
    </xf>
    <xf numFmtId="0" fontId="22" fillId="33" borderId="12" xfId="77" applyFont="1" applyFill="1" applyBorder="1" applyAlignment="1">
      <alignment horizontal="center" vertical="center" wrapText="1"/>
    </xf>
    <xf numFmtId="0" fontId="31" fillId="0" borderId="10" xfId="77" applyFont="1" applyBorder="1" applyAlignment="1">
      <alignment horizontal="center"/>
    </xf>
    <xf numFmtId="0" fontId="31" fillId="0" borderId="11" xfId="77" applyFont="1" applyBorder="1" applyAlignment="1">
      <alignment horizontal="center"/>
    </xf>
    <xf numFmtId="0" fontId="31" fillId="0" borderId="12" xfId="77" applyFont="1" applyBorder="1" applyAlignment="1">
      <alignment horizontal="center"/>
    </xf>
    <xf numFmtId="0" fontId="32" fillId="0" borderId="14" xfId="77" applyFont="1" applyBorder="1" applyAlignment="1">
      <alignment horizontal="center" vertical="center" wrapText="1"/>
    </xf>
    <xf numFmtId="0" fontId="32" fillId="0" borderId="17" xfId="77" applyFont="1" applyBorder="1" applyAlignment="1">
      <alignment horizontal="center" vertical="center" wrapText="1"/>
    </xf>
    <xf numFmtId="0" fontId="32" fillId="0" borderId="18" xfId="77" applyFont="1" applyBorder="1" applyAlignment="1">
      <alignment horizontal="center" vertical="center" wrapText="1"/>
    </xf>
    <xf numFmtId="0" fontId="32" fillId="0" borderId="16" xfId="77" applyFont="1" applyBorder="1" applyAlignment="1">
      <alignment horizontal="center" vertical="center" wrapText="1"/>
    </xf>
    <xf numFmtId="0" fontId="32" fillId="0" borderId="0" xfId="77" applyFont="1" applyBorder="1" applyAlignment="1">
      <alignment horizontal="center" vertical="center" wrapText="1"/>
    </xf>
    <xf numFmtId="0" fontId="32" fillId="0" borderId="19" xfId="77" applyFont="1" applyBorder="1" applyAlignment="1">
      <alignment horizontal="center" vertical="center" wrapText="1"/>
    </xf>
    <xf numFmtId="0" fontId="32" fillId="0" borderId="20" xfId="77" applyFont="1" applyBorder="1" applyAlignment="1">
      <alignment horizontal="center" vertical="center" wrapText="1"/>
    </xf>
    <xf numFmtId="0" fontId="32" fillId="0" borderId="21" xfId="77" applyFont="1" applyBorder="1" applyAlignment="1">
      <alignment horizontal="center" vertical="center" wrapText="1"/>
    </xf>
    <xf numFmtId="0" fontId="32" fillId="0" borderId="22" xfId="77" applyFont="1" applyBorder="1" applyAlignment="1">
      <alignment horizontal="center" vertical="center" wrapText="1"/>
    </xf>
    <xf numFmtId="0" fontId="22" fillId="34" borderId="10" xfId="77" applyFont="1" applyFill="1" applyBorder="1" applyAlignment="1">
      <alignment horizontal="center" vertical="center"/>
    </xf>
    <xf numFmtId="0" fontId="22" fillId="34" borderId="11" xfId="77" applyFont="1" applyFill="1" applyBorder="1" applyAlignment="1">
      <alignment horizontal="center" vertical="center"/>
    </xf>
    <xf numFmtId="0" fontId="22" fillId="34" borderId="12" xfId="77" applyFont="1" applyFill="1" applyBorder="1" applyAlignment="1">
      <alignment horizontal="center" vertical="center"/>
    </xf>
    <xf numFmtId="0" fontId="22" fillId="33" borderId="14" xfId="77" applyFont="1" applyFill="1" applyBorder="1" applyAlignment="1">
      <alignment horizontal="center" vertical="center" wrapText="1"/>
    </xf>
    <xf numFmtId="0" fontId="25" fillId="34" borderId="11" xfId="77" applyFont="1" applyFill="1" applyBorder="1" applyAlignment="1">
      <alignment horizontal="center" vertical="center" wrapText="1"/>
    </xf>
    <xf numFmtId="0" fontId="25" fillId="34" borderId="12" xfId="77" applyFont="1" applyFill="1" applyBorder="1" applyAlignment="1">
      <alignment horizontal="center" vertical="center" wrapText="1"/>
    </xf>
    <xf numFmtId="0" fontId="34" fillId="35" borderId="10" xfId="77" applyFont="1" applyFill="1" applyBorder="1" applyAlignment="1">
      <alignment horizontal="center" vertical="center" wrapText="1"/>
    </xf>
    <xf numFmtId="0" fontId="34" fillId="35" borderId="11" xfId="77" applyFont="1" applyFill="1" applyBorder="1" applyAlignment="1">
      <alignment horizontal="center" vertical="center" wrapText="1"/>
    </xf>
    <xf numFmtId="0" fontId="34" fillId="35" borderId="12" xfId="77" applyFont="1" applyFill="1" applyBorder="1" applyAlignment="1">
      <alignment horizontal="center" vertical="center" wrapText="1"/>
    </xf>
    <xf numFmtId="0" fontId="34" fillId="33" borderId="10" xfId="77" applyFont="1" applyFill="1" applyBorder="1" applyAlignment="1">
      <alignment horizontal="center" vertical="center" wrapText="1"/>
    </xf>
    <xf numFmtId="0" fontId="34" fillId="33" borderId="11" xfId="77" applyFont="1" applyFill="1" applyBorder="1" applyAlignment="1">
      <alignment horizontal="center" vertical="center" wrapText="1"/>
    </xf>
    <xf numFmtId="0" fontId="34" fillId="33" borderId="12" xfId="77" applyFont="1" applyFill="1" applyBorder="1" applyAlignment="1">
      <alignment horizontal="center" vertical="center" wrapText="1"/>
    </xf>
    <xf numFmtId="0" fontId="34" fillId="33" borderId="23" xfId="77" applyFont="1" applyFill="1" applyBorder="1" applyAlignment="1">
      <alignment horizontal="center" vertical="center" wrapText="1"/>
    </xf>
    <xf numFmtId="0" fontId="34" fillId="33" borderId="24" xfId="77" applyFont="1" applyFill="1" applyBorder="1" applyAlignment="1">
      <alignment horizontal="center" vertical="center" wrapText="1"/>
    </xf>
    <xf numFmtId="0" fontId="35" fillId="35" borderId="10" xfId="77" applyFont="1" applyFill="1" applyBorder="1" applyAlignment="1">
      <alignment horizontal="center" vertical="center" wrapText="1"/>
    </xf>
    <xf numFmtId="0" fontId="35" fillId="35" borderId="11" xfId="77" applyFont="1" applyFill="1" applyBorder="1" applyAlignment="1">
      <alignment horizontal="center" vertical="center" wrapText="1"/>
    </xf>
    <xf numFmtId="0" fontId="35" fillId="35" borderId="12" xfId="77" applyFont="1" applyFill="1" applyBorder="1" applyAlignment="1">
      <alignment horizontal="center" vertical="center" wrapText="1"/>
    </xf>
    <xf numFmtId="0" fontId="34" fillId="35" borderId="10" xfId="77" applyFont="1" applyFill="1" applyBorder="1" applyAlignment="1">
      <alignment horizontal="left" vertical="center" wrapText="1"/>
    </xf>
    <xf numFmtId="0" fontId="34" fillId="35" borderId="11" xfId="77" applyFont="1" applyFill="1" applyBorder="1" applyAlignment="1">
      <alignment horizontal="left" vertical="center" wrapText="1"/>
    </xf>
    <xf numFmtId="0" fontId="34" fillId="35" borderId="12" xfId="77" applyFont="1" applyFill="1" applyBorder="1" applyAlignment="1">
      <alignment horizontal="left" vertical="center" wrapText="1"/>
    </xf>
    <xf numFmtId="0" fontId="32" fillId="35" borderId="10" xfId="77" applyFont="1" applyFill="1" applyBorder="1" applyAlignment="1">
      <alignment horizontal="center" vertical="center" wrapText="1"/>
    </xf>
    <xf numFmtId="0" fontId="32" fillId="35" borderId="11" xfId="77" applyFont="1" applyFill="1" applyBorder="1" applyAlignment="1">
      <alignment horizontal="center" vertical="center" wrapText="1"/>
    </xf>
    <xf numFmtId="0" fontId="32" fillId="35" borderId="12" xfId="77" applyFont="1" applyFill="1" applyBorder="1" applyAlignment="1">
      <alignment horizontal="center" vertical="center" wrapText="1"/>
    </xf>
    <xf numFmtId="0" fontId="35" fillId="35" borderId="10" xfId="77" applyFont="1" applyFill="1" applyBorder="1" applyAlignment="1">
      <alignment horizontal="center" vertical="center"/>
    </xf>
    <xf numFmtId="0" fontId="35" fillId="35" borderId="11" xfId="77" applyFont="1" applyFill="1" applyBorder="1" applyAlignment="1">
      <alignment horizontal="center" vertical="center"/>
    </xf>
    <xf numFmtId="0" fontId="35" fillId="35" borderId="12" xfId="77" applyFont="1" applyFill="1" applyBorder="1" applyAlignment="1">
      <alignment horizontal="center" vertical="center"/>
    </xf>
    <xf numFmtId="0" fontId="31" fillId="35" borderId="10" xfId="77" applyFont="1" applyFill="1" applyBorder="1" applyAlignment="1">
      <alignment horizontal="center" vertical="center"/>
    </xf>
    <xf numFmtId="0" fontId="31" fillId="35" borderId="11" xfId="77" applyFont="1" applyFill="1" applyBorder="1" applyAlignment="1">
      <alignment horizontal="center" vertical="center"/>
    </xf>
    <xf numFmtId="0" fontId="31" fillId="35" borderId="12" xfId="77" applyFont="1" applyFill="1" applyBorder="1" applyAlignment="1">
      <alignment horizontal="center" vertical="center"/>
    </xf>
    <xf numFmtId="0" fontId="34" fillId="33" borderId="23" xfId="77" applyFont="1" applyFill="1" applyBorder="1" applyAlignment="1">
      <alignment vertical="center" wrapText="1"/>
    </xf>
    <xf numFmtId="0" fontId="34" fillId="33" borderId="15" xfId="77" applyFont="1" applyFill="1" applyBorder="1" applyAlignment="1">
      <alignment vertical="center" wrapText="1"/>
    </xf>
    <xf numFmtId="0" fontId="34" fillId="33" borderId="24" xfId="77" applyFont="1" applyFill="1" applyBorder="1" applyAlignment="1">
      <alignment vertical="center" wrapText="1"/>
    </xf>
    <xf numFmtId="0" fontId="34" fillId="33" borderId="14" xfId="77" applyFont="1" applyFill="1" applyBorder="1" applyAlignment="1">
      <alignment horizontal="center" vertical="center"/>
    </xf>
    <xf numFmtId="0" fontId="34" fillId="33" borderId="17" xfId="77" applyFont="1" applyFill="1" applyBorder="1" applyAlignment="1">
      <alignment horizontal="center" vertical="center"/>
    </xf>
    <xf numFmtId="0" fontId="34" fillId="33" borderId="18" xfId="77" applyFont="1" applyFill="1" applyBorder="1" applyAlignment="1">
      <alignment horizontal="center" vertical="center"/>
    </xf>
    <xf numFmtId="0" fontId="34" fillId="33" borderId="16" xfId="77" applyFont="1" applyFill="1" applyBorder="1" applyAlignment="1">
      <alignment horizontal="center" vertical="center"/>
    </xf>
    <xf numFmtId="0" fontId="34" fillId="33" borderId="0" xfId="77" applyFont="1" applyFill="1" applyBorder="1" applyAlignment="1">
      <alignment horizontal="center" vertical="center"/>
    </xf>
    <xf numFmtId="0" fontId="34" fillId="33" borderId="19" xfId="77" applyFont="1" applyFill="1" applyBorder="1" applyAlignment="1">
      <alignment horizontal="center" vertical="center"/>
    </xf>
    <xf numFmtId="0" fontId="34" fillId="33" borderId="20" xfId="77" applyFont="1" applyFill="1" applyBorder="1" applyAlignment="1">
      <alignment horizontal="center" vertical="center"/>
    </xf>
    <xf numFmtId="0" fontId="34" fillId="33" borderId="21" xfId="77" applyFont="1" applyFill="1" applyBorder="1" applyAlignment="1">
      <alignment horizontal="center" vertical="center"/>
    </xf>
    <xf numFmtId="0" fontId="34" fillId="33" borderId="22" xfId="77" applyFont="1" applyFill="1" applyBorder="1" applyAlignment="1">
      <alignment horizontal="center" vertical="center"/>
    </xf>
    <xf numFmtId="9" fontId="34" fillId="35" borderId="10" xfId="77" applyNumberFormat="1" applyFont="1" applyFill="1" applyBorder="1" applyAlignment="1">
      <alignment horizontal="center" vertical="center" wrapText="1"/>
    </xf>
    <xf numFmtId="9" fontId="34" fillId="35" borderId="11" xfId="77" applyNumberFormat="1" applyFont="1" applyFill="1" applyBorder="1" applyAlignment="1">
      <alignment horizontal="center" vertical="center" wrapText="1"/>
    </xf>
    <xf numFmtId="9" fontId="34" fillId="35" borderId="12" xfId="77" applyNumberFormat="1" applyFont="1" applyFill="1" applyBorder="1" applyAlignment="1">
      <alignment horizontal="center" vertical="center" wrapText="1"/>
    </xf>
    <xf numFmtId="0" fontId="34" fillId="33" borderId="10" xfId="77" applyFont="1" applyFill="1" applyBorder="1" applyAlignment="1">
      <alignment horizontal="center" vertical="center"/>
    </xf>
    <xf numFmtId="0" fontId="34" fillId="33" borderId="11" xfId="77" applyFont="1" applyFill="1" applyBorder="1" applyAlignment="1">
      <alignment horizontal="center" vertical="center"/>
    </xf>
    <xf numFmtId="0" fontId="34" fillId="33" borderId="12" xfId="77" applyFont="1" applyFill="1" applyBorder="1" applyAlignment="1">
      <alignment horizontal="center" vertical="center"/>
    </xf>
    <xf numFmtId="0" fontId="32" fillId="35" borderId="10" xfId="77" applyFont="1" applyFill="1" applyBorder="1" applyAlignment="1">
      <alignment horizontal="left" vertical="center" wrapText="1"/>
    </xf>
    <xf numFmtId="0" fontId="32" fillId="35" borderId="11" xfId="77" applyFont="1" applyFill="1" applyBorder="1" applyAlignment="1">
      <alignment horizontal="left" vertical="center" wrapText="1"/>
    </xf>
    <xf numFmtId="0" fontId="32" fillId="35" borderId="12" xfId="77" applyFont="1" applyFill="1" applyBorder="1" applyAlignment="1">
      <alignment horizontal="left" vertical="center" wrapText="1"/>
    </xf>
    <xf numFmtId="0" fontId="31" fillId="35" borderId="10" xfId="77" applyFont="1" applyFill="1" applyBorder="1" applyAlignment="1">
      <alignment horizontal="center" vertical="center" wrapText="1"/>
    </xf>
    <xf numFmtId="0" fontId="31" fillId="35" borderId="11" xfId="77" applyFont="1" applyFill="1" applyBorder="1" applyAlignment="1">
      <alignment horizontal="center" vertical="center" wrapText="1"/>
    </xf>
    <xf numFmtId="0" fontId="31" fillId="35" borderId="12" xfId="77" applyFont="1" applyFill="1" applyBorder="1" applyAlignment="1">
      <alignment horizontal="center" vertical="center" wrapText="1"/>
    </xf>
    <xf numFmtId="0" fontId="35" fillId="33" borderId="10" xfId="77" applyFont="1" applyFill="1" applyBorder="1" applyAlignment="1">
      <alignment horizontal="center" vertical="center" wrapText="1"/>
    </xf>
    <xf numFmtId="0" fontId="35" fillId="33" borderId="11" xfId="77" applyFont="1" applyFill="1" applyBorder="1" applyAlignment="1">
      <alignment horizontal="center" vertical="center" wrapText="1"/>
    </xf>
    <xf numFmtId="0" fontId="35" fillId="33" borderId="12" xfId="77" applyFont="1" applyFill="1" applyBorder="1" applyAlignment="1">
      <alignment horizontal="center" vertical="center" wrapText="1"/>
    </xf>
    <xf numFmtId="0" fontId="40" fillId="35" borderId="10" xfId="77" applyFont="1" applyFill="1" applyBorder="1" applyAlignment="1">
      <alignment horizontal="center" vertical="center" wrapText="1"/>
    </xf>
    <xf numFmtId="0" fontId="40" fillId="35" borderId="11" xfId="77" applyFont="1" applyFill="1" applyBorder="1" applyAlignment="1">
      <alignment horizontal="center" vertical="center" wrapText="1"/>
    </xf>
    <xf numFmtId="0" fontId="40" fillId="35" borderId="12" xfId="77" applyFont="1" applyFill="1" applyBorder="1" applyAlignment="1">
      <alignment horizontal="center" vertical="center" wrapText="1"/>
    </xf>
    <xf numFmtId="0" fontId="32" fillId="35" borderId="38" xfId="77" applyFont="1" applyFill="1" applyBorder="1" applyAlignment="1">
      <alignment horizontal="left" vertical="center" wrapText="1"/>
    </xf>
    <xf numFmtId="0" fontId="34" fillId="33" borderId="20" xfId="77" applyFont="1" applyFill="1" applyBorder="1" applyAlignment="1">
      <alignment horizontal="center" vertical="center" wrapText="1"/>
    </xf>
    <xf numFmtId="0" fontId="34" fillId="33" borderId="21" xfId="77" applyFont="1" applyFill="1" applyBorder="1" applyAlignment="1">
      <alignment horizontal="center" vertical="center" wrapText="1"/>
    </xf>
    <xf numFmtId="0" fontId="34" fillId="33" borderId="22" xfId="77" applyFont="1" applyFill="1" applyBorder="1" applyAlignment="1">
      <alignment horizontal="center" vertical="center" wrapText="1"/>
    </xf>
    <xf numFmtId="0" fontId="34" fillId="33" borderId="17" xfId="77" applyFont="1" applyFill="1" applyBorder="1" applyAlignment="1">
      <alignment horizontal="center" vertical="center" wrapText="1"/>
    </xf>
    <xf numFmtId="0" fontId="34" fillId="33" borderId="18" xfId="77" applyFont="1" applyFill="1" applyBorder="1" applyAlignment="1">
      <alignment horizontal="center" vertical="center" wrapText="1"/>
    </xf>
    <xf numFmtId="0" fontId="34" fillId="33" borderId="0" xfId="77" applyFont="1" applyFill="1" applyBorder="1" applyAlignment="1">
      <alignment horizontal="center" vertical="center" wrapText="1"/>
    </xf>
    <xf numFmtId="0" fontId="34" fillId="33" borderId="19" xfId="77" applyFont="1" applyFill="1" applyBorder="1" applyAlignment="1">
      <alignment horizontal="center" vertical="center" wrapText="1"/>
    </xf>
    <xf numFmtId="0" fontId="55" fillId="33" borderId="23" xfId="63" applyFont="1" applyFill="1" applyBorder="1" applyAlignment="1">
      <alignment horizontal="center" vertical="center" wrapText="1"/>
    </xf>
    <xf numFmtId="0" fontId="55" fillId="33" borderId="24" xfId="63" applyFont="1" applyFill="1" applyBorder="1" applyAlignment="1">
      <alignment horizontal="center" vertical="center" wrapText="1"/>
    </xf>
    <xf numFmtId="0" fontId="55" fillId="33" borderId="10" xfId="63" applyFont="1" applyFill="1" applyBorder="1" applyAlignment="1">
      <alignment horizontal="center" vertical="center" wrapText="1"/>
    </xf>
    <xf numFmtId="0" fontId="55" fillId="33" borderId="11" xfId="63" applyFont="1" applyFill="1" applyBorder="1" applyAlignment="1">
      <alignment horizontal="center" vertical="center" wrapText="1"/>
    </xf>
    <xf numFmtId="0" fontId="55" fillId="33" borderId="12" xfId="63" applyFont="1" applyFill="1" applyBorder="1" applyAlignment="1">
      <alignment horizontal="center" vertical="center" wrapText="1"/>
    </xf>
    <xf numFmtId="0" fontId="68" fillId="33" borderId="10" xfId="63" applyFont="1" applyFill="1" applyBorder="1" applyAlignment="1">
      <alignment horizontal="center" vertical="center"/>
    </xf>
    <xf numFmtId="0" fontId="68" fillId="33" borderId="11" xfId="63" applyFont="1" applyFill="1" applyBorder="1" applyAlignment="1">
      <alignment horizontal="center" vertical="center"/>
    </xf>
    <xf numFmtId="0" fontId="68" fillId="33" borderId="12" xfId="63" applyFont="1" applyFill="1" applyBorder="1" applyAlignment="1">
      <alignment horizontal="center" vertical="center"/>
    </xf>
    <xf numFmtId="0" fontId="55" fillId="33" borderId="10" xfId="63" applyFont="1" applyFill="1" applyBorder="1" applyAlignment="1">
      <alignment horizontal="center" vertical="center"/>
    </xf>
    <xf numFmtId="0" fontId="55" fillId="33" borderId="11" xfId="63" applyFont="1" applyFill="1" applyBorder="1" applyAlignment="1">
      <alignment horizontal="center" vertical="center"/>
    </xf>
    <xf numFmtId="0" fontId="55" fillId="33" borderId="12" xfId="63" applyFont="1" applyFill="1" applyBorder="1" applyAlignment="1">
      <alignment horizontal="center" vertical="center"/>
    </xf>
    <xf numFmtId="0" fontId="69" fillId="33" borderId="10" xfId="63" applyFont="1" applyFill="1" applyBorder="1" applyAlignment="1">
      <alignment horizontal="center" vertical="center" wrapText="1"/>
    </xf>
    <xf numFmtId="0" fontId="69" fillId="33" borderId="11" xfId="63" applyFont="1" applyFill="1" applyBorder="1" applyAlignment="1">
      <alignment horizontal="center" vertical="center" wrapText="1"/>
    </xf>
    <xf numFmtId="0" fontId="69" fillId="33" borderId="12" xfId="63" applyFont="1" applyFill="1" applyBorder="1" applyAlignment="1">
      <alignment horizontal="center" vertical="center" wrapText="1"/>
    </xf>
    <xf numFmtId="0" fontId="40" fillId="33" borderId="10" xfId="63" applyFont="1" applyFill="1" applyBorder="1" applyAlignment="1">
      <alignment horizontal="center" vertical="center" wrapText="1"/>
    </xf>
    <xf numFmtId="0" fontId="40" fillId="33" borderId="11" xfId="63" applyFont="1" applyFill="1" applyBorder="1" applyAlignment="1">
      <alignment horizontal="center" vertical="center" wrapText="1"/>
    </xf>
    <xf numFmtId="0" fontId="40" fillId="33" borderId="12" xfId="63" applyFont="1" applyFill="1" applyBorder="1" applyAlignment="1">
      <alignment horizontal="center" vertical="center" wrapText="1"/>
    </xf>
    <xf numFmtId="9" fontId="55" fillId="33" borderId="10" xfId="63" applyNumberFormat="1" applyFont="1" applyFill="1" applyBorder="1" applyAlignment="1">
      <alignment horizontal="center" vertical="center"/>
    </xf>
    <xf numFmtId="9" fontId="55" fillId="33" borderId="11" xfId="63" applyNumberFormat="1" applyFont="1" applyFill="1" applyBorder="1" applyAlignment="1">
      <alignment horizontal="center" vertical="center"/>
    </xf>
    <xf numFmtId="9" fontId="55" fillId="33" borderId="12" xfId="63" applyNumberFormat="1" applyFont="1" applyFill="1" applyBorder="1" applyAlignment="1">
      <alignment horizontal="center" vertical="center"/>
    </xf>
    <xf numFmtId="9" fontId="55" fillId="33" borderId="10" xfId="63" applyNumberFormat="1" applyFont="1" applyFill="1" applyBorder="1" applyAlignment="1">
      <alignment horizontal="center" vertical="center" wrapText="1"/>
    </xf>
    <xf numFmtId="9" fontId="55" fillId="33" borderId="11" xfId="63" applyNumberFormat="1" applyFont="1" applyFill="1" applyBorder="1" applyAlignment="1">
      <alignment horizontal="center" vertical="center" wrapText="1"/>
    </xf>
    <xf numFmtId="9" fontId="55" fillId="33" borderId="12" xfId="63" applyNumberFormat="1" applyFont="1" applyFill="1" applyBorder="1" applyAlignment="1">
      <alignment horizontal="center" vertical="center" wrapText="1"/>
    </xf>
    <xf numFmtId="0" fontId="67" fillId="33" borderId="0" xfId="63" applyFont="1" applyFill="1" applyAlignment="1">
      <alignment horizontal="center"/>
    </xf>
    <xf numFmtId="0" fontId="68" fillId="33" borderId="13" xfId="63" applyFont="1" applyFill="1" applyBorder="1" applyAlignment="1">
      <alignment horizontal="center" vertical="center"/>
    </xf>
    <xf numFmtId="49" fontId="68" fillId="33" borderId="10" xfId="63" quotePrefix="1" applyNumberFormat="1" applyFont="1" applyFill="1" applyBorder="1" applyAlignment="1">
      <alignment horizontal="center" vertical="center"/>
    </xf>
    <xf numFmtId="49" fontId="68" fillId="33" borderId="11" xfId="63" applyNumberFormat="1" applyFont="1" applyFill="1" applyBorder="1" applyAlignment="1">
      <alignment horizontal="center" vertical="center"/>
    </xf>
    <xf numFmtId="49" fontId="68" fillId="33" borderId="12" xfId="63" applyNumberFormat="1" applyFont="1" applyFill="1" applyBorder="1" applyAlignment="1">
      <alignment horizontal="center" vertical="center"/>
    </xf>
    <xf numFmtId="0" fontId="68" fillId="33" borderId="10" xfId="63" applyFont="1" applyFill="1" applyBorder="1" applyAlignment="1">
      <alignment horizontal="center" vertical="center" wrapText="1"/>
    </xf>
    <xf numFmtId="0" fontId="68" fillId="33" borderId="11" xfId="63" applyFont="1" applyFill="1" applyBorder="1" applyAlignment="1">
      <alignment horizontal="center" vertical="center" wrapText="1"/>
    </xf>
    <xf numFmtId="0" fontId="68" fillId="33" borderId="12" xfId="63" applyFont="1" applyFill="1" applyBorder="1" applyAlignment="1">
      <alignment horizontal="center" vertical="center" wrapText="1"/>
    </xf>
    <xf numFmtId="0" fontId="68" fillId="33" borderId="10" xfId="63" applyFont="1" applyFill="1" applyBorder="1" applyAlignment="1">
      <alignment horizontal="center"/>
    </xf>
    <xf numFmtId="0" fontId="68" fillId="33" borderId="11" xfId="63" applyFont="1" applyFill="1" applyBorder="1" applyAlignment="1">
      <alignment horizontal="center"/>
    </xf>
    <xf numFmtId="0" fontId="68" fillId="33" borderId="12" xfId="63" applyFont="1" applyFill="1" applyBorder="1" applyAlignment="1">
      <alignment horizontal="center"/>
    </xf>
    <xf numFmtId="0" fontId="22" fillId="34" borderId="10" xfId="63" applyFont="1" applyFill="1" applyBorder="1" applyAlignment="1">
      <alignment horizontal="center" vertical="center"/>
    </xf>
    <xf numFmtId="0" fontId="22" fillId="34" borderId="11" xfId="63" applyFont="1" applyFill="1" applyBorder="1" applyAlignment="1">
      <alignment horizontal="center" vertical="center"/>
    </xf>
    <xf numFmtId="0" fontId="22" fillId="34" borderId="12" xfId="63" applyFont="1" applyFill="1" applyBorder="1" applyAlignment="1">
      <alignment horizontal="center" vertical="center"/>
    </xf>
    <xf numFmtId="49" fontId="22" fillId="33" borderId="10" xfId="63" quotePrefix="1" applyNumberFormat="1" applyFont="1" applyFill="1" applyBorder="1" applyAlignment="1">
      <alignment horizontal="center" vertical="center"/>
    </xf>
    <xf numFmtId="49" fontId="22" fillId="33" borderId="11" xfId="63" applyNumberFormat="1" applyFont="1" applyFill="1" applyBorder="1" applyAlignment="1">
      <alignment horizontal="center" vertical="center"/>
    </xf>
    <xf numFmtId="49" fontId="22" fillId="33" borderId="12" xfId="63" applyNumberFormat="1" applyFont="1" applyFill="1" applyBorder="1" applyAlignment="1">
      <alignment horizontal="center" vertical="center"/>
    </xf>
    <xf numFmtId="0" fontId="22" fillId="33" borderId="10" xfId="63" applyFont="1" applyFill="1" applyBorder="1" applyAlignment="1">
      <alignment horizontal="left" vertical="center" wrapText="1"/>
    </xf>
    <xf numFmtId="0" fontId="22" fillId="33" borderId="11" xfId="63" applyFont="1" applyFill="1" applyBorder="1" applyAlignment="1">
      <alignment horizontal="left" vertical="center" wrapText="1"/>
    </xf>
    <xf numFmtId="0" fontId="22" fillId="33" borderId="12" xfId="63" applyFont="1" applyFill="1" applyBorder="1" applyAlignment="1">
      <alignment horizontal="left" vertical="center" wrapText="1"/>
    </xf>
    <xf numFmtId="0" fontId="25" fillId="34" borderId="11" xfId="63" applyFont="1" applyFill="1" applyBorder="1" applyAlignment="1">
      <alignment horizontal="center" vertical="center" wrapText="1"/>
    </xf>
    <xf numFmtId="0" fontId="25" fillId="34" borderId="12" xfId="63" applyFont="1" applyFill="1" applyBorder="1" applyAlignment="1">
      <alignment horizontal="center" vertical="center" wrapText="1"/>
    </xf>
    <xf numFmtId="0" fontId="22" fillId="33" borderId="11" xfId="63" applyFont="1" applyFill="1" applyBorder="1" applyAlignment="1">
      <alignment horizontal="center" vertical="center" wrapText="1"/>
    </xf>
    <xf numFmtId="0" fontId="22" fillId="33" borderId="12" xfId="63" applyFont="1" applyFill="1" applyBorder="1" applyAlignment="1">
      <alignment horizontal="center" vertical="center" wrapText="1"/>
    </xf>
    <xf numFmtId="0" fontId="34" fillId="33" borderId="27" xfId="63" applyFont="1" applyFill="1" applyBorder="1" applyAlignment="1">
      <alignment horizontal="center" vertical="center" wrapText="1"/>
    </xf>
    <xf numFmtId="0" fontId="35" fillId="35" borderId="27" xfId="63" applyFont="1" applyFill="1" applyBorder="1" applyAlignment="1">
      <alignment horizontal="center" vertical="center" wrapText="1"/>
    </xf>
    <xf numFmtId="0" fontId="34" fillId="33" borderId="27" xfId="63" applyFont="1" applyFill="1" applyBorder="1" applyAlignment="1">
      <alignment vertical="center" wrapText="1"/>
    </xf>
    <xf numFmtId="0" fontId="34" fillId="33" borderId="27" xfId="63" applyFont="1" applyFill="1" applyBorder="1" applyAlignment="1">
      <alignment horizontal="center" vertical="center"/>
    </xf>
    <xf numFmtId="9" fontId="34" fillId="35" borderId="27" xfId="63" applyNumberFormat="1" applyFont="1" applyFill="1" applyBorder="1" applyAlignment="1">
      <alignment horizontal="center" vertical="center"/>
    </xf>
    <xf numFmtId="0" fontId="34" fillId="35" borderId="27" xfId="63" applyFont="1" applyFill="1" applyBorder="1" applyAlignment="1">
      <alignment horizontal="center" vertical="center"/>
    </xf>
    <xf numFmtId="0" fontId="34" fillId="33" borderId="27" xfId="63" applyFont="1" applyFill="1" applyBorder="1" applyAlignment="1">
      <alignment horizontal="left" vertical="center" wrapText="1"/>
    </xf>
    <xf numFmtId="0" fontId="31" fillId="35" borderId="27" xfId="63" applyFont="1" applyFill="1" applyBorder="1" applyAlignment="1">
      <alignment horizontal="center" vertical="center"/>
    </xf>
    <xf numFmtId="0" fontId="32" fillId="0" borderId="27" xfId="63" applyFont="1" applyBorder="1" applyAlignment="1">
      <alignment horizontal="left" vertical="center" wrapText="1"/>
    </xf>
    <xf numFmtId="0" fontId="32" fillId="35" borderId="27" xfId="63" applyFont="1" applyFill="1" applyBorder="1" applyAlignment="1">
      <alignment horizontal="left" vertical="center" wrapText="1"/>
    </xf>
    <xf numFmtId="0" fontId="32" fillId="35" borderId="27" xfId="63" applyFont="1" applyFill="1" applyBorder="1" applyAlignment="1">
      <alignment horizontal="left" vertical="center"/>
    </xf>
    <xf numFmtId="0" fontId="32" fillId="35" borderId="35" xfId="63" applyFont="1" applyFill="1" applyBorder="1" applyAlignment="1">
      <alignment horizontal="left" vertical="center" wrapText="1"/>
    </xf>
    <xf numFmtId="0" fontId="32" fillId="35" borderId="39" xfId="63" applyFont="1" applyFill="1" applyBorder="1" applyAlignment="1">
      <alignment horizontal="left" vertical="center" wrapText="1"/>
    </xf>
    <xf numFmtId="0" fontId="32" fillId="35" borderId="33" xfId="63" applyFont="1" applyFill="1" applyBorder="1" applyAlignment="1">
      <alignment horizontal="left" vertical="center" wrapText="1"/>
    </xf>
    <xf numFmtId="0" fontId="31" fillId="0" borderId="27" xfId="63" applyFont="1" applyBorder="1" applyAlignment="1">
      <alignment horizontal="center"/>
    </xf>
    <xf numFmtId="49" fontId="22" fillId="33" borderId="10" xfId="63" applyNumberFormat="1" applyFont="1" applyFill="1" applyBorder="1" applyAlignment="1">
      <alignment horizontal="center" vertical="center"/>
    </xf>
    <xf numFmtId="0" fontId="22" fillId="33" borderId="14" xfId="63" applyFont="1" applyFill="1" applyBorder="1" applyAlignment="1">
      <alignment horizontal="center" vertical="center" wrapText="1"/>
    </xf>
    <xf numFmtId="0" fontId="3" fillId="0" borderId="11" xfId="63" applyBorder="1"/>
    <xf numFmtId="0" fontId="3" fillId="0" borderId="12" xfId="63" applyBorder="1"/>
    <xf numFmtId="0" fontId="22" fillId="33" borderId="10" xfId="63" applyFont="1" applyFill="1" applyBorder="1" applyAlignment="1">
      <alignment vertical="center" wrapText="1"/>
    </xf>
    <xf numFmtId="0" fontId="22" fillId="33" borderId="11" xfId="63" applyFont="1" applyFill="1" applyBorder="1" applyAlignment="1">
      <alignment vertical="center" wrapText="1"/>
    </xf>
    <xf numFmtId="0" fontId="22" fillId="33" borderId="12" xfId="63" applyFont="1" applyFill="1" applyBorder="1" applyAlignment="1">
      <alignment vertical="center" wrapText="1"/>
    </xf>
    <xf numFmtId="0" fontId="20" fillId="0" borderId="0" xfId="63" applyFont="1" applyAlignment="1">
      <alignment horizontal="center"/>
    </xf>
    <xf numFmtId="0" fontId="61" fillId="34" borderId="0" xfId="63" applyFont="1" applyFill="1" applyAlignment="1">
      <alignment horizontal="center"/>
    </xf>
    <xf numFmtId="0" fontId="22" fillId="33" borderId="27" xfId="63" applyFont="1" applyFill="1" applyBorder="1" applyAlignment="1">
      <alignment horizontal="center" vertical="center"/>
    </xf>
    <xf numFmtId="49" fontId="22" fillId="33" borderId="27" xfId="63" applyNumberFormat="1" applyFont="1" applyFill="1" applyBorder="1" applyAlignment="1">
      <alignment horizontal="center" vertical="center"/>
    </xf>
    <xf numFmtId="0" fontId="22" fillId="33" borderId="27" xfId="63" applyFont="1" applyFill="1" applyBorder="1" applyAlignment="1">
      <alignment horizontal="center" vertical="center" wrapText="1"/>
    </xf>
    <xf numFmtId="0" fontId="34" fillId="0" borderId="10" xfId="63" applyFont="1" applyFill="1" applyBorder="1" applyAlignment="1">
      <alignment horizontal="center" vertical="center"/>
    </xf>
    <xf numFmtId="0" fontId="34" fillId="0" borderId="11" xfId="63" applyFont="1" applyFill="1" applyBorder="1" applyAlignment="1">
      <alignment horizontal="center" vertical="center"/>
    </xf>
    <xf numFmtId="0" fontId="34" fillId="0" borderId="12" xfId="63" applyFont="1" applyFill="1" applyBorder="1" applyAlignment="1">
      <alignment horizontal="center" vertical="center"/>
    </xf>
    <xf numFmtId="0" fontId="34" fillId="0" borderId="23" xfId="63" applyFont="1" applyFill="1" applyBorder="1" applyAlignment="1">
      <alignment horizontal="center" vertical="center" wrapText="1"/>
    </xf>
    <xf numFmtId="0" fontId="34" fillId="0" borderId="24" xfId="63" applyFont="1" applyFill="1" applyBorder="1" applyAlignment="1">
      <alignment horizontal="center" vertical="center" wrapText="1"/>
    </xf>
    <xf numFmtId="0" fontId="35" fillId="0" borderId="10" xfId="63" applyFont="1" applyFill="1" applyBorder="1" applyAlignment="1">
      <alignment horizontal="center" vertical="center" wrapText="1"/>
    </xf>
    <xf numFmtId="0" fontId="35" fillId="0" borderId="11" xfId="63" applyFont="1" applyFill="1" applyBorder="1" applyAlignment="1">
      <alignment horizontal="center" vertical="center" wrapText="1"/>
    </xf>
    <xf numFmtId="0" fontId="35" fillId="0" borderId="12" xfId="63" applyFont="1" applyFill="1" applyBorder="1" applyAlignment="1">
      <alignment horizontal="center" vertical="center" wrapText="1"/>
    </xf>
    <xf numFmtId="0" fontId="34" fillId="41" borderId="23" xfId="63" applyFont="1" applyFill="1" applyBorder="1" applyAlignment="1">
      <alignment horizontal="center" vertical="center" wrapText="1"/>
    </xf>
    <xf numFmtId="0" fontId="34" fillId="41" borderId="24" xfId="63" applyFont="1" applyFill="1" applyBorder="1" applyAlignment="1">
      <alignment horizontal="center" vertical="center" wrapText="1"/>
    </xf>
    <xf numFmtId="0" fontId="31" fillId="41" borderId="10" xfId="63" applyFont="1" applyFill="1" applyBorder="1" applyAlignment="1">
      <alignment horizontal="center" vertical="center"/>
    </xf>
    <xf numFmtId="0" fontId="31" fillId="41" borderId="11" xfId="63" applyFont="1" applyFill="1" applyBorder="1" applyAlignment="1">
      <alignment horizontal="center" vertical="center"/>
    </xf>
    <xf numFmtId="0" fontId="31" fillId="41" borderId="12" xfId="63" applyFont="1" applyFill="1" applyBorder="1" applyAlignment="1">
      <alignment horizontal="center" vertical="center"/>
    </xf>
    <xf numFmtId="9" fontId="34" fillId="41" borderId="10" xfId="63" applyNumberFormat="1" applyFont="1" applyFill="1" applyBorder="1" applyAlignment="1">
      <alignment horizontal="center" vertical="center"/>
    </xf>
    <xf numFmtId="9" fontId="34" fillId="41" borderId="11" xfId="63" applyNumberFormat="1" applyFont="1" applyFill="1" applyBorder="1" applyAlignment="1">
      <alignment horizontal="center" vertical="center"/>
    </xf>
    <xf numFmtId="9" fontId="34" fillId="41" borderId="12" xfId="63" applyNumberFormat="1" applyFont="1" applyFill="1" applyBorder="1" applyAlignment="1">
      <alignment horizontal="center" vertical="center"/>
    </xf>
    <xf numFmtId="0" fontId="34" fillId="41" borderId="10" xfId="63" applyFont="1" applyFill="1" applyBorder="1" applyAlignment="1">
      <alignment horizontal="center" vertical="center"/>
    </xf>
    <xf numFmtId="0" fontId="34" fillId="41" borderId="11" xfId="63" applyFont="1" applyFill="1" applyBorder="1" applyAlignment="1">
      <alignment horizontal="center" vertical="center"/>
    </xf>
    <xf numFmtId="0" fontId="34" fillId="41" borderId="12" xfId="63" applyFont="1" applyFill="1" applyBorder="1" applyAlignment="1">
      <alignment horizontal="center" vertical="center"/>
    </xf>
    <xf numFmtId="0" fontId="34" fillId="0" borderId="23" xfId="63" applyFont="1" applyFill="1" applyBorder="1" applyAlignment="1">
      <alignment vertical="center" wrapText="1"/>
    </xf>
    <xf numFmtId="0" fontId="34" fillId="0" borderId="15" xfId="63" applyFont="1" applyFill="1" applyBorder="1" applyAlignment="1">
      <alignment vertical="center" wrapText="1"/>
    </xf>
    <xf numFmtId="0" fontId="34" fillId="0" borderId="24" xfId="63" applyFont="1" applyFill="1" applyBorder="1" applyAlignment="1">
      <alignment vertical="center" wrapText="1"/>
    </xf>
    <xf numFmtId="0" fontId="32" fillId="35" borderId="10" xfId="63" applyFont="1" applyFill="1" applyBorder="1" applyAlignment="1">
      <alignment horizontal="center" vertical="center" wrapText="1"/>
    </xf>
    <xf numFmtId="0" fontId="32" fillId="35" borderId="11" xfId="63" applyFont="1" applyFill="1" applyBorder="1" applyAlignment="1">
      <alignment horizontal="center" vertical="center" wrapText="1"/>
    </xf>
    <xf numFmtId="0" fontId="32" fillId="35" borderId="12" xfId="63" applyFont="1" applyFill="1" applyBorder="1" applyAlignment="1">
      <alignment horizontal="center" vertical="center" wrapText="1"/>
    </xf>
    <xf numFmtId="0" fontId="34" fillId="41" borderId="10" xfId="63" applyFont="1" applyFill="1" applyBorder="1" applyAlignment="1">
      <alignment horizontal="center" vertical="top" wrapText="1"/>
    </xf>
    <xf numFmtId="0" fontId="34" fillId="41" borderId="11" xfId="63" applyFont="1" applyFill="1" applyBorder="1" applyAlignment="1">
      <alignment horizontal="center" vertical="top"/>
    </xf>
    <xf numFmtId="0" fontId="34" fillId="41" borderId="12" xfId="63" applyFont="1" applyFill="1" applyBorder="1" applyAlignment="1">
      <alignment horizontal="center" vertical="top"/>
    </xf>
    <xf numFmtId="0" fontId="34" fillId="41" borderId="10" xfId="63" applyFont="1" applyFill="1" applyBorder="1" applyAlignment="1">
      <alignment horizontal="center" vertical="center" wrapText="1"/>
    </xf>
    <xf numFmtId="0" fontId="34" fillId="41" borderId="11" xfId="63" applyFont="1" applyFill="1" applyBorder="1" applyAlignment="1">
      <alignment horizontal="center" vertical="center" wrapText="1"/>
    </xf>
    <xf numFmtId="0" fontId="34" fillId="41" borderId="12" xfId="63" applyFont="1" applyFill="1" applyBorder="1" applyAlignment="1">
      <alignment horizontal="center" vertical="center" wrapText="1"/>
    </xf>
    <xf numFmtId="9" fontId="34" fillId="0" borderId="10" xfId="63" applyNumberFormat="1" applyFont="1" applyFill="1" applyBorder="1" applyAlignment="1">
      <alignment horizontal="center" vertical="center"/>
    </xf>
    <xf numFmtId="9" fontId="34" fillId="0" borderId="11" xfId="63" applyNumberFormat="1" applyFont="1" applyFill="1" applyBorder="1" applyAlignment="1">
      <alignment horizontal="center" vertical="center"/>
    </xf>
    <xf numFmtId="9" fontId="34" fillId="0" borderId="12" xfId="63" applyNumberFormat="1" applyFont="1" applyFill="1" applyBorder="1" applyAlignment="1">
      <alignment horizontal="center" vertical="center"/>
    </xf>
    <xf numFmtId="0" fontId="34" fillId="0" borderId="10" xfId="63" applyFont="1" applyFill="1" applyBorder="1" applyAlignment="1">
      <alignment horizontal="left" vertical="center" wrapText="1"/>
    </xf>
    <xf numFmtId="0" fontId="34" fillId="0" borderId="11" xfId="63" applyFont="1" applyFill="1" applyBorder="1" applyAlignment="1">
      <alignment horizontal="left" vertical="center" wrapText="1"/>
    </xf>
    <xf numFmtId="0" fontId="34" fillId="0" borderId="12" xfId="63" applyFont="1" applyFill="1" applyBorder="1" applyAlignment="1">
      <alignment horizontal="left" vertical="center" wrapText="1"/>
    </xf>
    <xf numFmtId="0" fontId="34" fillId="0" borderId="10" xfId="63" applyFont="1" applyFill="1" applyBorder="1" applyAlignment="1">
      <alignment horizontal="center" vertical="center" wrapText="1"/>
    </xf>
    <xf numFmtId="0" fontId="34" fillId="0" borderId="11" xfId="63" applyFont="1" applyFill="1" applyBorder="1" applyAlignment="1">
      <alignment horizontal="center" vertical="center" wrapText="1"/>
    </xf>
    <xf numFmtId="0" fontId="34" fillId="0" borderId="12" xfId="63" applyFont="1" applyFill="1" applyBorder="1" applyAlignment="1">
      <alignment horizontal="center" vertical="center" wrapText="1"/>
    </xf>
    <xf numFmtId="0" fontId="34" fillId="0" borderId="14" xfId="63" applyFont="1" applyFill="1" applyBorder="1" applyAlignment="1">
      <alignment horizontal="center" vertical="center"/>
    </xf>
    <xf numFmtId="0" fontId="34" fillId="0" borderId="17" xfId="63" applyFont="1" applyFill="1" applyBorder="1" applyAlignment="1">
      <alignment horizontal="center" vertical="center"/>
    </xf>
    <xf numFmtId="0" fontId="34" fillId="0" borderId="18" xfId="63" applyFont="1" applyFill="1" applyBorder="1" applyAlignment="1">
      <alignment horizontal="center" vertical="center"/>
    </xf>
    <xf numFmtId="0" fontId="34" fillId="0" borderId="16" xfId="63" applyFont="1" applyFill="1" applyBorder="1" applyAlignment="1">
      <alignment horizontal="center" vertical="center"/>
    </xf>
    <xf numFmtId="0" fontId="34" fillId="0" borderId="0" xfId="63" applyFont="1" applyFill="1" applyBorder="1" applyAlignment="1">
      <alignment horizontal="center" vertical="center"/>
    </xf>
    <xf numFmtId="0" fontId="34" fillId="0" borderId="19" xfId="63" applyFont="1" applyFill="1" applyBorder="1" applyAlignment="1">
      <alignment horizontal="center" vertical="center"/>
    </xf>
    <xf numFmtId="0" fontId="34" fillId="0" borderId="20" xfId="63" applyFont="1" applyFill="1" applyBorder="1" applyAlignment="1">
      <alignment horizontal="center" vertical="center"/>
    </xf>
    <xf numFmtId="0" fontId="34" fillId="0" borderId="21" xfId="63" applyFont="1" applyFill="1" applyBorder="1" applyAlignment="1">
      <alignment horizontal="center" vertical="center"/>
    </xf>
    <xf numFmtId="0" fontId="34" fillId="0" borderId="22" xfId="63" applyFont="1" applyFill="1" applyBorder="1" applyAlignment="1">
      <alignment horizontal="center" vertical="center"/>
    </xf>
    <xf numFmtId="0" fontId="72" fillId="33" borderId="13" xfId="63" applyFont="1" applyFill="1" applyBorder="1" applyAlignment="1">
      <alignment horizontal="center" vertical="center"/>
    </xf>
    <xf numFmtId="49" fontId="72" fillId="33" borderId="10" xfId="63" applyNumberFormat="1" applyFont="1" applyFill="1" applyBorder="1" applyAlignment="1">
      <alignment horizontal="center" vertical="center"/>
    </xf>
    <xf numFmtId="49" fontId="72" fillId="33" borderId="11" xfId="63" applyNumberFormat="1" applyFont="1" applyFill="1" applyBorder="1" applyAlignment="1">
      <alignment horizontal="center" vertical="center"/>
    </xf>
    <xf numFmtId="49" fontId="72" fillId="33" borderId="12" xfId="63" applyNumberFormat="1" applyFont="1" applyFill="1" applyBorder="1" applyAlignment="1">
      <alignment horizontal="center" vertical="center"/>
    </xf>
    <xf numFmtId="0" fontId="72" fillId="33" borderId="10" xfId="63" applyFont="1" applyFill="1" applyBorder="1" applyAlignment="1">
      <alignment horizontal="center" vertical="center" wrapText="1"/>
    </xf>
    <xf numFmtId="0" fontId="72" fillId="33" borderId="11" xfId="63" applyFont="1" applyFill="1" applyBorder="1" applyAlignment="1">
      <alignment horizontal="center" vertical="center" wrapText="1"/>
    </xf>
    <xf numFmtId="0" fontId="72" fillId="33" borderId="12" xfId="63" applyFont="1" applyFill="1" applyBorder="1" applyAlignment="1">
      <alignment horizontal="center" vertical="center" wrapText="1"/>
    </xf>
    <xf numFmtId="0" fontId="52" fillId="0" borderId="10" xfId="63" applyFont="1" applyBorder="1" applyAlignment="1">
      <alignment horizontal="center"/>
    </xf>
    <xf numFmtId="0" fontId="52" fillId="0" borderId="11" xfId="63" applyFont="1" applyBorder="1" applyAlignment="1">
      <alignment horizontal="center"/>
    </xf>
    <xf numFmtId="0" fontId="52" fillId="0" borderId="12" xfId="63" applyFont="1" applyBorder="1" applyAlignment="1">
      <alignment horizontal="center"/>
    </xf>
    <xf numFmtId="0" fontId="31" fillId="0" borderId="10" xfId="63" applyFont="1" applyFill="1" applyBorder="1" applyAlignment="1">
      <alignment horizontal="center" vertical="center"/>
    </xf>
    <xf numFmtId="0" fontId="31" fillId="0" borderId="11" xfId="63" applyFont="1" applyFill="1" applyBorder="1" applyAlignment="1">
      <alignment horizontal="center" vertical="center"/>
    </xf>
    <xf numFmtId="0" fontId="31" fillId="0" borderId="12" xfId="63" applyFont="1" applyFill="1" applyBorder="1" applyAlignment="1">
      <alignment horizontal="center" vertical="center"/>
    </xf>
    <xf numFmtId="0" fontId="32" fillId="0" borderId="10" xfId="63" applyFont="1" applyFill="1" applyBorder="1" applyAlignment="1">
      <alignment horizontal="center" vertical="center" wrapText="1"/>
    </xf>
    <xf numFmtId="0" fontId="32" fillId="0" borderId="11" xfId="63" applyFont="1" applyFill="1" applyBorder="1" applyAlignment="1">
      <alignment horizontal="center" vertical="center" wrapText="1"/>
    </xf>
    <xf numFmtId="0" fontId="32" fillId="0" borderId="12" xfId="63" applyFont="1" applyFill="1" applyBorder="1" applyAlignment="1">
      <alignment horizontal="center" vertical="center" wrapText="1"/>
    </xf>
    <xf numFmtId="0" fontId="40" fillId="0" borderId="10" xfId="63" applyFont="1" applyFill="1" applyBorder="1" applyAlignment="1">
      <alignment horizontal="center" vertical="center" wrapText="1"/>
    </xf>
    <xf numFmtId="0" fontId="40" fillId="0" borderId="11" xfId="63" applyFont="1" applyFill="1" applyBorder="1" applyAlignment="1">
      <alignment horizontal="center" vertical="center" wrapText="1"/>
    </xf>
    <xf numFmtId="0" fontId="40" fillId="0" borderId="12" xfId="63" applyFont="1" applyFill="1" applyBorder="1" applyAlignment="1">
      <alignment horizontal="center" vertical="center" wrapText="1"/>
    </xf>
    <xf numFmtId="0" fontId="32" fillId="33" borderId="10" xfId="63" applyFont="1" applyFill="1" applyBorder="1" applyAlignment="1">
      <alignment horizontal="center" vertical="center"/>
    </xf>
    <xf numFmtId="0" fontId="32" fillId="33" borderId="11" xfId="63" applyFont="1" applyFill="1" applyBorder="1" applyAlignment="1">
      <alignment horizontal="center" vertical="center"/>
    </xf>
    <xf numFmtId="0" fontId="32" fillId="33" borderId="12" xfId="63" applyFont="1" applyFill="1" applyBorder="1" applyAlignment="1">
      <alignment horizontal="center" vertical="center"/>
    </xf>
    <xf numFmtId="0" fontId="34" fillId="33" borderId="23" xfId="63" applyFont="1" applyFill="1" applyBorder="1" applyAlignment="1">
      <alignment horizontal="center" vertical="center" wrapText="1"/>
    </xf>
    <xf numFmtId="0" fontId="34" fillId="33" borderId="24" xfId="63" applyFont="1" applyFill="1" applyBorder="1" applyAlignment="1">
      <alignment horizontal="center" vertical="center" wrapText="1"/>
    </xf>
    <xf numFmtId="0" fontId="35" fillId="33" borderId="10" xfId="63" applyFont="1" applyFill="1" applyBorder="1" applyAlignment="1">
      <alignment horizontal="center" vertical="center" wrapText="1"/>
    </xf>
    <xf numFmtId="0" fontId="35" fillId="33" borderId="11" xfId="63" applyFont="1" applyFill="1" applyBorder="1" applyAlignment="1">
      <alignment horizontal="center" vertical="center" wrapText="1"/>
    </xf>
    <xf numFmtId="0" fontId="35" fillId="33" borderId="12" xfId="63" applyFont="1" applyFill="1" applyBorder="1" applyAlignment="1">
      <alignment horizontal="center" vertical="center" wrapText="1"/>
    </xf>
    <xf numFmtId="0" fontId="22" fillId="33" borderId="10" xfId="63" applyFont="1" applyFill="1" applyBorder="1" applyAlignment="1">
      <alignment horizontal="center" vertical="center" wrapText="1"/>
    </xf>
    <xf numFmtId="0" fontId="35" fillId="33" borderId="10" xfId="63" applyFont="1" applyFill="1" applyBorder="1" applyAlignment="1">
      <alignment horizontal="center" vertical="center"/>
    </xf>
    <xf numFmtId="0" fontId="35" fillId="33" borderId="11" xfId="63" applyFont="1" applyFill="1" applyBorder="1" applyAlignment="1">
      <alignment horizontal="center" vertical="center"/>
    </xf>
    <xf numFmtId="0" fontId="35" fillId="33" borderId="12" xfId="63" applyFont="1" applyFill="1" applyBorder="1" applyAlignment="1">
      <alignment horizontal="center" vertical="center"/>
    </xf>
    <xf numFmtId="0" fontId="34" fillId="33" borderId="23" xfId="63" applyFont="1" applyFill="1" applyBorder="1" applyAlignment="1">
      <alignment vertical="center" wrapText="1"/>
    </xf>
    <xf numFmtId="0" fontId="34" fillId="33" borderId="15" xfId="63" applyFont="1" applyFill="1" applyBorder="1" applyAlignment="1">
      <alignment vertical="center" wrapText="1"/>
    </xf>
    <xf numFmtId="0" fontId="34" fillId="33" borderId="24" xfId="63" applyFont="1" applyFill="1" applyBorder="1" applyAlignment="1">
      <alignment vertical="center" wrapText="1"/>
    </xf>
    <xf numFmtId="0" fontId="34" fillId="33" borderId="14" xfId="63" applyFont="1" applyFill="1" applyBorder="1" applyAlignment="1">
      <alignment horizontal="center" vertical="center"/>
    </xf>
    <xf numFmtId="0" fontId="34" fillId="33" borderId="17" xfId="63" applyFont="1" applyFill="1" applyBorder="1" applyAlignment="1">
      <alignment horizontal="center" vertical="center"/>
    </xf>
    <xf numFmtId="0" fontId="34" fillId="33" borderId="18" xfId="63" applyFont="1" applyFill="1" applyBorder="1" applyAlignment="1">
      <alignment horizontal="center" vertical="center"/>
    </xf>
    <xf numFmtId="0" fontId="34" fillId="33" borderId="16" xfId="63" applyFont="1" applyFill="1" applyBorder="1" applyAlignment="1">
      <alignment horizontal="center" vertical="center"/>
    </xf>
    <xf numFmtId="0" fontId="34" fillId="33" borderId="0" xfId="63" applyFont="1" applyFill="1" applyBorder="1" applyAlignment="1">
      <alignment horizontal="center" vertical="center"/>
    </xf>
    <xf numFmtId="0" fontId="34" fillId="33" borderId="19" xfId="63" applyFont="1" applyFill="1" applyBorder="1" applyAlignment="1">
      <alignment horizontal="center" vertical="center"/>
    </xf>
    <xf numFmtId="0" fontId="34" fillId="33" borderId="20" xfId="63" applyFont="1" applyFill="1" applyBorder="1" applyAlignment="1">
      <alignment horizontal="center" vertical="center"/>
    </xf>
    <xf numFmtId="0" fontId="34" fillId="33" borderId="21" xfId="63" applyFont="1" applyFill="1" applyBorder="1" applyAlignment="1">
      <alignment horizontal="center" vertical="center"/>
    </xf>
    <xf numFmtId="0" fontId="34" fillId="33" borderId="22" xfId="63" applyFont="1" applyFill="1" applyBorder="1" applyAlignment="1">
      <alignment horizontal="center" vertical="center"/>
    </xf>
    <xf numFmtId="0" fontId="72" fillId="33" borderId="14" xfId="63" applyFont="1" applyFill="1" applyBorder="1" applyAlignment="1">
      <alignment horizontal="left" vertical="center" wrapText="1"/>
    </xf>
    <xf numFmtId="0" fontId="72" fillId="33" borderId="17" xfId="63" applyFont="1" applyFill="1" applyBorder="1" applyAlignment="1">
      <alignment horizontal="left" vertical="center" wrapText="1"/>
    </xf>
    <xf numFmtId="0" fontId="72" fillId="33" borderId="18" xfId="63" applyFont="1" applyFill="1" applyBorder="1" applyAlignment="1">
      <alignment horizontal="left" vertical="center" wrapText="1"/>
    </xf>
    <xf numFmtId="0" fontId="72" fillId="33" borderId="16" xfId="63" applyFont="1" applyFill="1" applyBorder="1" applyAlignment="1">
      <alignment horizontal="left" vertical="center" wrapText="1"/>
    </xf>
    <xf numFmtId="0" fontId="72" fillId="33" borderId="0" xfId="63" applyFont="1" applyFill="1" applyBorder="1" applyAlignment="1">
      <alignment horizontal="left" vertical="center" wrapText="1"/>
    </xf>
    <xf numFmtId="0" fontId="72" fillId="33" borderId="19" xfId="63" applyFont="1" applyFill="1" applyBorder="1" applyAlignment="1">
      <alignment horizontal="left" vertical="center" wrapText="1"/>
    </xf>
    <xf numFmtId="0" fontId="72" fillId="33" borderId="20" xfId="63" applyFont="1" applyFill="1" applyBorder="1" applyAlignment="1">
      <alignment horizontal="left" vertical="center" wrapText="1"/>
    </xf>
    <xf numFmtId="0" fontId="72" fillId="33" borderId="21" xfId="63" applyFont="1" applyFill="1" applyBorder="1" applyAlignment="1">
      <alignment horizontal="left" vertical="center" wrapText="1"/>
    </xf>
    <xf numFmtId="0" fontId="72" fillId="33" borderId="22" xfId="63" applyFont="1" applyFill="1" applyBorder="1" applyAlignment="1">
      <alignment horizontal="left" vertical="center" wrapText="1"/>
    </xf>
    <xf numFmtId="0" fontId="72" fillId="35" borderId="10" xfId="63" applyFont="1" applyFill="1" applyBorder="1" applyAlignment="1">
      <alignment horizontal="left" vertical="center" wrapText="1"/>
    </xf>
    <xf numFmtId="0" fontId="72" fillId="35" borderId="11" xfId="63" applyFont="1" applyFill="1" applyBorder="1" applyAlignment="1">
      <alignment horizontal="left" vertical="center"/>
    </xf>
    <xf numFmtId="0" fontId="72" fillId="35" borderId="12" xfId="63" applyFont="1" applyFill="1" applyBorder="1" applyAlignment="1">
      <alignment horizontal="left" vertical="center"/>
    </xf>
    <xf numFmtId="0" fontId="31" fillId="33" borderId="10" xfId="63" applyFont="1" applyFill="1" applyBorder="1" applyAlignment="1">
      <alignment horizontal="center" vertical="center"/>
    </xf>
    <xf numFmtId="0" fontId="31" fillId="33" borderId="11" xfId="63" applyFont="1" applyFill="1" applyBorder="1" applyAlignment="1">
      <alignment horizontal="center" vertical="center"/>
    </xf>
    <xf numFmtId="0" fontId="31" fillId="33" borderId="12" xfId="63" applyFont="1" applyFill="1" applyBorder="1" applyAlignment="1">
      <alignment horizontal="center" vertical="center"/>
    </xf>
    <xf numFmtId="0" fontId="32" fillId="33" borderId="10" xfId="63" applyFont="1" applyFill="1" applyBorder="1" applyAlignment="1">
      <alignment horizontal="center" vertical="center" wrapText="1"/>
    </xf>
    <xf numFmtId="0" fontId="32" fillId="33" borderId="11" xfId="63" applyFont="1" applyFill="1" applyBorder="1" applyAlignment="1">
      <alignment horizontal="center" vertical="center" wrapText="1"/>
    </xf>
    <xf numFmtId="0" fontId="32" fillId="33" borderId="12" xfId="63" applyFont="1" applyFill="1" applyBorder="1" applyAlignment="1">
      <alignment horizontal="center" vertical="center" wrapText="1"/>
    </xf>
    <xf numFmtId="0" fontId="72" fillId="33" borderId="23" xfId="63" applyFont="1" applyFill="1" applyBorder="1" applyAlignment="1">
      <alignment horizontal="center" vertical="center" wrapText="1"/>
    </xf>
    <xf numFmtId="0" fontId="72" fillId="33" borderId="24" xfId="63" applyFont="1" applyFill="1" applyBorder="1" applyAlignment="1">
      <alignment horizontal="center" vertical="center" wrapText="1"/>
    </xf>
    <xf numFmtId="0" fontId="72" fillId="35" borderId="20" xfId="63" applyFont="1" applyFill="1" applyBorder="1" applyAlignment="1">
      <alignment horizontal="center" vertical="center" wrapText="1"/>
    </xf>
    <xf numFmtId="0" fontId="72" fillId="35" borderId="21" xfId="63" applyFont="1" applyFill="1" applyBorder="1" applyAlignment="1">
      <alignment horizontal="center" vertical="center" wrapText="1"/>
    </xf>
    <xf numFmtId="0" fontId="72" fillId="35" borderId="22" xfId="63" applyFont="1" applyFill="1" applyBorder="1" applyAlignment="1">
      <alignment horizontal="center" vertical="center" wrapText="1"/>
    </xf>
    <xf numFmtId="0" fontId="32" fillId="0" borderId="10" xfId="63" applyFont="1" applyFill="1" applyBorder="1" applyAlignment="1">
      <alignment horizontal="left" vertical="center" wrapText="1"/>
    </xf>
    <xf numFmtId="0" fontId="32" fillId="0" borderId="11" xfId="63" applyFont="1" applyFill="1" applyBorder="1" applyAlignment="1">
      <alignment horizontal="left" vertical="center" wrapText="1"/>
    </xf>
    <xf numFmtId="0" fontId="32" fillId="0" borderId="12" xfId="63" applyFont="1" applyFill="1" applyBorder="1" applyAlignment="1">
      <alignment horizontal="left" vertical="center" wrapText="1"/>
    </xf>
    <xf numFmtId="0" fontId="52" fillId="0" borderId="17" xfId="63" applyFont="1" applyBorder="1" applyAlignment="1">
      <alignment horizontal="center" wrapText="1"/>
    </xf>
    <xf numFmtId="0" fontId="73" fillId="34" borderId="0" xfId="63" applyFont="1" applyFill="1" applyAlignment="1">
      <alignment horizontal="center"/>
    </xf>
    <xf numFmtId="0" fontId="22" fillId="35" borderId="10" xfId="63" applyFont="1" applyFill="1" applyBorder="1" applyAlignment="1">
      <alignment horizontal="left" vertical="center" wrapText="1"/>
    </xf>
    <xf numFmtId="0" fontId="22" fillId="35" borderId="11" xfId="63" applyFont="1" applyFill="1" applyBorder="1" applyAlignment="1">
      <alignment horizontal="left" vertical="center"/>
    </xf>
    <xf numFmtId="0" fontId="22" fillId="35" borderId="12" xfId="63" applyFont="1" applyFill="1" applyBorder="1" applyAlignment="1">
      <alignment horizontal="left" vertical="center"/>
    </xf>
    <xf numFmtId="0" fontId="34" fillId="33" borderId="10" xfId="63" applyFont="1" applyFill="1" applyBorder="1" applyAlignment="1">
      <alignment horizontal="center" vertical="center" wrapText="1"/>
    </xf>
    <xf numFmtId="0" fontId="34" fillId="33" borderId="11" xfId="63" applyFont="1" applyFill="1" applyBorder="1" applyAlignment="1">
      <alignment horizontal="center" vertical="center" wrapText="1"/>
    </xf>
    <xf numFmtId="0" fontId="34" fillId="33" borderId="12" xfId="63" applyFont="1" applyFill="1" applyBorder="1" applyAlignment="1">
      <alignment horizontal="center" vertical="center" wrapText="1"/>
    </xf>
    <xf numFmtId="0" fontId="35" fillId="41" borderId="10" xfId="63" applyFont="1" applyFill="1" applyBorder="1" applyAlignment="1">
      <alignment horizontal="center" vertical="center"/>
    </xf>
    <xf numFmtId="0" fontId="35" fillId="41" borderId="11" xfId="63" applyFont="1" applyFill="1" applyBorder="1" applyAlignment="1">
      <alignment horizontal="center" vertical="center"/>
    </xf>
    <xf numFmtId="0" fontId="35" fillId="41" borderId="12" xfId="63" applyFont="1" applyFill="1" applyBorder="1" applyAlignment="1">
      <alignment horizontal="center" vertical="center"/>
    </xf>
    <xf numFmtId="0" fontId="35" fillId="41" borderId="10" xfId="63" applyFont="1" applyFill="1" applyBorder="1" applyAlignment="1">
      <alignment horizontal="center" vertical="center" wrapText="1"/>
    </xf>
    <xf numFmtId="0" fontId="35" fillId="41" borderId="11" xfId="63" applyFont="1" applyFill="1" applyBorder="1" applyAlignment="1">
      <alignment horizontal="center" vertical="center" wrapText="1"/>
    </xf>
    <xf numFmtId="0" fontId="35" fillId="41" borderId="12" xfId="63" applyFont="1" applyFill="1" applyBorder="1" applyAlignment="1">
      <alignment horizontal="center" vertical="center" wrapText="1"/>
    </xf>
    <xf numFmtId="0" fontId="34" fillId="41" borderId="11" xfId="63" applyFont="1" applyFill="1" applyBorder="1" applyAlignment="1">
      <alignment horizontal="center" vertical="top" wrapText="1"/>
    </xf>
    <xf numFmtId="0" fontId="34" fillId="41" borderId="12" xfId="63" applyFont="1" applyFill="1" applyBorder="1" applyAlignment="1">
      <alignment horizontal="center" vertical="top" wrapText="1"/>
    </xf>
    <xf numFmtId="0" fontId="34" fillId="41" borderId="10" xfId="63" applyFont="1" applyFill="1" applyBorder="1" applyAlignment="1">
      <alignment horizontal="center" vertical="top"/>
    </xf>
    <xf numFmtId="0" fontId="34" fillId="41" borderId="23" xfId="63" applyFont="1" applyFill="1" applyBorder="1" applyAlignment="1">
      <alignment vertical="center" wrapText="1"/>
    </xf>
    <xf numFmtId="0" fontId="34" fillId="41" borderId="15" xfId="63" applyFont="1" applyFill="1" applyBorder="1" applyAlignment="1">
      <alignment vertical="center" wrapText="1"/>
    </xf>
    <xf numFmtId="0" fontId="34" fillId="41" borderId="24" xfId="63" applyFont="1" applyFill="1" applyBorder="1" applyAlignment="1">
      <alignment vertical="center" wrapText="1"/>
    </xf>
    <xf numFmtId="0" fontId="34" fillId="41" borderId="14" xfId="63" applyFont="1" applyFill="1" applyBorder="1" applyAlignment="1">
      <alignment horizontal="center" vertical="center"/>
    </xf>
    <xf numFmtId="0" fontId="34" fillId="41" borderId="17" xfId="63" applyFont="1" applyFill="1" applyBorder="1" applyAlignment="1">
      <alignment horizontal="center" vertical="center"/>
    </xf>
    <xf numFmtId="0" fontId="34" fillId="41" borderId="18" xfId="63" applyFont="1" applyFill="1" applyBorder="1" applyAlignment="1">
      <alignment horizontal="center" vertical="center"/>
    </xf>
    <xf numFmtId="0" fontId="34" fillId="41" borderId="16" xfId="63" applyFont="1" applyFill="1" applyBorder="1" applyAlignment="1">
      <alignment horizontal="center" vertical="center"/>
    </xf>
    <xf numFmtId="0" fontId="34" fillId="41" borderId="0" xfId="63" applyFont="1" applyFill="1" applyBorder="1" applyAlignment="1">
      <alignment horizontal="center" vertical="center"/>
    </xf>
    <xf numFmtId="0" fontId="34" fillId="41" borderId="19" xfId="63" applyFont="1" applyFill="1" applyBorder="1" applyAlignment="1">
      <alignment horizontal="center" vertical="center"/>
    </xf>
    <xf numFmtId="0" fontId="34" fillId="41" borderId="20" xfId="63" applyFont="1" applyFill="1" applyBorder="1" applyAlignment="1">
      <alignment horizontal="center" vertical="center"/>
    </xf>
    <xf numFmtId="0" fontId="34" fillId="41" borderId="21" xfId="63" applyFont="1" applyFill="1" applyBorder="1" applyAlignment="1">
      <alignment horizontal="center" vertical="center"/>
    </xf>
    <xf numFmtId="0" fontId="34" fillId="41" borderId="22" xfId="63" applyFont="1" applyFill="1" applyBorder="1" applyAlignment="1">
      <alignment horizontal="center" vertical="center"/>
    </xf>
    <xf numFmtId="0" fontId="32" fillId="41" borderId="10" xfId="63" applyFont="1" applyFill="1" applyBorder="1" applyAlignment="1">
      <alignment horizontal="center" vertical="center"/>
    </xf>
    <xf numFmtId="0" fontId="32" fillId="41" borderId="11" xfId="63" applyFont="1" applyFill="1" applyBorder="1" applyAlignment="1">
      <alignment horizontal="center" vertical="center"/>
    </xf>
    <xf numFmtId="0" fontId="32" fillId="41" borderId="12" xfId="63" applyFont="1" applyFill="1" applyBorder="1" applyAlignment="1">
      <alignment horizontal="center" vertical="center"/>
    </xf>
    <xf numFmtId="0" fontId="35" fillId="42" borderId="10" xfId="63" applyFont="1" applyFill="1" applyBorder="1" applyAlignment="1">
      <alignment horizontal="center" vertical="center"/>
    </xf>
    <xf numFmtId="0" fontId="35" fillId="42" borderId="11" xfId="63" applyFont="1" applyFill="1" applyBorder="1" applyAlignment="1">
      <alignment horizontal="center" vertical="center"/>
    </xf>
    <xf numFmtId="0" fontId="35" fillId="42" borderId="12" xfId="63" applyFont="1" applyFill="1" applyBorder="1" applyAlignment="1">
      <alignment horizontal="center" vertical="center"/>
    </xf>
    <xf numFmtId="0" fontId="35" fillId="42" borderId="10" xfId="63" applyFont="1" applyFill="1" applyBorder="1" applyAlignment="1">
      <alignment horizontal="center" vertical="center" wrapText="1"/>
    </xf>
    <xf numFmtId="0" fontId="35" fillId="42" borderId="11" xfId="63" applyFont="1" applyFill="1" applyBorder="1" applyAlignment="1">
      <alignment horizontal="center" vertical="center" wrapText="1"/>
    </xf>
    <xf numFmtId="0" fontId="35" fillId="42" borderId="12" xfId="63" applyFont="1" applyFill="1" applyBorder="1" applyAlignment="1">
      <alignment horizontal="center" vertical="center" wrapText="1"/>
    </xf>
    <xf numFmtId="0" fontId="40" fillId="41" borderId="10" xfId="63" applyFont="1" applyFill="1" applyBorder="1" applyAlignment="1">
      <alignment horizontal="center" vertical="center" wrapText="1"/>
    </xf>
    <xf numFmtId="0" fontId="40" fillId="41" borderId="11" xfId="63" applyFont="1" applyFill="1" applyBorder="1" applyAlignment="1">
      <alignment horizontal="center" vertical="center" wrapText="1"/>
    </xf>
    <xf numFmtId="0" fontId="40" fillId="41" borderId="12" xfId="63" applyFont="1" applyFill="1" applyBorder="1" applyAlignment="1">
      <alignment horizontal="center" vertical="center" wrapText="1"/>
    </xf>
    <xf numFmtId="0" fontId="22" fillId="43" borderId="10" xfId="63" applyFont="1" applyFill="1" applyBorder="1" applyAlignment="1">
      <alignment horizontal="center" vertical="center" wrapText="1"/>
    </xf>
    <xf numFmtId="0" fontId="22" fillId="43" borderId="11" xfId="63" applyFont="1" applyFill="1" applyBorder="1" applyAlignment="1">
      <alignment horizontal="center" vertical="center" wrapText="1"/>
    </xf>
    <xf numFmtId="0" fontId="22" fillId="43" borderId="12" xfId="63" applyFont="1" applyFill="1" applyBorder="1" applyAlignment="1">
      <alignment horizontal="center" vertical="center" wrapText="1"/>
    </xf>
    <xf numFmtId="0" fontId="54" fillId="0" borderId="10" xfId="63" applyFont="1" applyFill="1" applyBorder="1" applyAlignment="1">
      <alignment horizontal="center" vertical="center" wrapText="1"/>
    </xf>
    <xf numFmtId="0" fontId="54" fillId="0" borderId="11" xfId="63" applyFont="1" applyFill="1" applyBorder="1" applyAlignment="1">
      <alignment horizontal="center" vertical="center" wrapText="1"/>
    </xf>
    <xf numFmtId="0" fontId="54" fillId="0" borderId="12" xfId="63" applyFont="1" applyFill="1" applyBorder="1" applyAlignment="1">
      <alignment horizontal="center" vertical="center" wrapText="1"/>
    </xf>
    <xf numFmtId="9" fontId="35" fillId="42" borderId="10" xfId="63" applyNumberFormat="1" applyFont="1" applyFill="1" applyBorder="1" applyAlignment="1">
      <alignment horizontal="center" vertical="center"/>
    </xf>
    <xf numFmtId="9" fontId="35" fillId="42" borderId="11" xfId="63" applyNumberFormat="1" applyFont="1" applyFill="1" applyBorder="1" applyAlignment="1">
      <alignment horizontal="center" vertical="center"/>
    </xf>
    <xf numFmtId="9" fontId="35" fillId="42" borderId="12" xfId="63" applyNumberFormat="1" applyFont="1" applyFill="1" applyBorder="1" applyAlignment="1">
      <alignment horizontal="center" vertical="center"/>
    </xf>
    <xf numFmtId="0" fontId="36" fillId="42" borderId="10" xfId="63" applyFont="1" applyFill="1" applyBorder="1" applyAlignment="1">
      <alignment horizontal="center" vertical="center"/>
    </xf>
    <xf numFmtId="0" fontId="36" fillId="42" borderId="11" xfId="63" applyFont="1" applyFill="1" applyBorder="1" applyAlignment="1">
      <alignment horizontal="center" vertical="center"/>
    </xf>
    <xf numFmtId="0" fontId="36" fillId="42" borderId="12" xfId="63" applyFont="1" applyFill="1" applyBorder="1" applyAlignment="1">
      <alignment horizontal="center" vertical="center"/>
    </xf>
    <xf numFmtId="0" fontId="55" fillId="42" borderId="10" xfId="63" applyFont="1" applyFill="1" applyBorder="1" applyAlignment="1">
      <alignment horizontal="center" vertical="center" wrapText="1"/>
    </xf>
    <xf numFmtId="0" fontId="55" fillId="42" borderId="11" xfId="63" applyFont="1" applyFill="1" applyBorder="1" applyAlignment="1">
      <alignment horizontal="center" vertical="center" wrapText="1"/>
    </xf>
    <xf numFmtId="0" fontId="55" fillId="42" borderId="12" xfId="63" applyFont="1" applyFill="1" applyBorder="1" applyAlignment="1">
      <alignment horizontal="center" vertical="center" wrapText="1"/>
    </xf>
    <xf numFmtId="9" fontId="34" fillId="36" borderId="10" xfId="63" applyNumberFormat="1" applyFont="1" applyFill="1" applyBorder="1" applyAlignment="1">
      <alignment horizontal="center" vertical="center"/>
    </xf>
    <xf numFmtId="9" fontId="34" fillId="36" borderId="11" xfId="63" applyNumberFormat="1" applyFont="1" applyFill="1" applyBorder="1" applyAlignment="1">
      <alignment horizontal="center" vertical="center"/>
    </xf>
    <xf numFmtId="9" fontId="34" fillId="36" borderId="12" xfId="63" applyNumberFormat="1" applyFont="1" applyFill="1" applyBorder="1" applyAlignment="1">
      <alignment horizontal="center" vertical="center"/>
    </xf>
    <xf numFmtId="0" fontId="34" fillId="36" borderId="10" xfId="63" applyFont="1" applyFill="1" applyBorder="1" applyAlignment="1">
      <alignment horizontal="center" vertical="center"/>
    </xf>
    <xf numFmtId="0" fontId="34" fillId="36" borderId="11" xfId="63" applyFont="1" applyFill="1" applyBorder="1" applyAlignment="1">
      <alignment horizontal="center" vertical="center"/>
    </xf>
    <xf numFmtId="0" fontId="34" fillId="36" borderId="12" xfId="63" applyFont="1" applyFill="1" applyBorder="1" applyAlignment="1">
      <alignment horizontal="center" vertical="center"/>
    </xf>
    <xf numFmtId="0" fontId="34" fillId="33" borderId="10" xfId="63" applyFont="1" applyFill="1" applyBorder="1" applyAlignment="1">
      <alignment horizontal="center" vertical="center"/>
    </xf>
    <xf numFmtId="0" fontId="34" fillId="33" borderId="11" xfId="63" applyFont="1" applyFill="1" applyBorder="1" applyAlignment="1">
      <alignment horizontal="center" vertical="center"/>
    </xf>
    <xf numFmtId="0" fontId="34" fillId="33" borderId="12" xfId="63" applyFont="1" applyFill="1" applyBorder="1" applyAlignment="1">
      <alignment horizontal="center" vertical="center"/>
    </xf>
    <xf numFmtId="0" fontId="35" fillId="35" borderId="10" xfId="63" applyFont="1" applyFill="1" applyBorder="1" applyAlignment="1">
      <alignment horizontal="center" vertical="center" wrapText="1"/>
    </xf>
    <xf numFmtId="0" fontId="35" fillId="35" borderId="11" xfId="63" applyFont="1" applyFill="1" applyBorder="1" applyAlignment="1">
      <alignment horizontal="center" vertical="center" wrapText="1"/>
    </xf>
    <xf numFmtId="0" fontId="35" fillId="35" borderId="12" xfId="63" applyFont="1" applyFill="1" applyBorder="1" applyAlignment="1">
      <alignment horizontal="center" vertical="center" wrapText="1"/>
    </xf>
    <xf numFmtId="0" fontId="34" fillId="36" borderId="10" xfId="63" applyFont="1" applyFill="1" applyBorder="1" applyAlignment="1">
      <alignment horizontal="center" vertical="center" wrapText="1"/>
    </xf>
    <xf numFmtId="0" fontId="34" fillId="36" borderId="11" xfId="63" applyFont="1" applyFill="1" applyBorder="1" applyAlignment="1">
      <alignment horizontal="center" vertical="center" wrapText="1"/>
    </xf>
    <xf numFmtId="0" fontId="34" fillId="36" borderId="12" xfId="63" applyFont="1" applyFill="1" applyBorder="1" applyAlignment="1">
      <alignment horizontal="center" vertical="center" wrapText="1"/>
    </xf>
    <xf numFmtId="0" fontId="31" fillId="35" borderId="10" xfId="63" applyFont="1" applyFill="1" applyBorder="1" applyAlignment="1">
      <alignment horizontal="center" vertical="center"/>
    </xf>
    <xf numFmtId="0" fontId="31" fillId="35" borderId="11" xfId="63" applyFont="1" applyFill="1" applyBorder="1" applyAlignment="1">
      <alignment horizontal="center" vertical="center"/>
    </xf>
    <xf numFmtId="0" fontId="31" fillId="35" borderId="12" xfId="63" applyFont="1" applyFill="1" applyBorder="1" applyAlignment="1">
      <alignment horizontal="center" vertical="center"/>
    </xf>
    <xf numFmtId="0" fontId="34" fillId="35" borderId="10" xfId="63" applyFont="1" applyFill="1" applyBorder="1" applyAlignment="1">
      <alignment horizontal="center" vertical="center"/>
    </xf>
    <xf numFmtId="0" fontId="34" fillId="35" borderId="11" xfId="63" applyFont="1" applyFill="1" applyBorder="1" applyAlignment="1">
      <alignment horizontal="center" vertical="center"/>
    </xf>
    <xf numFmtId="0" fontId="34" fillId="35" borderId="12" xfId="63" applyFont="1" applyFill="1" applyBorder="1" applyAlignment="1">
      <alignment horizontal="center" vertical="center"/>
    </xf>
    <xf numFmtId="0" fontId="34" fillId="40" borderId="10" xfId="63" applyFont="1" applyFill="1" applyBorder="1" applyAlignment="1">
      <alignment horizontal="center" vertical="center" wrapText="1"/>
    </xf>
    <xf numFmtId="0" fontId="34" fillId="40" borderId="11" xfId="63" applyFont="1" applyFill="1" applyBorder="1" applyAlignment="1">
      <alignment horizontal="center" vertical="center" wrapText="1"/>
    </xf>
    <xf numFmtId="0" fontId="34" fillId="40" borderId="12" xfId="63" applyFont="1" applyFill="1" applyBorder="1" applyAlignment="1">
      <alignment horizontal="center" vertical="center" wrapText="1"/>
    </xf>
    <xf numFmtId="0" fontId="35" fillId="35" borderId="10" xfId="63" applyFont="1" applyFill="1" applyBorder="1" applyAlignment="1">
      <alignment horizontal="center" vertical="center"/>
    </xf>
    <xf numFmtId="0" fontId="35" fillId="35" borderId="11" xfId="63" applyFont="1" applyFill="1" applyBorder="1" applyAlignment="1">
      <alignment horizontal="center" vertical="center"/>
    </xf>
    <xf numFmtId="0" fontId="35" fillId="35" borderId="12" xfId="63" applyFont="1" applyFill="1" applyBorder="1" applyAlignment="1">
      <alignment horizontal="center" vertical="center"/>
    </xf>
    <xf numFmtId="0" fontId="34" fillId="40" borderId="11" xfId="63" applyFont="1" applyFill="1" applyBorder="1" applyAlignment="1">
      <alignment horizontal="left" vertical="center" wrapText="1"/>
    </xf>
    <xf numFmtId="0" fontId="34" fillId="40" borderId="11" xfId="63" applyFont="1" applyFill="1" applyBorder="1" applyAlignment="1">
      <alignment horizontal="left" vertical="center"/>
    </xf>
    <xf numFmtId="0" fontId="34" fillId="40" borderId="12" xfId="63" applyFont="1" applyFill="1" applyBorder="1" applyAlignment="1">
      <alignment horizontal="left" vertical="center"/>
    </xf>
    <xf numFmtId="9" fontId="34" fillId="35" borderId="10" xfId="63" applyNumberFormat="1" applyFont="1" applyFill="1" applyBorder="1" applyAlignment="1">
      <alignment horizontal="center" vertical="center"/>
    </xf>
    <xf numFmtId="9" fontId="34" fillId="35" borderId="11" xfId="63" applyNumberFormat="1" applyFont="1" applyFill="1" applyBorder="1" applyAlignment="1">
      <alignment horizontal="center" vertical="center"/>
    </xf>
    <xf numFmtId="9" fontId="34" fillId="35" borderId="12" xfId="63" applyNumberFormat="1" applyFont="1" applyFill="1" applyBorder="1" applyAlignment="1">
      <alignment horizontal="center" vertical="center"/>
    </xf>
    <xf numFmtId="0" fontId="40" fillId="35" borderId="10" xfId="63" applyFont="1" applyFill="1" applyBorder="1" applyAlignment="1">
      <alignment horizontal="center" vertical="center" wrapText="1"/>
    </xf>
    <xf numFmtId="0" fontId="40" fillId="35" borderId="11" xfId="63" applyFont="1" applyFill="1" applyBorder="1" applyAlignment="1">
      <alignment horizontal="center" vertical="center" wrapText="1"/>
    </xf>
    <xf numFmtId="0" fontId="40" fillId="35" borderId="12" xfId="63" applyFont="1" applyFill="1" applyBorder="1" applyAlignment="1">
      <alignment horizontal="center" vertical="center" wrapText="1"/>
    </xf>
    <xf numFmtId="0" fontId="32" fillId="35" borderId="10" xfId="63" applyFont="1" applyFill="1" applyBorder="1" applyAlignment="1">
      <alignment horizontal="center" vertical="center"/>
    </xf>
    <xf numFmtId="0" fontId="32" fillId="35" borderId="11" xfId="63" applyFont="1" applyFill="1" applyBorder="1" applyAlignment="1">
      <alignment horizontal="center" vertical="center"/>
    </xf>
    <xf numFmtId="0" fontId="32" fillId="35" borderId="12" xfId="63" applyFont="1" applyFill="1" applyBorder="1" applyAlignment="1">
      <alignment horizontal="center" vertical="center"/>
    </xf>
    <xf numFmtId="0" fontId="34" fillId="0" borderId="10" xfId="63" applyFont="1" applyFill="1" applyBorder="1" applyAlignment="1">
      <alignment horizontal="left" vertical="center"/>
    </xf>
    <xf numFmtId="0" fontId="34" fillId="0" borderId="11" xfId="63" applyFont="1" applyFill="1" applyBorder="1" applyAlignment="1">
      <alignment horizontal="left" vertical="center"/>
    </xf>
    <xf numFmtId="0" fontId="34" fillId="0" borderId="12" xfId="63" applyFont="1" applyFill="1" applyBorder="1" applyAlignment="1">
      <alignment horizontal="left" vertical="center"/>
    </xf>
    <xf numFmtId="0" fontId="34" fillId="35" borderId="10" xfId="63" applyFont="1" applyFill="1" applyBorder="1" applyAlignment="1">
      <alignment horizontal="center" vertical="center" wrapText="1"/>
    </xf>
    <xf numFmtId="0" fontId="34" fillId="35" borderId="11" xfId="63" applyFont="1" applyFill="1" applyBorder="1" applyAlignment="1">
      <alignment horizontal="center" vertical="center" wrapText="1"/>
    </xf>
    <xf numFmtId="0" fontId="34" fillId="35" borderId="12" xfId="63" applyFont="1" applyFill="1" applyBorder="1" applyAlignment="1">
      <alignment horizontal="center" vertical="center" wrapText="1"/>
    </xf>
    <xf numFmtId="0" fontId="32" fillId="0" borderId="10" xfId="63" applyFont="1" applyBorder="1" applyAlignment="1">
      <alignment horizontal="center" vertical="center" wrapText="1"/>
    </xf>
    <xf numFmtId="0" fontId="32" fillId="0" borderId="11" xfId="63" applyFont="1" applyBorder="1" applyAlignment="1">
      <alignment horizontal="center" vertical="center" wrapText="1"/>
    </xf>
    <xf numFmtId="0" fontId="32" fillId="0" borderId="12" xfId="63" applyFont="1" applyBorder="1" applyAlignment="1">
      <alignment horizontal="center" vertical="center" wrapText="1"/>
    </xf>
    <xf numFmtId="0" fontId="22" fillId="35" borderId="11" xfId="63" applyFont="1" applyFill="1" applyBorder="1" applyAlignment="1">
      <alignment horizontal="center" vertical="center" wrapText="1"/>
    </xf>
    <xf numFmtId="0" fontId="22" fillId="35" borderId="11" xfId="63" applyFont="1" applyFill="1" applyBorder="1" applyAlignment="1">
      <alignment horizontal="center" vertical="center"/>
    </xf>
    <xf numFmtId="0" fontId="22" fillId="35" borderId="12" xfId="63" applyFont="1" applyFill="1" applyBorder="1" applyAlignment="1">
      <alignment horizontal="center" vertical="center"/>
    </xf>
    <xf numFmtId="0" fontId="22" fillId="33" borderId="13" xfId="63" applyFont="1" applyFill="1" applyBorder="1" applyAlignment="1">
      <alignment horizontal="center" vertical="center"/>
    </xf>
    <xf numFmtId="0" fontId="31" fillId="0" borderId="10" xfId="63" applyFont="1" applyBorder="1" applyAlignment="1">
      <alignment horizontal="center"/>
    </xf>
    <xf numFmtId="0" fontId="31" fillId="0" borderId="11" xfId="63" applyFont="1" applyBorder="1" applyAlignment="1">
      <alignment horizontal="center"/>
    </xf>
    <xf numFmtId="0" fontId="31" fillId="0" borderId="12" xfId="63" applyFont="1" applyBorder="1" applyAlignment="1">
      <alignment horizontal="center"/>
    </xf>
    <xf numFmtId="0" fontId="42" fillId="33" borderId="10" xfId="63" applyFont="1" applyFill="1" applyBorder="1" applyAlignment="1">
      <alignment horizontal="left" vertical="center" wrapText="1"/>
    </xf>
    <xf numFmtId="0" fontId="42" fillId="33" borderId="11" xfId="63" applyFont="1" applyFill="1" applyBorder="1" applyAlignment="1">
      <alignment horizontal="left" vertical="center" wrapText="1"/>
    </xf>
    <xf numFmtId="0" fontId="42" fillId="33" borderId="12" xfId="63" applyFont="1" applyFill="1" applyBorder="1" applyAlignment="1">
      <alignment horizontal="left" vertical="center" wrapText="1"/>
    </xf>
    <xf numFmtId="0" fontId="39" fillId="36" borderId="10" xfId="63" applyFont="1" applyFill="1" applyBorder="1" applyAlignment="1">
      <alignment horizontal="center" vertical="center" wrapText="1"/>
    </xf>
    <xf numFmtId="0" fontId="39" fillId="36" borderId="11" xfId="63" applyFont="1" applyFill="1" applyBorder="1" applyAlignment="1">
      <alignment horizontal="center" vertical="center" wrapText="1"/>
    </xf>
    <xf numFmtId="0" fontId="39" fillId="36" borderId="12" xfId="63" applyFont="1" applyFill="1" applyBorder="1" applyAlignment="1">
      <alignment horizontal="center" vertical="center" wrapText="1"/>
    </xf>
    <xf numFmtId="0" fontId="62" fillId="0" borderId="11" xfId="63" applyFont="1" applyBorder="1"/>
    <xf numFmtId="0" fontId="62" fillId="0" borderId="12" xfId="63" applyFont="1" applyBorder="1"/>
    <xf numFmtId="0" fontId="25" fillId="34" borderId="10" xfId="63" applyFont="1" applyFill="1" applyBorder="1" applyAlignment="1">
      <alignment horizontal="center" vertical="center" wrapText="1"/>
    </xf>
    <xf numFmtId="49" fontId="31" fillId="33" borderId="10" xfId="63" applyNumberFormat="1" applyFont="1" applyFill="1" applyBorder="1" applyAlignment="1">
      <alignment horizontal="center" vertical="center"/>
    </xf>
    <xf numFmtId="49" fontId="31" fillId="33" borderId="11" xfId="63" applyNumberFormat="1" applyFont="1" applyFill="1" applyBorder="1" applyAlignment="1">
      <alignment horizontal="center" vertical="center"/>
    </xf>
    <xf numFmtId="49" fontId="31" fillId="33" borderId="12" xfId="63" applyNumberFormat="1" applyFont="1" applyFill="1" applyBorder="1" applyAlignment="1">
      <alignment horizontal="center" vertical="center"/>
    </xf>
    <xf numFmtId="0" fontId="65" fillId="0" borderId="17" xfId="63" applyFont="1" applyBorder="1" applyAlignment="1">
      <alignment horizontal="center" wrapText="1"/>
    </xf>
    <xf numFmtId="0" fontId="64" fillId="34" borderId="0" xfId="63" applyFont="1" applyFill="1" applyAlignment="1">
      <alignment horizontal="center"/>
    </xf>
    <xf numFmtId="0" fontId="34" fillId="33" borderId="13" xfId="63" applyFont="1" applyFill="1" applyBorder="1" applyAlignment="1">
      <alignment horizontal="center" vertical="center"/>
    </xf>
    <xf numFmtId="49" fontId="34" fillId="33" borderId="10" xfId="63" applyNumberFormat="1" applyFont="1" applyFill="1" applyBorder="1" applyAlignment="1">
      <alignment horizontal="center" vertical="center"/>
    </xf>
    <xf numFmtId="49" fontId="34" fillId="33" borderId="11" xfId="63" applyNumberFormat="1" applyFont="1" applyFill="1" applyBorder="1" applyAlignment="1">
      <alignment horizontal="center" vertical="center"/>
    </xf>
    <xf numFmtId="49" fontId="34" fillId="33" borderId="12" xfId="63" applyNumberFormat="1" applyFont="1" applyFill="1" applyBorder="1" applyAlignment="1">
      <alignment horizontal="center" vertical="center"/>
    </xf>
    <xf numFmtId="0" fontId="35" fillId="0" borderId="10" xfId="63" applyFont="1" applyBorder="1" applyAlignment="1">
      <alignment horizontal="center"/>
    </xf>
    <xf numFmtId="0" fontId="35" fillId="0" borderId="11" xfId="63" applyFont="1" applyBorder="1" applyAlignment="1">
      <alignment horizontal="center"/>
    </xf>
    <xf numFmtId="0" fontId="35" fillId="0" borderId="12" xfId="63" applyFont="1" applyBorder="1" applyAlignment="1">
      <alignment horizontal="center"/>
    </xf>
    <xf numFmtId="0" fontId="34" fillId="0" borderId="10" xfId="63" applyFont="1" applyBorder="1" applyAlignment="1">
      <alignment horizontal="center" vertical="center" wrapText="1"/>
    </xf>
    <xf numFmtId="0" fontId="34" fillId="0" borderId="11" xfId="63" applyFont="1" applyBorder="1" applyAlignment="1">
      <alignment horizontal="center" vertical="center" wrapText="1"/>
    </xf>
    <xf numFmtId="0" fontId="34" fillId="0" borderId="12" xfId="63" applyFont="1" applyBorder="1" applyAlignment="1">
      <alignment horizontal="center" vertical="center" wrapText="1"/>
    </xf>
    <xf numFmtId="0" fontId="32" fillId="33" borderId="10" xfId="63" applyFont="1" applyFill="1" applyBorder="1" applyAlignment="1">
      <alignment horizontal="left" vertical="center" wrapText="1"/>
    </xf>
    <xf numFmtId="0" fontId="32" fillId="33" borderId="11" xfId="63" applyFont="1" applyFill="1" applyBorder="1" applyAlignment="1">
      <alignment horizontal="left" vertical="center" wrapText="1"/>
    </xf>
    <xf numFmtId="0" fontId="32" fillId="33" borderId="12" xfId="63" applyFont="1" applyFill="1" applyBorder="1" applyAlignment="1">
      <alignment horizontal="left" vertical="center" wrapText="1"/>
    </xf>
    <xf numFmtId="0" fontId="34" fillId="33" borderId="10" xfId="63" applyFont="1" applyFill="1" applyBorder="1" applyAlignment="1">
      <alignment horizontal="left" vertical="center"/>
    </xf>
    <xf numFmtId="0" fontId="34" fillId="33" borderId="11" xfId="63" applyFont="1" applyFill="1" applyBorder="1" applyAlignment="1">
      <alignment horizontal="left" vertical="center"/>
    </xf>
    <xf numFmtId="0" fontId="34" fillId="33" borderId="12" xfId="63" applyFont="1" applyFill="1" applyBorder="1" applyAlignment="1">
      <alignment horizontal="left" vertical="center"/>
    </xf>
    <xf numFmtId="0" fontId="22" fillId="35" borderId="10" xfId="63" applyFont="1" applyFill="1" applyBorder="1" applyAlignment="1">
      <alignment horizontal="center" vertical="center"/>
    </xf>
    <xf numFmtId="0" fontId="22" fillId="0" borderId="14" xfId="63" applyFont="1" applyBorder="1" applyAlignment="1">
      <alignment horizontal="left" vertical="center" wrapText="1"/>
    </xf>
    <xf numFmtId="0" fontId="22" fillId="0" borderId="17" xfId="63" applyFont="1" applyBorder="1" applyAlignment="1">
      <alignment horizontal="left" vertical="center" wrapText="1"/>
    </xf>
    <xf numFmtId="0" fontId="22" fillId="0" borderId="18" xfId="63" applyFont="1" applyBorder="1" applyAlignment="1">
      <alignment horizontal="left" vertical="center" wrapText="1"/>
    </xf>
    <xf numFmtId="0" fontId="22" fillId="0" borderId="16" xfId="63" applyFont="1" applyBorder="1" applyAlignment="1">
      <alignment horizontal="left" vertical="center" wrapText="1"/>
    </xf>
    <xf numFmtId="0" fontId="22" fillId="0" borderId="0" xfId="63" applyFont="1" applyBorder="1" applyAlignment="1">
      <alignment horizontal="left" vertical="center" wrapText="1"/>
    </xf>
    <xf numFmtId="0" fontId="22" fillId="0" borderId="19" xfId="63" applyFont="1" applyBorder="1" applyAlignment="1">
      <alignment horizontal="left" vertical="center" wrapText="1"/>
    </xf>
    <xf numFmtId="0" fontId="22" fillId="0" borderId="20" xfId="63" applyFont="1" applyBorder="1" applyAlignment="1">
      <alignment horizontal="left" vertical="center" wrapText="1"/>
    </xf>
    <xf numFmtId="0" fontId="22" fillId="0" borderId="21" xfId="63" applyFont="1" applyBorder="1" applyAlignment="1">
      <alignment horizontal="left" vertical="center" wrapText="1"/>
    </xf>
    <xf numFmtId="0" fontId="22" fillId="0" borderId="22" xfId="63" applyFont="1" applyBorder="1" applyAlignment="1">
      <alignment horizontal="left" vertical="center" wrapText="1"/>
    </xf>
    <xf numFmtId="0" fontId="32" fillId="35" borderId="10" xfId="63" applyFont="1" applyFill="1" applyBorder="1" applyAlignment="1">
      <alignment horizontal="left" vertical="center" wrapText="1"/>
    </xf>
    <xf numFmtId="0" fontId="32" fillId="35" borderId="11" xfId="63" applyFont="1" applyFill="1" applyBorder="1" applyAlignment="1">
      <alignment horizontal="left" vertical="center" wrapText="1"/>
    </xf>
    <xf numFmtId="0" fontId="32" fillId="35" borderId="12" xfId="63" applyFont="1" applyFill="1" applyBorder="1" applyAlignment="1">
      <alignment horizontal="left" vertical="center" wrapText="1"/>
    </xf>
    <xf numFmtId="0" fontId="25" fillId="34" borderId="10" xfId="77" applyFont="1" applyFill="1" applyBorder="1" applyAlignment="1">
      <alignment horizontal="left" vertical="center" wrapText="1"/>
    </xf>
    <xf numFmtId="0" fontId="25" fillId="34" borderId="11" xfId="77" applyFont="1" applyFill="1" applyBorder="1" applyAlignment="1">
      <alignment horizontal="left" vertical="center" wrapText="1"/>
    </xf>
    <xf numFmtId="0" fontId="25" fillId="34" borderId="12" xfId="77" applyFont="1" applyFill="1" applyBorder="1" applyAlignment="1">
      <alignment horizontal="left" vertical="center" wrapText="1"/>
    </xf>
    <xf numFmtId="0" fontId="22" fillId="33" borderId="10" xfId="77" applyFont="1" applyFill="1" applyBorder="1" applyAlignment="1">
      <alignment horizontal="left" vertical="center" wrapText="1"/>
    </xf>
    <xf numFmtId="0" fontId="22" fillId="33" borderId="11" xfId="77" applyFont="1" applyFill="1" applyBorder="1" applyAlignment="1">
      <alignment horizontal="left" vertical="center" wrapText="1"/>
    </xf>
    <xf numFmtId="0" fontId="22" fillId="33" borderId="12" xfId="77" applyFont="1" applyFill="1" applyBorder="1" applyAlignment="1">
      <alignment horizontal="left" vertical="center" wrapText="1"/>
    </xf>
    <xf numFmtId="0" fontId="34" fillId="35" borderId="10" xfId="77" applyFont="1" applyFill="1" applyBorder="1" applyAlignment="1">
      <alignment horizontal="center" vertical="center"/>
    </xf>
    <xf numFmtId="0" fontId="34" fillId="35" borderId="11" xfId="77" applyFont="1" applyFill="1" applyBorder="1" applyAlignment="1">
      <alignment horizontal="center" vertical="center"/>
    </xf>
    <xf numFmtId="0" fontId="34" fillId="35" borderId="12" xfId="77" applyFont="1" applyFill="1" applyBorder="1" applyAlignment="1">
      <alignment horizontal="center" vertical="center"/>
    </xf>
    <xf numFmtId="0" fontId="61" fillId="34" borderId="0" xfId="77" applyFont="1" applyFill="1" applyAlignment="1">
      <alignment horizontal="center"/>
    </xf>
    <xf numFmtId="0" fontId="22" fillId="33" borderId="13" xfId="77" applyFont="1" applyFill="1" applyBorder="1" applyAlignment="1">
      <alignment horizontal="center" vertical="center"/>
    </xf>
    <xf numFmtId="0" fontId="32" fillId="0" borderId="14" xfId="77" applyFont="1" applyBorder="1" applyAlignment="1">
      <alignment horizontal="left" vertical="center" wrapText="1"/>
    </xf>
    <xf numFmtId="0" fontId="32" fillId="0" borderId="17" xfId="77" applyFont="1" applyBorder="1" applyAlignment="1">
      <alignment horizontal="left" vertical="center" wrapText="1"/>
    </xf>
    <xf numFmtId="0" fontId="32" fillId="0" borderId="18" xfId="77" applyFont="1" applyBorder="1" applyAlignment="1">
      <alignment horizontal="left" vertical="center" wrapText="1"/>
    </xf>
    <xf numFmtId="0" fontId="32" fillId="0" borderId="16" xfId="77" applyFont="1" applyBorder="1" applyAlignment="1">
      <alignment horizontal="left" vertical="center" wrapText="1"/>
    </xf>
    <xf numFmtId="0" fontId="32" fillId="0" borderId="0" xfId="77" applyFont="1" applyBorder="1" applyAlignment="1">
      <alignment horizontal="left" vertical="center" wrapText="1"/>
    </xf>
    <xf numFmtId="0" fontId="32" fillId="0" borderId="19" xfId="77" applyFont="1" applyBorder="1" applyAlignment="1">
      <alignment horizontal="left" vertical="center" wrapText="1"/>
    </xf>
    <xf numFmtId="0" fontId="32" fillId="0" borderId="20" xfId="77" applyFont="1" applyBorder="1" applyAlignment="1">
      <alignment horizontal="left" vertical="center" wrapText="1"/>
    </xf>
    <xf numFmtId="0" fontId="32" fillId="0" borderId="21" xfId="77" applyFont="1" applyBorder="1" applyAlignment="1">
      <alignment horizontal="left" vertical="center" wrapText="1"/>
    </xf>
    <xf numFmtId="0" fontId="32" fillId="0" borderId="22" xfId="77" applyFont="1" applyBorder="1" applyAlignment="1">
      <alignment horizontal="left" vertical="center" wrapText="1"/>
    </xf>
    <xf numFmtId="0" fontId="22" fillId="35" borderId="11" xfId="77" applyFont="1" applyFill="1" applyBorder="1" applyAlignment="1">
      <alignment horizontal="center" vertical="center" wrapText="1"/>
    </xf>
    <xf numFmtId="0" fontId="22" fillId="35" borderId="11" xfId="77" applyFont="1" applyFill="1" applyBorder="1" applyAlignment="1">
      <alignment horizontal="center" vertical="center"/>
    </xf>
    <xf numFmtId="0" fontId="22" fillId="35" borderId="12" xfId="77" applyFont="1" applyFill="1" applyBorder="1" applyAlignment="1">
      <alignment horizontal="center" vertical="center"/>
    </xf>
    <xf numFmtId="0" fontId="34" fillId="0" borderId="23" xfId="77" applyFont="1" applyFill="1" applyBorder="1" applyAlignment="1">
      <alignment horizontal="center" vertical="center" wrapText="1"/>
    </xf>
    <xf numFmtId="0" fontId="34" fillId="0" borderId="24" xfId="77" applyFont="1" applyFill="1" applyBorder="1" applyAlignment="1">
      <alignment horizontal="center" vertical="center" wrapText="1"/>
    </xf>
    <xf numFmtId="9" fontId="34" fillId="35" borderId="10" xfId="77" applyNumberFormat="1" applyFont="1" applyFill="1" applyBorder="1" applyAlignment="1">
      <alignment horizontal="center" vertical="center"/>
    </xf>
    <xf numFmtId="9" fontId="34" fillId="35" borderId="11" xfId="77" applyNumberFormat="1" applyFont="1" applyFill="1" applyBorder="1" applyAlignment="1">
      <alignment horizontal="center" vertical="center"/>
    </xf>
    <xf numFmtId="9" fontId="34" fillId="35" borderId="12" xfId="77" applyNumberFormat="1" applyFont="1" applyFill="1" applyBorder="1" applyAlignment="1">
      <alignment horizontal="center" vertical="center"/>
    </xf>
    <xf numFmtId="0" fontId="34" fillId="33" borderId="10" xfId="77" applyFont="1" applyFill="1" applyBorder="1" applyAlignment="1">
      <alignment horizontal="left" vertical="center" wrapText="1"/>
    </xf>
    <xf numFmtId="0" fontId="34" fillId="33" borderId="11" xfId="77" applyFont="1" applyFill="1" applyBorder="1" applyAlignment="1">
      <alignment horizontal="left" vertical="center" wrapText="1"/>
    </xf>
    <xf numFmtId="0" fontId="34" fillId="33" borderId="12" xfId="77" applyFont="1" applyFill="1" applyBorder="1" applyAlignment="1">
      <alignment horizontal="left" vertical="center" wrapText="1"/>
    </xf>
    <xf numFmtId="0" fontId="34" fillId="33" borderId="10" xfId="77" applyFont="1" applyFill="1" applyBorder="1" applyAlignment="1">
      <alignment horizontal="left" vertical="center"/>
    </xf>
    <xf numFmtId="0" fontId="34" fillId="33" borderId="11" xfId="77" applyFont="1" applyFill="1" applyBorder="1" applyAlignment="1">
      <alignment horizontal="left" vertical="center"/>
    </xf>
    <xf numFmtId="0" fontId="34" fillId="33" borderId="12" xfId="77" applyFont="1" applyFill="1" applyBorder="1" applyAlignment="1">
      <alignment horizontal="left" vertical="center"/>
    </xf>
    <xf numFmtId="0" fontId="32" fillId="33" borderId="10" xfId="0" applyFont="1" applyFill="1" applyBorder="1" applyAlignment="1">
      <alignment horizontal="center" vertical="center"/>
    </xf>
    <xf numFmtId="0" fontId="32" fillId="33" borderId="11" xfId="0" applyFont="1" applyFill="1" applyBorder="1" applyAlignment="1">
      <alignment horizontal="center" vertical="center"/>
    </xf>
    <xf numFmtId="0" fontId="32" fillId="33" borderId="12" xfId="0" applyFont="1" applyFill="1" applyBorder="1" applyAlignment="1">
      <alignment horizontal="center" vertical="center"/>
    </xf>
    <xf numFmtId="9" fontId="32" fillId="33" borderId="10" xfId="0" applyNumberFormat="1" applyFont="1" applyFill="1" applyBorder="1" applyAlignment="1">
      <alignment horizontal="center" vertical="center"/>
    </xf>
    <xf numFmtId="9" fontId="32" fillId="33" borderId="11" xfId="0" applyNumberFormat="1" applyFont="1" applyFill="1" applyBorder="1" applyAlignment="1">
      <alignment horizontal="center" vertical="center"/>
    </xf>
    <xf numFmtId="9" fontId="32" fillId="33" borderId="12" xfId="0" applyNumberFormat="1" applyFont="1" applyFill="1" applyBorder="1" applyAlignment="1">
      <alignment horizontal="center" vertical="center"/>
    </xf>
    <xf numFmtId="0" fontId="32" fillId="33" borderId="10" xfId="0" applyFont="1" applyFill="1" applyBorder="1" applyAlignment="1">
      <alignment horizontal="center" vertical="center" wrapText="1"/>
    </xf>
    <xf numFmtId="0" fontId="32" fillId="33" borderId="11" xfId="0" applyFont="1" applyFill="1" applyBorder="1" applyAlignment="1">
      <alignment horizontal="center" vertical="center" wrapText="1"/>
    </xf>
    <xf numFmtId="0" fontId="32" fillId="33" borderId="12" xfId="0" applyFont="1" applyFill="1" applyBorder="1" applyAlignment="1">
      <alignment horizontal="center" vertical="center" wrapText="1"/>
    </xf>
    <xf numFmtId="0" fontId="31" fillId="35" borderId="10" xfId="0" applyFont="1" applyFill="1" applyBorder="1" applyAlignment="1">
      <alignment horizontal="center" vertical="center"/>
    </xf>
    <xf numFmtId="0" fontId="31" fillId="35" borderId="11" xfId="0" applyFont="1" applyFill="1" applyBorder="1" applyAlignment="1">
      <alignment horizontal="center" vertical="center"/>
    </xf>
    <xf numFmtId="0" fontId="31" fillId="35" borderId="12" xfId="0" applyFont="1" applyFill="1" applyBorder="1" applyAlignment="1">
      <alignment horizontal="center" vertical="center"/>
    </xf>
    <xf numFmtId="0" fontId="22" fillId="33" borderId="10" xfId="0" applyFont="1" applyFill="1" applyBorder="1" applyAlignment="1">
      <alignment horizontal="center" vertical="center"/>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9" fontId="22" fillId="33" borderId="10" xfId="0" applyNumberFormat="1" applyFont="1" applyFill="1" applyBorder="1" applyAlignment="1">
      <alignment horizontal="center" vertical="center"/>
    </xf>
    <xf numFmtId="9" fontId="22" fillId="33" borderId="11" xfId="0" applyNumberFormat="1" applyFont="1" applyFill="1" applyBorder="1" applyAlignment="1">
      <alignment horizontal="center" vertical="center"/>
    </xf>
    <xf numFmtId="9" fontId="22" fillId="33" borderId="12" xfId="0" applyNumberFormat="1" applyFont="1" applyFill="1" applyBorder="1" applyAlignment="1">
      <alignment horizontal="center" vertical="center"/>
    </xf>
    <xf numFmtId="0" fontId="34" fillId="33" borderId="10" xfId="0" applyFont="1" applyFill="1" applyBorder="1" applyAlignment="1">
      <alignment horizontal="left" vertical="top" wrapText="1"/>
    </xf>
    <xf numFmtId="0" fontId="34" fillId="33" borderId="11" xfId="0" applyFont="1" applyFill="1" applyBorder="1" applyAlignment="1">
      <alignment horizontal="left" vertical="top" wrapText="1"/>
    </xf>
    <xf numFmtId="0" fontId="34" fillId="33" borderId="12" xfId="0" applyFont="1" applyFill="1" applyBorder="1" applyAlignment="1">
      <alignment horizontal="left" vertical="top" wrapText="1"/>
    </xf>
    <xf numFmtId="0" fontId="40" fillId="35" borderId="10" xfId="0" applyFont="1" applyFill="1" applyBorder="1" applyAlignment="1">
      <alignment horizontal="center" vertical="center" wrapText="1"/>
    </xf>
    <xf numFmtId="0" fontId="40" fillId="35" borderId="11" xfId="0" applyFont="1" applyFill="1" applyBorder="1" applyAlignment="1">
      <alignment horizontal="center" vertical="center" wrapText="1"/>
    </xf>
    <xf numFmtId="0" fontId="40" fillId="35" borderId="12" xfId="0" applyFont="1" applyFill="1" applyBorder="1" applyAlignment="1">
      <alignment horizontal="center" vertical="center" wrapText="1"/>
    </xf>
    <xf numFmtId="0" fontId="57" fillId="35" borderId="10" xfId="0" applyFont="1" applyFill="1" applyBorder="1" applyAlignment="1">
      <alignment horizontal="center" vertical="center"/>
    </xf>
    <xf numFmtId="0" fontId="57" fillId="35" borderId="11" xfId="0" applyFont="1" applyFill="1" applyBorder="1" applyAlignment="1">
      <alignment horizontal="center" vertical="center"/>
    </xf>
    <xf numFmtId="0" fontId="57" fillId="35" borderId="12" xfId="0" applyFont="1" applyFill="1" applyBorder="1" applyAlignment="1">
      <alignment horizontal="center" vertical="center"/>
    </xf>
    <xf numFmtId="0" fontId="57" fillId="33" borderId="10" xfId="0" applyFont="1" applyFill="1" applyBorder="1" applyAlignment="1">
      <alignment horizontal="left" vertical="top" wrapText="1"/>
    </xf>
    <xf numFmtId="0" fontId="57" fillId="33" borderId="11" xfId="0" applyFont="1" applyFill="1" applyBorder="1" applyAlignment="1">
      <alignment horizontal="left" vertical="top" wrapText="1"/>
    </xf>
    <xf numFmtId="0" fontId="57" fillId="33" borderId="12" xfId="0" applyFont="1" applyFill="1" applyBorder="1" applyAlignment="1">
      <alignment horizontal="left" vertical="top" wrapText="1"/>
    </xf>
    <xf numFmtId="0" fontId="57" fillId="33" borderId="10" xfId="0" applyFont="1" applyFill="1" applyBorder="1" applyAlignment="1">
      <alignment horizontal="center" vertical="center"/>
    </xf>
    <xf numFmtId="0" fontId="57" fillId="33" borderId="11" xfId="0" applyFont="1" applyFill="1" applyBorder="1" applyAlignment="1">
      <alignment horizontal="center" vertical="center"/>
    </xf>
    <xf numFmtId="0" fontId="57" fillId="33" borderId="12" xfId="0" applyFont="1" applyFill="1" applyBorder="1" applyAlignment="1">
      <alignment horizontal="center" vertical="center"/>
    </xf>
    <xf numFmtId="0" fontId="35" fillId="33" borderId="10" xfId="0" applyFont="1" applyFill="1" applyBorder="1" applyAlignment="1">
      <alignment horizontal="center" vertical="center" wrapText="1"/>
    </xf>
    <xf numFmtId="0" fontId="35" fillId="33" borderId="11" xfId="0" applyFont="1" applyFill="1" applyBorder="1" applyAlignment="1">
      <alignment horizontal="center" vertical="center" wrapText="1"/>
    </xf>
    <xf numFmtId="0" fontId="35" fillId="33" borderId="12" xfId="0" applyFont="1" applyFill="1" applyBorder="1" applyAlignment="1">
      <alignment horizontal="center" vertical="center" wrapText="1"/>
    </xf>
    <xf numFmtId="0" fontId="34" fillId="33" borderId="23" xfId="0" applyFont="1" applyFill="1" applyBorder="1" applyAlignment="1">
      <alignment vertical="center" wrapText="1"/>
    </xf>
    <xf numFmtId="0" fontId="34" fillId="33" borderId="15" xfId="0" applyFont="1" applyFill="1" applyBorder="1" applyAlignment="1">
      <alignment vertical="center" wrapText="1"/>
    </xf>
    <xf numFmtId="0" fontId="34" fillId="33" borderId="24" xfId="0" applyFont="1" applyFill="1" applyBorder="1" applyAlignment="1">
      <alignment vertical="center" wrapText="1"/>
    </xf>
    <xf numFmtId="0" fontId="34" fillId="33" borderId="14" xfId="0" applyFont="1" applyFill="1" applyBorder="1" applyAlignment="1">
      <alignment horizontal="left" vertical="center" wrapText="1"/>
    </xf>
    <xf numFmtId="0" fontId="34" fillId="33" borderId="17" xfId="0" applyFont="1" applyFill="1" applyBorder="1" applyAlignment="1">
      <alignment horizontal="left" vertical="center" wrapText="1"/>
    </xf>
    <xf numFmtId="0" fontId="34" fillId="33" borderId="18" xfId="0" applyFont="1" applyFill="1" applyBorder="1" applyAlignment="1">
      <alignment horizontal="left" vertical="center" wrapText="1"/>
    </xf>
    <xf numFmtId="0" fontId="34" fillId="33" borderId="16" xfId="0" applyFont="1" applyFill="1" applyBorder="1" applyAlignment="1">
      <alignment horizontal="left" vertical="center" wrapText="1"/>
    </xf>
    <xf numFmtId="0" fontId="34" fillId="33" borderId="0" xfId="0" applyFont="1" applyFill="1" applyBorder="1" applyAlignment="1">
      <alignment horizontal="left" vertical="center" wrapText="1"/>
    </xf>
    <xf numFmtId="0" fontId="34" fillId="33" borderId="19" xfId="0" applyFont="1" applyFill="1" applyBorder="1" applyAlignment="1">
      <alignment horizontal="left" vertical="center" wrapText="1"/>
    </xf>
    <xf numFmtId="0" fontId="34" fillId="33" borderId="20" xfId="0" applyFont="1" applyFill="1" applyBorder="1" applyAlignment="1">
      <alignment horizontal="left" vertical="center" wrapText="1"/>
    </xf>
    <xf numFmtId="0" fontId="34" fillId="33" borderId="21" xfId="0" applyFont="1" applyFill="1" applyBorder="1" applyAlignment="1">
      <alignment horizontal="left" vertical="center" wrapText="1"/>
    </xf>
    <xf numFmtId="0" fontId="34" fillId="33" borderId="22" xfId="0" applyFont="1" applyFill="1" applyBorder="1" applyAlignment="1">
      <alignment horizontal="left" vertical="center" wrapText="1"/>
    </xf>
    <xf numFmtId="0" fontId="20" fillId="0" borderId="0" xfId="0" applyFont="1" applyAlignment="1">
      <alignment horizontal="center"/>
    </xf>
    <xf numFmtId="0" fontId="22" fillId="33" borderId="13" xfId="0" applyFont="1" applyFill="1" applyBorder="1" applyAlignment="1">
      <alignment horizontal="center" vertical="center"/>
    </xf>
    <xf numFmtId="0" fontId="32" fillId="0" borderId="14" xfId="0" applyFont="1" applyBorder="1" applyAlignment="1">
      <alignment horizontal="left" vertical="top" wrapText="1"/>
    </xf>
    <xf numFmtId="0" fontId="32" fillId="0" borderId="17" xfId="0" applyFont="1" applyBorder="1" applyAlignment="1">
      <alignment horizontal="left" vertical="top" wrapText="1"/>
    </xf>
    <xf numFmtId="0" fontId="32" fillId="0" borderId="18" xfId="0" applyFont="1" applyBorder="1" applyAlignment="1">
      <alignment horizontal="left" vertical="top" wrapText="1"/>
    </xf>
    <xf numFmtId="0" fontId="57" fillId="33" borderId="10" xfId="0" applyFont="1" applyFill="1" applyBorder="1" applyAlignment="1">
      <alignment horizontal="center" vertical="center" wrapText="1"/>
    </xf>
    <xf numFmtId="0" fontId="57" fillId="33" borderId="11" xfId="0" applyFont="1" applyFill="1" applyBorder="1" applyAlignment="1">
      <alignment horizontal="center" vertical="center" wrapText="1"/>
    </xf>
    <xf numFmtId="0" fontId="57" fillId="33" borderId="12" xfId="0" applyFont="1" applyFill="1" applyBorder="1" applyAlignment="1">
      <alignment horizontal="center" vertical="center" wrapText="1"/>
    </xf>
    <xf numFmtId="0" fontId="22" fillId="37" borderId="10" xfId="0" applyFont="1" applyFill="1" applyBorder="1" applyAlignment="1">
      <alignment horizontal="left" vertical="top" wrapText="1"/>
    </xf>
    <xf numFmtId="0" fontId="22" fillId="37" borderId="11" xfId="0" applyFont="1" applyFill="1" applyBorder="1" applyAlignment="1">
      <alignment horizontal="left" vertical="top"/>
    </xf>
    <xf numFmtId="0" fontId="22" fillId="37" borderId="12" xfId="0" applyFont="1" applyFill="1" applyBorder="1" applyAlignment="1">
      <alignment horizontal="left" vertical="top"/>
    </xf>
    <xf numFmtId="0" fontId="60" fillId="33" borderId="10" xfId="0" applyFont="1" applyFill="1" applyBorder="1" applyAlignment="1">
      <alignment horizontal="center" vertical="center" wrapText="1"/>
    </xf>
    <xf numFmtId="0" fontId="60" fillId="33" borderId="11" xfId="0" applyFont="1" applyFill="1" applyBorder="1" applyAlignment="1">
      <alignment horizontal="center" vertical="center" wrapText="1"/>
    </xf>
    <xf numFmtId="0" fontId="60" fillId="33" borderId="12" xfId="0" applyFont="1" applyFill="1" applyBorder="1" applyAlignment="1">
      <alignment horizontal="center" vertical="center" wrapText="1"/>
    </xf>
    <xf numFmtId="0" fontId="60" fillId="33" borderId="10" xfId="0" applyFont="1" applyFill="1" applyBorder="1" applyAlignment="1">
      <alignment horizontal="center" vertical="center"/>
    </xf>
    <xf numFmtId="0" fontId="60" fillId="33" borderId="11" xfId="0" applyFont="1" applyFill="1" applyBorder="1" applyAlignment="1">
      <alignment horizontal="center" vertical="center"/>
    </xf>
    <xf numFmtId="0" fontId="60" fillId="33" borderId="12" xfId="0" applyFont="1" applyFill="1" applyBorder="1" applyAlignment="1">
      <alignment horizontal="center" vertical="center"/>
    </xf>
    <xf numFmtId="0" fontId="1" fillId="0" borderId="0" xfId="78"/>
    <xf numFmtId="0" fontId="20" fillId="0" borderId="0" xfId="78" applyFont="1" applyAlignment="1">
      <alignment horizontal="center"/>
    </xf>
    <xf numFmtId="0" fontId="20" fillId="0" borderId="0" xfId="78" applyFont="1" applyAlignment="1"/>
    <xf numFmtId="0" fontId="61" fillId="34" borderId="0" xfId="78" applyFont="1" applyFill="1" applyAlignment="1">
      <alignment horizontal="center"/>
    </xf>
    <xf numFmtId="0" fontId="20" fillId="0" borderId="0" xfId="78" applyFont="1" applyAlignment="1">
      <alignment horizontal="center"/>
    </xf>
    <xf numFmtId="0" fontId="31" fillId="33" borderId="13" xfId="78" applyFont="1" applyFill="1" applyBorder="1" applyAlignment="1">
      <alignment horizontal="left" vertical="center" wrapText="1"/>
    </xf>
    <xf numFmtId="0" fontId="22" fillId="33" borderId="13" xfId="78" applyFont="1" applyFill="1" applyBorder="1" applyAlignment="1">
      <alignment horizontal="center" vertical="center"/>
    </xf>
    <xf numFmtId="49" fontId="22" fillId="33" borderId="10" xfId="78" applyNumberFormat="1" applyFont="1" applyFill="1" applyBorder="1" applyAlignment="1">
      <alignment horizontal="center" vertical="center"/>
    </xf>
    <xf numFmtId="49" fontId="22" fillId="33" borderId="11" xfId="78" applyNumberFormat="1" applyFont="1" applyFill="1" applyBorder="1" applyAlignment="1">
      <alignment horizontal="center" vertical="center"/>
    </xf>
    <xf numFmtId="49" fontId="22" fillId="33" borderId="12" xfId="78" applyNumberFormat="1" applyFont="1" applyFill="1" applyBorder="1" applyAlignment="1">
      <alignment horizontal="center" vertical="center"/>
    </xf>
    <xf numFmtId="0" fontId="22" fillId="33" borderId="10" xfId="78" applyFont="1" applyFill="1" applyBorder="1" applyAlignment="1">
      <alignment horizontal="center" vertical="center" wrapText="1"/>
    </xf>
    <xf numFmtId="0" fontId="22" fillId="33" borderId="11" xfId="78" applyFont="1" applyFill="1" applyBorder="1" applyAlignment="1">
      <alignment horizontal="center" vertical="center" wrapText="1"/>
    </xf>
    <xf numFmtId="0" fontId="22" fillId="33" borderId="12" xfId="78" applyFont="1" applyFill="1" applyBorder="1" applyAlignment="1">
      <alignment horizontal="center" vertical="center" wrapText="1"/>
    </xf>
    <xf numFmtId="0" fontId="31" fillId="0" borderId="10" xfId="78" applyFont="1" applyBorder="1" applyAlignment="1">
      <alignment horizontal="center"/>
    </xf>
    <xf numFmtId="0" fontId="31" fillId="0" borderId="11" xfId="78" applyFont="1" applyBorder="1" applyAlignment="1">
      <alignment horizontal="center"/>
    </xf>
    <xf numFmtId="0" fontId="31" fillId="0" borderId="12" xfId="78" applyFont="1" applyBorder="1" applyAlignment="1">
      <alignment horizontal="center"/>
    </xf>
    <xf numFmtId="0" fontId="32" fillId="0" borderId="14" xfId="78" applyFont="1" applyBorder="1" applyAlignment="1">
      <alignment horizontal="left" vertical="center" wrapText="1"/>
    </xf>
    <xf numFmtId="0" fontId="32" fillId="0" borderId="17" xfId="78" applyFont="1" applyBorder="1" applyAlignment="1">
      <alignment horizontal="left" vertical="center" wrapText="1"/>
    </xf>
    <xf numFmtId="0" fontId="32" fillId="0" borderId="18" xfId="78" applyFont="1" applyBorder="1" applyAlignment="1">
      <alignment horizontal="left" vertical="center" wrapText="1"/>
    </xf>
    <xf numFmtId="0" fontId="32" fillId="0" borderId="16" xfId="78" applyFont="1" applyBorder="1" applyAlignment="1">
      <alignment horizontal="left" vertical="center" wrapText="1"/>
    </xf>
    <xf numFmtId="0" fontId="32" fillId="0" borderId="0" xfId="78" applyFont="1" applyBorder="1" applyAlignment="1">
      <alignment horizontal="left" vertical="center" wrapText="1"/>
    </xf>
    <xf numFmtId="0" fontId="32" fillId="0" borderId="19" xfId="78" applyFont="1" applyBorder="1" applyAlignment="1">
      <alignment horizontal="left" vertical="center" wrapText="1"/>
    </xf>
    <xf numFmtId="0" fontId="32" fillId="0" borderId="20" xfId="78" applyFont="1" applyBorder="1" applyAlignment="1">
      <alignment horizontal="left" vertical="center" wrapText="1"/>
    </xf>
    <xf numFmtId="0" fontId="32" fillId="0" borderId="21" xfId="78" applyFont="1" applyBorder="1" applyAlignment="1">
      <alignment horizontal="left" vertical="center" wrapText="1"/>
    </xf>
    <xf numFmtId="0" fontId="32" fillId="0" borderId="22" xfId="78" applyFont="1" applyBorder="1" applyAlignment="1">
      <alignment horizontal="left" vertical="center" wrapText="1"/>
    </xf>
    <xf numFmtId="0" fontId="31" fillId="35" borderId="13" xfId="78" applyFont="1" applyFill="1" applyBorder="1" applyAlignment="1">
      <alignment vertical="center" wrapText="1"/>
    </xf>
    <xf numFmtId="0" fontId="22" fillId="35" borderId="10" xfId="78" applyFont="1" applyFill="1" applyBorder="1" applyAlignment="1">
      <alignment horizontal="left" vertical="center" wrapText="1"/>
    </xf>
    <xf numFmtId="0" fontId="22" fillId="35" borderId="11" xfId="78" applyFont="1" applyFill="1" applyBorder="1" applyAlignment="1">
      <alignment horizontal="left" vertical="center" wrapText="1"/>
    </xf>
    <xf numFmtId="0" fontId="22" fillId="35" borderId="12" xfId="78" applyFont="1" applyFill="1" applyBorder="1" applyAlignment="1">
      <alignment horizontal="left" vertical="center" wrapText="1"/>
    </xf>
    <xf numFmtId="0" fontId="32" fillId="33" borderId="23" xfId="78" applyFont="1" applyFill="1" applyBorder="1" applyAlignment="1">
      <alignment horizontal="center" vertical="center" wrapText="1"/>
    </xf>
    <xf numFmtId="0" fontId="32" fillId="33" borderId="19" xfId="78" applyFont="1" applyFill="1" applyBorder="1" applyAlignment="1">
      <alignment horizontal="center" vertical="center" wrapText="1"/>
    </xf>
    <xf numFmtId="0" fontId="32" fillId="33" borderId="24" xfId="78" applyFont="1" applyFill="1" applyBorder="1" applyAlignment="1">
      <alignment horizontal="center" vertical="center" wrapText="1"/>
    </xf>
    <xf numFmtId="0" fontId="32" fillId="33" borderId="22" xfId="78" applyFont="1" applyFill="1" applyBorder="1" applyAlignment="1">
      <alignment horizontal="center" vertical="center" wrapText="1"/>
    </xf>
    <xf numFmtId="0" fontId="32" fillId="44" borderId="24" xfId="78" applyFont="1" applyFill="1" applyBorder="1" applyAlignment="1">
      <alignment vertical="center" wrapText="1"/>
    </xf>
    <xf numFmtId="9" fontId="32" fillId="44" borderId="22" xfId="79" applyFont="1" applyFill="1" applyBorder="1" applyAlignment="1">
      <alignment horizontal="center" vertical="center"/>
    </xf>
    <xf numFmtId="9" fontId="32" fillId="44" borderId="22" xfId="78" applyNumberFormat="1" applyFont="1" applyFill="1" applyBorder="1" applyAlignment="1">
      <alignment horizontal="center" vertical="center"/>
    </xf>
    <xf numFmtId="0" fontId="32" fillId="44" borderId="24" xfId="78" applyFont="1" applyFill="1" applyBorder="1" applyAlignment="1">
      <alignment horizontal="left" vertical="center" wrapText="1"/>
    </xf>
    <xf numFmtId="165" fontId="32" fillId="44" borderId="22" xfId="79" applyNumberFormat="1" applyFont="1" applyFill="1" applyBorder="1" applyAlignment="1">
      <alignment horizontal="center" vertical="center"/>
    </xf>
    <xf numFmtId="165" fontId="32" fillId="44" borderId="22" xfId="78" applyNumberFormat="1" applyFont="1" applyFill="1" applyBorder="1" applyAlignment="1">
      <alignment horizontal="center" vertical="center"/>
    </xf>
    <xf numFmtId="0" fontId="33" fillId="35" borderId="24" xfId="78" applyFont="1" applyFill="1" applyBorder="1" applyAlignment="1">
      <alignment vertical="center" wrapText="1"/>
    </xf>
    <xf numFmtId="0" fontId="32" fillId="35" borderId="10" xfId="78" applyFont="1" applyFill="1" applyBorder="1" applyAlignment="1">
      <alignment horizontal="center" vertical="center" wrapText="1"/>
    </xf>
    <xf numFmtId="0" fontId="32" fillId="35" borderId="11" xfId="78" applyFont="1" applyFill="1" applyBorder="1" applyAlignment="1">
      <alignment horizontal="center" vertical="center" wrapText="1"/>
    </xf>
    <xf numFmtId="0" fontId="32" fillId="35" borderId="12" xfId="78" applyFont="1" applyFill="1" applyBorder="1" applyAlignment="1">
      <alignment horizontal="center" vertical="center" wrapText="1"/>
    </xf>
    <xf numFmtId="0" fontId="32" fillId="33" borderId="10" xfId="78" applyFont="1" applyFill="1" applyBorder="1" applyAlignment="1">
      <alignment horizontal="center" vertical="center" wrapText="1"/>
    </xf>
    <xf numFmtId="0" fontId="32" fillId="33" borderId="11" xfId="78" applyFont="1" applyFill="1" applyBorder="1" applyAlignment="1">
      <alignment horizontal="center" vertical="center" wrapText="1"/>
    </xf>
    <xf numFmtId="0" fontId="32" fillId="33" borderId="12" xfId="78" applyFont="1" applyFill="1" applyBorder="1" applyAlignment="1">
      <alignment horizontal="center" vertical="center" wrapText="1"/>
    </xf>
    <xf numFmtId="9" fontId="32" fillId="33" borderId="22" xfId="79" applyFont="1" applyFill="1" applyBorder="1" applyAlignment="1">
      <alignment horizontal="center" vertical="center"/>
    </xf>
    <xf numFmtId="9" fontId="32" fillId="33" borderId="22" xfId="78" applyNumberFormat="1" applyFont="1" applyFill="1" applyBorder="1" applyAlignment="1">
      <alignment horizontal="center" vertical="center"/>
    </xf>
    <xf numFmtId="0" fontId="32" fillId="33" borderId="24" xfId="78" applyFont="1" applyFill="1" applyBorder="1" applyAlignment="1">
      <alignment horizontal="left" vertical="center" wrapText="1"/>
    </xf>
    <xf numFmtId="9" fontId="32" fillId="33" borderId="22" xfId="78" applyNumberFormat="1" applyFont="1" applyFill="1" applyBorder="1" applyAlignment="1">
      <alignment horizontal="center" vertical="center" wrapText="1"/>
    </xf>
    <xf numFmtId="167" fontId="32" fillId="33" borderId="22" xfId="80" applyNumberFormat="1" applyFont="1" applyFill="1" applyBorder="1" applyAlignment="1">
      <alignment horizontal="center" vertical="center"/>
    </xf>
    <xf numFmtId="0" fontId="33" fillId="35" borderId="10" xfId="78" applyFont="1" applyFill="1" applyBorder="1" applyAlignment="1">
      <alignment horizontal="center" vertical="center"/>
    </xf>
    <xf numFmtId="0" fontId="33" fillId="35" borderId="11" xfId="78" applyFont="1" applyFill="1" applyBorder="1" applyAlignment="1">
      <alignment horizontal="center" vertical="center"/>
    </xf>
    <xf numFmtId="0" fontId="33" fillId="35" borderId="12" xfId="78" applyFont="1" applyFill="1" applyBorder="1" applyAlignment="1">
      <alignment horizontal="center" vertical="center"/>
    </xf>
    <xf numFmtId="0" fontId="39" fillId="35" borderId="24" xfId="78" applyFont="1" applyFill="1" applyBorder="1" applyAlignment="1">
      <alignment horizontal="left" vertical="center" wrapText="1"/>
    </xf>
    <xf numFmtId="0" fontId="33" fillId="44" borderId="10" xfId="78" applyFont="1" applyFill="1" applyBorder="1" applyAlignment="1">
      <alignment horizontal="center" vertical="center"/>
    </xf>
    <xf numFmtId="0" fontId="33" fillId="44" borderId="11" xfId="78" applyFont="1" applyFill="1" applyBorder="1" applyAlignment="1">
      <alignment horizontal="center" vertical="center"/>
    </xf>
    <xf numFmtId="0" fontId="33" fillId="44" borderId="12" xfId="78" applyFont="1" applyFill="1" applyBorder="1" applyAlignment="1">
      <alignment horizontal="center" vertical="center"/>
    </xf>
    <xf numFmtId="0" fontId="32" fillId="44" borderId="10" xfId="78" applyFont="1" applyFill="1" applyBorder="1" applyAlignment="1">
      <alignment horizontal="center" vertical="center" wrapText="1"/>
    </xf>
    <xf numFmtId="0" fontId="32" fillId="44" borderId="11" xfId="78" applyFont="1" applyFill="1" applyBorder="1" applyAlignment="1">
      <alignment horizontal="center" vertical="center" wrapText="1"/>
    </xf>
    <xf numFmtId="0" fontId="32" fillId="44" borderId="12" xfId="78" applyFont="1" applyFill="1" applyBorder="1" applyAlignment="1">
      <alignment horizontal="center" vertical="center" wrapText="1"/>
    </xf>
    <xf numFmtId="0" fontId="32" fillId="44" borderId="10" xfId="78" applyFont="1" applyFill="1" applyBorder="1" applyAlignment="1">
      <alignment horizontal="center" vertical="center"/>
    </xf>
    <xf numFmtId="0" fontId="32" fillId="44" borderId="11" xfId="78" applyFont="1" applyFill="1" applyBorder="1" applyAlignment="1">
      <alignment horizontal="center" vertical="center"/>
    </xf>
    <xf numFmtId="0" fontId="32" fillId="44" borderId="12" xfId="78" applyFont="1" applyFill="1" applyBorder="1" applyAlignment="1">
      <alignment horizontal="center" vertical="center"/>
    </xf>
    <xf numFmtId="0" fontId="32" fillId="33" borderId="23" xfId="78" applyFont="1" applyFill="1" applyBorder="1" applyAlignment="1">
      <alignment vertical="center" wrapText="1"/>
    </xf>
    <xf numFmtId="0" fontId="33" fillId="33" borderId="19" xfId="78" applyFont="1" applyFill="1" applyBorder="1" applyAlignment="1">
      <alignment horizontal="center" vertical="center" wrapText="1"/>
    </xf>
    <xf numFmtId="0" fontId="32" fillId="33" borderId="24" xfId="78" applyFont="1" applyFill="1" applyBorder="1" applyAlignment="1">
      <alignment vertical="center" wrapText="1"/>
    </xf>
    <xf numFmtId="0" fontId="33" fillId="33" borderId="22" xfId="78" applyFont="1" applyFill="1" applyBorder="1" applyAlignment="1">
      <alignment horizontal="center" vertical="center" wrapText="1"/>
    </xf>
    <xf numFmtId="3" fontId="32" fillId="33" borderId="24" xfId="78" applyNumberFormat="1" applyFont="1" applyFill="1" applyBorder="1" applyAlignment="1">
      <alignment horizontal="center" vertical="center" wrapText="1"/>
    </xf>
    <xf numFmtId="0" fontId="32" fillId="33" borderId="24" xfId="78" applyFont="1" applyFill="1" applyBorder="1" applyAlignment="1">
      <alignment horizontal="center" vertical="center" wrapText="1"/>
    </xf>
    <xf numFmtId="165" fontId="32" fillId="33" borderId="22" xfId="78" applyNumberFormat="1" applyFont="1" applyFill="1" applyBorder="1" applyAlignment="1">
      <alignment horizontal="center" vertical="center"/>
    </xf>
    <xf numFmtId="0" fontId="33" fillId="35" borderId="10" xfId="78" applyFont="1" applyFill="1" applyBorder="1" applyAlignment="1">
      <alignment horizontal="center" vertical="center" wrapText="1"/>
    </xf>
    <xf numFmtId="0" fontId="33" fillId="35" borderId="11" xfId="78" applyFont="1" applyFill="1" applyBorder="1" applyAlignment="1">
      <alignment horizontal="center" vertical="center" wrapText="1"/>
    </xf>
    <xf numFmtId="0" fontId="33" fillId="35" borderId="12" xfId="78" applyFont="1" applyFill="1" applyBorder="1" applyAlignment="1">
      <alignment horizontal="center" vertical="center" wrapText="1"/>
    </xf>
    <xf numFmtId="0" fontId="32" fillId="0" borderId="24" xfId="78" applyFont="1" applyBorder="1" applyAlignment="1">
      <alignment horizontal="left" vertical="center" wrapText="1" indent="1"/>
    </xf>
    <xf numFmtId="3" fontId="32" fillId="0" borderId="22" xfId="78" applyNumberFormat="1" applyFont="1" applyBorder="1" applyAlignment="1">
      <alignment horizontal="center" vertical="center"/>
    </xf>
    <xf numFmtId="3" fontId="47" fillId="0" borderId="22" xfId="78" applyNumberFormat="1" applyFont="1" applyBorder="1" applyAlignment="1">
      <alignment horizontal="center" vertical="center"/>
    </xf>
    <xf numFmtId="0" fontId="38" fillId="0" borderId="15" xfId="78" applyFont="1" applyBorder="1" applyAlignment="1">
      <alignment horizontal="left" vertical="center" wrapText="1" indent="1"/>
    </xf>
    <xf numFmtId="0" fontId="39" fillId="34" borderId="27" xfId="78" applyFont="1" applyFill="1" applyBorder="1" applyAlignment="1">
      <alignment vertical="center" wrapText="1"/>
    </xf>
    <xf numFmtId="3" fontId="33" fillId="34" borderId="22" xfId="78" applyNumberFormat="1" applyFont="1" applyFill="1" applyBorder="1" applyAlignment="1">
      <alignment horizontal="center" vertical="center"/>
    </xf>
    <xf numFmtId="0" fontId="39" fillId="0" borderId="15" xfId="78" applyFont="1" applyBorder="1" applyAlignment="1">
      <alignment horizontal="left" vertical="center" wrapText="1" indent="1"/>
    </xf>
    <xf numFmtId="0" fontId="32" fillId="35" borderId="24" xfId="78" applyFont="1" applyFill="1" applyBorder="1" applyAlignment="1">
      <alignment vertical="center" wrapText="1"/>
    </xf>
    <xf numFmtId="0" fontId="32" fillId="33" borderId="20" xfId="78" applyFont="1" applyFill="1" applyBorder="1" applyAlignment="1">
      <alignment horizontal="left" vertical="center" wrapText="1"/>
    </xf>
    <xf numFmtId="0" fontId="32" fillId="33" borderId="21" xfId="78" applyFont="1" applyFill="1" applyBorder="1" applyAlignment="1">
      <alignment horizontal="center" vertical="center" wrapText="1"/>
    </xf>
    <xf numFmtId="165" fontId="32" fillId="33" borderId="21" xfId="78" applyNumberFormat="1" applyFont="1" applyFill="1" applyBorder="1" applyAlignment="1">
      <alignment horizontal="center" vertical="center"/>
    </xf>
    <xf numFmtId="0" fontId="39" fillId="34" borderId="24" xfId="78" applyFont="1" applyFill="1" applyBorder="1" applyAlignment="1">
      <alignment vertical="center" wrapText="1"/>
    </xf>
    <xf numFmtId="0" fontId="32" fillId="35" borderId="24" xfId="78" applyFont="1" applyFill="1" applyBorder="1" applyAlignment="1">
      <alignment horizontal="left" vertical="center" wrapText="1"/>
    </xf>
    <xf numFmtId="9" fontId="33" fillId="44" borderId="10" xfId="78" applyNumberFormat="1" applyFont="1" applyFill="1" applyBorder="1" applyAlignment="1">
      <alignment horizontal="center" vertical="center"/>
    </xf>
    <xf numFmtId="9" fontId="33" fillId="44" borderId="11" xfId="78" applyNumberFormat="1" applyFont="1" applyFill="1" applyBorder="1" applyAlignment="1">
      <alignment horizontal="center" vertical="center"/>
    </xf>
    <xf numFmtId="9" fontId="33" fillId="44" borderId="12" xfId="78" applyNumberFormat="1" applyFont="1" applyFill="1" applyBorder="1" applyAlignment="1">
      <alignment horizontal="center" vertical="center"/>
    </xf>
    <xf numFmtId="0" fontId="32" fillId="35" borderId="13" xfId="78" applyFont="1" applyFill="1" applyBorder="1" applyAlignment="1">
      <alignment horizontal="left" vertical="center" wrapText="1"/>
    </xf>
    <xf numFmtId="9" fontId="32" fillId="35" borderId="10" xfId="78" applyNumberFormat="1" applyFont="1" applyFill="1" applyBorder="1" applyAlignment="1">
      <alignment horizontal="center" vertical="center"/>
    </xf>
    <xf numFmtId="9" fontId="32" fillId="35" borderId="11" xfId="78" applyNumberFormat="1" applyFont="1" applyFill="1" applyBorder="1" applyAlignment="1">
      <alignment horizontal="center" vertical="center"/>
    </xf>
    <xf numFmtId="9" fontId="32" fillId="35" borderId="12" xfId="78" applyNumberFormat="1" applyFont="1" applyFill="1" applyBorder="1" applyAlignment="1">
      <alignment horizontal="center" vertical="center"/>
    </xf>
    <xf numFmtId="0" fontId="32" fillId="33" borderId="10" xfId="78" applyFont="1" applyFill="1" applyBorder="1" applyAlignment="1">
      <alignment horizontal="center" vertical="center"/>
    </xf>
    <xf numFmtId="0" fontId="32" fillId="33" borderId="11" xfId="78" applyFont="1" applyFill="1" applyBorder="1" applyAlignment="1">
      <alignment horizontal="center" vertical="center"/>
    </xf>
    <xf numFmtId="0" fontId="32" fillId="33" borderId="12" xfId="78" applyFont="1" applyFill="1" applyBorder="1" applyAlignment="1">
      <alignment horizontal="center" vertical="center"/>
    </xf>
    <xf numFmtId="0" fontId="33" fillId="35" borderId="13" xfId="78" applyFont="1" applyFill="1" applyBorder="1" applyAlignment="1">
      <alignment vertical="center" wrapText="1"/>
    </xf>
    <xf numFmtId="0" fontId="32" fillId="35" borderId="10" xfId="78" applyFont="1" applyFill="1" applyBorder="1" applyAlignment="1">
      <alignment horizontal="center" vertical="center"/>
    </xf>
    <xf numFmtId="0" fontId="32" fillId="35" borderId="11" xfId="78" applyFont="1" applyFill="1" applyBorder="1" applyAlignment="1">
      <alignment horizontal="center" vertical="center"/>
    </xf>
    <xf numFmtId="0" fontId="32" fillId="35" borderId="12" xfId="78" applyFont="1" applyFill="1" applyBorder="1" applyAlignment="1">
      <alignment horizontal="center" vertical="center"/>
    </xf>
    <xf numFmtId="0" fontId="39" fillId="36" borderId="24" xfId="78" applyFont="1" applyFill="1" applyBorder="1" applyAlignment="1">
      <alignment vertical="center" wrapText="1"/>
    </xf>
    <xf numFmtId="3" fontId="33" fillId="36" borderId="22" xfId="78" applyNumberFormat="1" applyFont="1" applyFill="1" applyBorder="1" applyAlignment="1">
      <alignment horizontal="center" vertical="center"/>
    </xf>
    <xf numFmtId="3" fontId="33" fillId="35" borderId="22" xfId="78" applyNumberFormat="1" applyFont="1" applyFill="1" applyBorder="1" applyAlignment="1">
      <alignment horizontal="center" vertical="center"/>
    </xf>
    <xf numFmtId="0" fontId="46" fillId="33" borderId="24" xfId="78" applyFont="1" applyFill="1" applyBorder="1" applyAlignment="1">
      <alignment vertical="center" wrapText="1"/>
    </xf>
    <xf numFmtId="3" fontId="46" fillId="33" borderId="22" xfId="78" applyNumberFormat="1" applyFont="1" applyFill="1" applyBorder="1" applyAlignment="1">
      <alignment horizontal="center" vertical="center"/>
    </xf>
    <xf numFmtId="165" fontId="46" fillId="0" borderId="22" xfId="78" applyNumberFormat="1" applyFont="1" applyBorder="1" applyAlignment="1">
      <alignment horizontal="center" vertical="center"/>
    </xf>
    <xf numFmtId="0" fontId="47" fillId="0" borderId="24" xfId="78" applyFont="1" applyBorder="1" applyAlignment="1">
      <alignment horizontal="left" vertical="center" wrapText="1" indent="1"/>
    </xf>
    <xf numFmtId="165" fontId="47" fillId="0" borderId="22" xfId="78" applyNumberFormat="1" applyFont="1" applyBorder="1" applyAlignment="1">
      <alignment horizontal="center" vertical="center"/>
    </xf>
    <xf numFmtId="0" fontId="33" fillId="0" borderId="24" xfId="78" applyFont="1" applyBorder="1" applyAlignment="1">
      <alignment horizontal="left" vertical="center" wrapText="1" indent="1"/>
    </xf>
    <xf numFmtId="0" fontId="33" fillId="0" borderId="0" xfId="78" applyFont="1" applyBorder="1" applyAlignment="1">
      <alignment horizontal="left" vertical="center" wrapText="1" indent="1"/>
    </xf>
    <xf numFmtId="3" fontId="32" fillId="0" borderId="0" xfId="78" applyNumberFormat="1" applyFont="1" applyBorder="1" applyAlignment="1">
      <alignment horizontal="center" vertical="center"/>
    </xf>
    <xf numFmtId="3" fontId="34" fillId="0" borderId="0" xfId="78" applyNumberFormat="1" applyFont="1" applyBorder="1" applyAlignment="1">
      <alignment horizontal="center" vertical="center"/>
    </xf>
    <xf numFmtId="0" fontId="69" fillId="0" borderId="0" xfId="78" applyFont="1" applyBorder="1"/>
    <xf numFmtId="0" fontId="33" fillId="0" borderId="0" xfId="78" applyFont="1"/>
    <xf numFmtId="0" fontId="69" fillId="0" borderId="0" xfId="78" applyFont="1" applyBorder="1" applyAlignment="1">
      <alignment horizontal="center" vertical="center" wrapText="1"/>
    </xf>
    <xf numFmtId="0" fontId="77" fillId="0" borderId="0" xfId="78" applyFont="1" applyAlignment="1">
      <alignment horizontal="left" wrapText="1"/>
    </xf>
    <xf numFmtId="0" fontId="77" fillId="0" borderId="0" xfId="78" applyFont="1" applyAlignment="1">
      <alignment wrapText="1"/>
    </xf>
  </cellXfs>
  <cellStyles count="81">
    <cellStyle name="20% - Accent1 2" xfId="20"/>
    <cellStyle name="20% - Accent2 2" xfId="24"/>
    <cellStyle name="20% - Accent3 2" xfId="28"/>
    <cellStyle name="20% - Accent4 2" xfId="32"/>
    <cellStyle name="20% - Accent5 2" xfId="36"/>
    <cellStyle name="20% - Accent6 2" xfId="40"/>
    <cellStyle name="40% - Accent1 2" xfId="21"/>
    <cellStyle name="40% - Accent2 2" xfId="25"/>
    <cellStyle name="40% - Accent3 2" xfId="29"/>
    <cellStyle name="40% - Accent4 2" xfId="33"/>
    <cellStyle name="40% - Accent5 2" xfId="37"/>
    <cellStyle name="40% - Accent6 2" xfId="41"/>
    <cellStyle name="60% - Accent1 2" xfId="22"/>
    <cellStyle name="60% - Accent2 2" xfId="26"/>
    <cellStyle name="60% - Accent3 2" xfId="30"/>
    <cellStyle name="60% - Accent4 2" xfId="34"/>
    <cellStyle name="60% - Accent5 2" xfId="38"/>
    <cellStyle name="60% - Accent6 2" xfId="42"/>
    <cellStyle name="Accent1 2" xfId="19"/>
    <cellStyle name="Accent2 2" xfId="23"/>
    <cellStyle name="Accent3 2" xfId="27"/>
    <cellStyle name="Accent4 2" xfId="31"/>
    <cellStyle name="Accent5 2" xfId="35"/>
    <cellStyle name="Accent6 2" xfId="39"/>
    <cellStyle name="Bad 2" xfId="8"/>
    <cellStyle name="Calculation 2" xfId="12"/>
    <cellStyle name="Check Cell 2" xfId="14"/>
    <cellStyle name="Comma 2" xfId="46"/>
    <cellStyle name="Comma 2 2" xfId="49"/>
    <cellStyle name="Comma 2 2 2" xfId="58"/>
    <cellStyle name="Comma 2 2 3 3" xfId="52"/>
    <cellStyle name="Comma 2 3" xfId="51"/>
    <cellStyle name="Comma 2 3 2" xfId="55"/>
    <cellStyle name="Comma 2 4" xfId="54"/>
    <cellStyle name="Comma 2 5" xfId="57"/>
    <cellStyle name="Comma 3" xfId="53"/>
    <cellStyle name="Comma 3 2" xfId="47"/>
    <cellStyle name="Comma 3 2 2" xfId="65"/>
    <cellStyle name="Comma 4" xfId="66"/>
    <cellStyle name="Comma 5" xfId="67"/>
    <cellStyle name="Comma 6" xfId="80"/>
    <cellStyle name="Comma0" xfId="68"/>
    <cellStyle name="Currency0" xfId="69"/>
    <cellStyle name="Date" xfId="70"/>
    <cellStyle name="Explanatory Text 2" xfId="17"/>
    <cellStyle name="Fixed" xfId="71"/>
    <cellStyle name="Good 2" xfId="7"/>
    <cellStyle name="Heading 1 2" xfId="3"/>
    <cellStyle name="Heading 2 2" xfId="4"/>
    <cellStyle name="Heading 3 2" xfId="5"/>
    <cellStyle name="Heading 4 2" xfId="6"/>
    <cellStyle name="Input 2" xfId="10"/>
    <cellStyle name="Linked Cell 2" xfId="13"/>
    <cellStyle name="Neutral 2" xfId="9"/>
    <cellStyle name="Normal" xfId="0" builtinId="0"/>
    <cellStyle name="Normal 10" xfId="77"/>
    <cellStyle name="Normal 11" xfId="78"/>
    <cellStyle name="Normal 2" xfId="43"/>
    <cellStyle name="Normal 2 2" xfId="72"/>
    <cellStyle name="Normal 2 3" xfId="50"/>
    <cellStyle name="Normal 24" xfId="73"/>
    <cellStyle name="Normal 3" xfId="45"/>
    <cellStyle name="Normal 4" xfId="56"/>
    <cellStyle name="Normal 4 2" xfId="48"/>
    <cellStyle name="Normal 4 3" xfId="76"/>
    <cellStyle name="Normal 5" xfId="1"/>
    <cellStyle name="Normal 5 2" xfId="75"/>
    <cellStyle name="Normal 6" xfId="61"/>
    <cellStyle name="Normal 7" xfId="59"/>
    <cellStyle name="Normal 8" xfId="63"/>
    <cellStyle name="Normal 9" xfId="60"/>
    <cellStyle name="Note 2" xfId="16"/>
    <cellStyle name="Output 2" xfId="11"/>
    <cellStyle name="Percent 2" xfId="44"/>
    <cellStyle name="Percent 3" xfId="62"/>
    <cellStyle name="Percent 4" xfId="64"/>
    <cellStyle name="Percent 5" xfId="79"/>
    <cellStyle name="Style 1" xfId="74"/>
    <cellStyle name="Title 2" xfId="2"/>
    <cellStyle name="Total 2" xfId="18"/>
    <cellStyle name="Warning Text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alion.cenalia/Desktop/PBA/PBA%202019-2021/PBA%202019-2021%20faza%202/PBA%20e%20Institucioneve/Min%20e%20Financave/04130-Zhvillimi%20Ekonomik/PBA%202019-2021-QKB_Formatet%20e%20Raportev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_AFTSH_vite/v_2018/gusht%20-%20varaint_aliu/FORM_Raporte%20te%20PBA%202019-2021%20-%20ISSH_gus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1 Misioni"/>
      <sheetName val="Formati 2 Politika Ekzistuese"/>
      <sheetName val="Formati 2.1 Sipas Tavaneve"/>
      <sheetName val="Formati 3 Politika te reja"/>
      <sheetName val="F.4. Alokimi i tavaneve per PE"/>
      <sheetName val="F.5. Investimet ne vazhdim"/>
      <sheetName val="F.6.Investime te reja"/>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1 Misioni"/>
      <sheetName val="Formati 2.1 Sipas Tavaneve"/>
      <sheetName val="Formati 2 Sipas Tavaneve"/>
    </sheetNames>
    <sheetDataSet>
      <sheetData sheetId="0"/>
      <sheetData sheetId="1"/>
      <sheetData sheetId="2">
        <row r="5">
          <cell r="D5" t="str">
            <v>Sigurimi Shoqeror</v>
          </cell>
        </row>
        <row r="10">
          <cell r="C10" t="str">
            <v>Programi "Sigurimi Shoqëror" mbulon me fonde transfertat për individët nga pensionet publike, nga përfitimet në rastet e paaftësise së përkohshme për punë, nga perfitimet në raste barrëlindje,  nga përfitimet në raste të aksidenteve në punë, nga përfitimet e kompensimeve të ndryshme të shpenzimeve nga rritja e çmimeve, nga  përfitimet  nga sigurimet suplementare,  ne momentin e lindjes së  te drejtës dhe nevojës për to.Gjithashtu, programi mbulon mbledhjen dhe administrimin e të ardhurave nga kontibutet e fermerëve dhe të siguruarve vullnetarisht, administrimi i kontributeve dhe i transfertave me destinacion nga buxheti i shtetit në buxhetin e ISSH, si dhe administrimin e të gjithë informacionit që lidhet me të drejtat e  fituara të kontribuesve në skemën e sigurimit shoqëror të detyrueshëm dhe suplementar.</v>
          </cell>
        </row>
        <row r="12">
          <cell r="D12" t="str">
            <v>Garantimi i Qëndrueshmërisë së Skemës së Sigurimeve Shoqërore</v>
          </cell>
        </row>
        <row r="15">
          <cell r="C15" t="str">
            <v>Raporti Të ardhura / Mbështetje Buxhetore</v>
          </cell>
          <cell r="D15" t="str">
            <v>61:38%</v>
          </cell>
          <cell r="E15" t="str">
            <v>61:39%</v>
          </cell>
          <cell r="F15" t="str">
            <v>61:39%</v>
          </cell>
          <cell r="G15" t="str">
            <v>62:38%</v>
          </cell>
        </row>
        <row r="16">
          <cell r="C16" t="str">
            <v>Raporti të punësuar (kontribues)/ pensionist (përfitues)</v>
          </cell>
          <cell r="D16">
            <v>1.21E-2</v>
          </cell>
          <cell r="E16">
            <v>1.26E-2</v>
          </cell>
          <cell r="F16">
            <v>1.26E-2</v>
          </cell>
          <cell r="G16">
            <v>1.26E-2</v>
          </cell>
        </row>
        <row r="17">
          <cell r="D17" t="str">
            <v>Përmirësimi i efiçencës së ISSH në menaxhimin e fondeve të skemes së sigurimit të detyrueshëm</v>
          </cell>
        </row>
        <row r="19">
          <cell r="C19" t="str">
            <v xml:space="preserve">Numri i kontribuesve vjetor të shtuar në skemën e sigurimeve të detyrueshme (numër absolut ose % kundrejt totalit të kontribuesve)
</v>
          </cell>
          <cell r="D19">
            <v>1</v>
          </cell>
          <cell r="E19">
            <v>2.4E-2</v>
          </cell>
          <cell r="F19">
            <v>2.5000000000000001E-2</v>
          </cell>
          <cell r="G19">
            <v>2.5000000000000001E-2</v>
          </cell>
        </row>
        <row r="23">
          <cell r="D23" t="str">
            <v>Llogaritja , transferta  e tyre nga Fondi i Sigurimeve Shoqerore në buxhetet familjare dhe administrimi i përfitimeve për raste sëmundjesh (paaftësi të përkohshme)</v>
          </cell>
        </row>
        <row r="24">
          <cell r="D24" t="str">
            <v>Parashikohen nevojat për fonde për kryerjen e transfertave dhe për administrimin e përfitimeve në rast semundje për rreth 1 800 persona</v>
          </cell>
        </row>
        <row r="25">
          <cell r="D25" t="str">
            <v>numër përfituesish</v>
          </cell>
        </row>
        <row r="28">
          <cell r="D28">
            <v>1856.0124290063561</v>
          </cell>
          <cell r="E28">
            <v>1923.4603606560404</v>
          </cell>
          <cell r="F28">
            <v>2015.4559344047498</v>
          </cell>
          <cell r="G28">
            <v>2142.2102834007383</v>
          </cell>
        </row>
        <row r="29">
          <cell r="D29">
            <v>435104</v>
          </cell>
          <cell r="E29">
            <v>450980</v>
          </cell>
          <cell r="F29">
            <v>472550</v>
          </cell>
          <cell r="G29">
            <v>502277</v>
          </cell>
        </row>
        <row r="37">
          <cell r="D37">
            <v>3367.8850496863665</v>
          </cell>
          <cell r="E37">
            <v>3595.312445244575</v>
          </cell>
          <cell r="F37">
            <v>3726.0768516139033</v>
          </cell>
          <cell r="G37">
            <v>3962.1988821399673</v>
          </cell>
        </row>
        <row r="40">
          <cell r="D40">
            <v>574.90166170009343</v>
          </cell>
          <cell r="E40">
            <v>567.52203165909327</v>
          </cell>
          <cell r="F40">
            <v>586.62127648035346</v>
          </cell>
          <cell r="G40">
            <v>625.29390552739994</v>
          </cell>
        </row>
        <row r="43">
          <cell r="D43">
            <v>3533.3504439151748</v>
          </cell>
          <cell r="E43">
            <v>3649.6496610417221</v>
          </cell>
          <cell r="F43">
            <v>3873.4691321366045</v>
          </cell>
          <cell r="G43">
            <v>4121.528579221469</v>
          </cell>
        </row>
        <row r="55">
          <cell r="D55">
            <v>427627.55399235623</v>
          </cell>
          <cell r="E55">
            <v>443167.64067627967</v>
          </cell>
          <cell r="F55">
            <v>464363.53439200507</v>
          </cell>
          <cell r="G55">
            <v>493567.89281759324</v>
          </cell>
        </row>
        <row r="63">
          <cell r="D63" t="str">
            <v>Llogaritja, transferta  e tyre nga  Fondi i Sigurimeve Shoqërore në buxhetet familjare dhe administrimi i perfitimeve për raste barrëlindje</v>
          </cell>
        </row>
        <row r="64">
          <cell r="D64" t="str">
            <v>Parashikohen nevojat per fonde për llogaritjen dhe kryerjen e transfertave në rast barrëlindje për rreth 18000 raste</v>
          </cell>
        </row>
        <row r="68">
          <cell r="D68">
            <v>17482.215789412508</v>
          </cell>
          <cell r="E68">
            <v>18356.326578883138</v>
          </cell>
          <cell r="F68">
            <v>19274.142907827292</v>
          </cell>
          <cell r="G68">
            <v>20237.850053218659</v>
          </cell>
        </row>
        <row r="69">
          <cell r="D69">
            <v>3590458</v>
          </cell>
          <cell r="E69">
            <v>3856328</v>
          </cell>
          <cell r="F69">
            <v>4142810</v>
          </cell>
          <cell r="G69">
            <v>4450726</v>
          </cell>
        </row>
        <row r="77">
          <cell r="D77">
            <v>27791.653748277404</v>
          </cell>
          <cell r="E77">
            <v>30743.495479533325</v>
          </cell>
          <cell r="F77">
            <v>32666.254422915845</v>
          </cell>
          <cell r="G77">
            <v>35109.438360401764</v>
          </cell>
        </row>
        <row r="80">
          <cell r="D80">
            <v>4744.0656927308746</v>
          </cell>
          <cell r="E80">
            <v>4852.8775400102977</v>
          </cell>
          <cell r="F80">
            <v>5142.8675871520982</v>
          </cell>
          <cell r="G80">
            <v>5540.791486315301</v>
          </cell>
        </row>
        <row r="83">
          <cell r="D83">
            <v>29157.06761362221</v>
          </cell>
          <cell r="E83">
            <v>31208.132690810908</v>
          </cell>
          <cell r="F83">
            <v>33958.432208632439</v>
          </cell>
          <cell r="G83">
            <v>36521.274652587876</v>
          </cell>
        </row>
        <row r="95">
          <cell r="D95">
            <v>3528765.6016897317</v>
          </cell>
          <cell r="E95">
            <v>3789523.8773552072</v>
          </cell>
          <cell r="F95">
            <v>4071042.5370328585</v>
          </cell>
          <cell r="G95">
            <v>4373554.1867079157</v>
          </cell>
        </row>
        <row r="103">
          <cell r="D103" t="str">
            <v>Llogaritja, transferta  e tyre nga  nga Fondi i Sigurimeve Shoqërore në buxhetet familjare dhe administrimi i përfitimeve për rastet e pensioneve të pleqerisë, pensioneve të invaliditetit dhe pensionet familjare për skemën e qytetit dhe të fshatit.</v>
          </cell>
        </row>
        <row r="104">
          <cell r="D104" t="str">
            <v>Parashikohen nevojat për fonde për  administrimin e sistemit të pensioneve publike për të tre llojet,  si për llogaritjen dhe caktimin e pensioneve të reja, indeksimin, etj dhe kryerjen e transfertave për rreth 640 mijë pensionistë.</v>
          </cell>
        </row>
        <row r="105">
          <cell r="D105" t="str">
            <v>nr perfituesish</v>
          </cell>
        </row>
        <row r="108">
          <cell r="D108">
            <v>635604.99527987512</v>
          </cell>
          <cell r="E108">
            <v>641802.67867680197</v>
          </cell>
          <cell r="F108">
            <v>657762.1572172906</v>
          </cell>
          <cell r="G108">
            <v>674434.00673612067</v>
          </cell>
        </row>
        <row r="109">
          <cell r="D109">
            <v>105090916</v>
          </cell>
        </row>
        <row r="117">
          <cell r="D117">
            <v>813447.76645431609</v>
          </cell>
          <cell r="E117">
            <v>887252.30516575952</v>
          </cell>
          <cell r="F117">
            <v>936044.50806992862</v>
          </cell>
          <cell r="G117">
            <v>976615.58830482478</v>
          </cell>
        </row>
        <row r="120">
          <cell r="D120">
            <v>138856.42346503655</v>
          </cell>
          <cell r="E120">
            <v>140053.26059711399</v>
          </cell>
          <cell r="F120">
            <v>147367.76669771818</v>
          </cell>
          <cell r="G120">
            <v>154124.46310121662</v>
          </cell>
        </row>
        <row r="123">
          <cell r="D123">
            <v>853412.74547681597</v>
          </cell>
          <cell r="E123">
            <v>900661.65990378102</v>
          </cell>
          <cell r="F123">
            <v>973071.5851296566</v>
          </cell>
          <cell r="G123">
            <v>1015887.6870758078</v>
          </cell>
        </row>
        <row r="143">
          <cell r="D143" t="str">
            <v>Perfitime të llogaritura dhe shpërndara për raste aksidentesh dhe sëmundjesh profesionale</v>
          </cell>
        </row>
        <row r="144">
          <cell r="D144" t="str">
            <v>Parashikohen nevojat për fond për llogaritjen dhe kryerjen e pagesave të kontribuesve në rast aksidenti apo sëmundje profesionale për rreth 70 persona</v>
          </cell>
        </row>
        <row r="145">
          <cell r="D145" t="str">
            <v>nr përfituesish</v>
          </cell>
        </row>
        <row r="148">
          <cell r="D148">
            <v>68.6445885996865</v>
          </cell>
          <cell r="E148">
            <v>71.241977542565493</v>
          </cell>
          <cell r="F148">
            <v>74.303212372686161</v>
          </cell>
          <cell r="G148">
            <v>78.563242880389765</v>
          </cell>
        </row>
        <row r="149">
          <cell r="D149">
            <v>23807</v>
          </cell>
          <cell r="E149">
            <v>24711</v>
          </cell>
          <cell r="F149">
            <v>25773</v>
          </cell>
          <cell r="G149">
            <v>27251</v>
          </cell>
        </row>
        <row r="157">
          <cell r="D157">
            <v>184.27469757990903</v>
          </cell>
          <cell r="E157">
            <v>197.00279341474535</v>
          </cell>
          <cell r="F157">
            <v>203.22124691382416</v>
          </cell>
          <cell r="G157">
            <v>214.96937498081519</v>
          </cell>
        </row>
        <row r="160">
          <cell r="D160">
            <v>31.455892432503742</v>
          </cell>
          <cell r="E160">
            <v>31.096998456735619</v>
          </cell>
          <cell r="F160">
            <v>31.994484284692252</v>
          </cell>
          <cell r="G160">
            <v>33.925364185136232</v>
          </cell>
        </row>
        <row r="163">
          <cell r="D163">
            <v>193.32817922539851</v>
          </cell>
          <cell r="E163">
            <v>199.98016560741155</v>
          </cell>
          <cell r="F163">
            <v>211.26006206073171</v>
          </cell>
          <cell r="G163">
            <v>223.6138187395278</v>
          </cell>
        </row>
        <row r="175">
          <cell r="D175">
            <v>23397.751712492674</v>
          </cell>
          <cell r="E175">
            <v>24283.080954403726</v>
          </cell>
          <cell r="F175">
            <v>25326.513713634005</v>
          </cell>
          <cell r="G175">
            <v>26778.560235293076</v>
          </cell>
        </row>
        <row r="183">
          <cell r="D183" t="str">
            <v>Mbledhja dhe administrimi i kontributeve në përgjithësi, kontributeve të fermerëve dhe kontributeve vullnetare</v>
          </cell>
        </row>
        <row r="184">
          <cell r="D184" t="str">
            <v>Parashikohen nevojat për fond në mbështetje të inspektorëve që merren me administrimin e kontributeve në përgjithësi, në mbledhjen e kontributeve për fermerët dhe të siguruarve vullnetarisht për rreth 350 persona</v>
          </cell>
        </row>
        <row r="185">
          <cell r="D185" t="str">
            <v>nr përfituesish</v>
          </cell>
        </row>
        <row r="188">
          <cell r="D188">
            <v>350</v>
          </cell>
          <cell r="E188">
            <v>350</v>
          </cell>
          <cell r="F188">
            <v>350</v>
          </cell>
          <cell r="G188">
            <v>350</v>
          </cell>
        </row>
        <row r="189">
          <cell r="D189">
            <v>280000</v>
          </cell>
          <cell r="E189">
            <v>296077</v>
          </cell>
          <cell r="F189">
            <v>314249</v>
          </cell>
          <cell r="G189">
            <v>327769</v>
          </cell>
        </row>
        <row r="197">
          <cell r="D197">
            <v>126135.70274636512</v>
          </cell>
          <cell r="E197">
            <v>136254.87884215135</v>
          </cell>
          <cell r="F197">
            <v>143036.09088925761</v>
          </cell>
          <cell r="G197">
            <v>149119.56685705445</v>
          </cell>
        </row>
        <row r="200">
          <cell r="D200">
            <v>21531.50242326333</v>
          </cell>
          <cell r="E200">
            <v>21507.906987677965</v>
          </cell>
          <cell r="F200">
            <v>22519.131397913188</v>
          </cell>
          <cell r="G200">
            <v>23533.285209611018</v>
          </cell>
        </row>
        <row r="203">
          <cell r="D203">
            <v>132332.79483037157</v>
          </cell>
          <cell r="E203">
            <v>138314.14653246096</v>
          </cell>
          <cell r="F203">
            <v>148694.16410481368</v>
          </cell>
          <cell r="G203">
            <v>155116.02895373417</v>
          </cell>
        </row>
        <row r="223">
          <cell r="D223" t="str">
            <v xml:space="preserve">Administrata funksionale </v>
          </cell>
        </row>
        <row r="224">
          <cell r="D224" t="str">
            <v>Parashikon nevojat për fonde për administrimin e sistemit të sigurimeve shoqërore të detyrueshme.  Në këtë program analitikisht janë të përfshirë nevojat për fonde për administrimin e përfitimeve për sëmundje, barrëlindje, pensione, aksidente si dhe për mbledhjen e kontributeve vullnetare dhe të fermerëve të cilët janë të përshkruara edhe në produktin nr 5 të objektivit nr 1</v>
          </cell>
        </row>
        <row r="225">
          <cell r="D225" t="str">
            <v>nr punonjësish</v>
          </cell>
        </row>
        <row r="228">
          <cell r="D228">
            <v>1185</v>
          </cell>
          <cell r="E228">
            <v>1190</v>
          </cell>
          <cell r="F228">
            <v>1213</v>
          </cell>
          <cell r="G228">
            <v>1226</v>
          </cell>
        </row>
        <row r="229">
          <cell r="D229">
            <v>2155295</v>
          </cell>
          <cell r="E229">
            <v>2299089</v>
          </cell>
          <cell r="F229">
            <v>2451133</v>
          </cell>
          <cell r="G229">
            <v>2560750</v>
          </cell>
        </row>
        <row r="237">
          <cell r="D237">
            <v>970927.28269622487</v>
          </cell>
          <cell r="E237">
            <v>1058042.9947261035</v>
          </cell>
          <cell r="F237">
            <v>1115676.1514806298</v>
          </cell>
          <cell r="G237">
            <v>1165021.7617794017</v>
          </cell>
        </row>
        <row r="240">
          <cell r="D240">
            <v>165738.34913516336</v>
          </cell>
          <cell r="E240">
            <v>167012.66415491811</v>
          </cell>
          <cell r="F240">
            <v>175648.38144354851</v>
          </cell>
          <cell r="G240">
            <v>183857.75906685548</v>
          </cell>
        </row>
        <row r="243">
          <cell r="D243">
            <v>1018629.2865439504</v>
          </cell>
          <cell r="E243">
            <v>1074033.568953702</v>
          </cell>
          <cell r="F243">
            <v>1159808.9106373</v>
          </cell>
          <cell r="G243">
            <v>1211870.1330800909</v>
          </cell>
        </row>
        <row r="263">
          <cell r="D263" t="str">
            <v>Përmirësimi i eficencës së ISSH në menaxhimin e fondeve të skemës së sigurimit suplementar</v>
          </cell>
        </row>
        <row r="265">
          <cell r="C265" t="str">
            <v xml:space="preserve">Numri i kontribuesve vjetor të shtuar në skemën e sigurimeve suplementare (numër absolut ose % kundrejt totalit të kontribuesve)
</v>
          </cell>
          <cell r="D265">
            <v>1</v>
          </cell>
          <cell r="E265">
            <v>0.01</v>
          </cell>
          <cell r="F265">
            <v>0.01</v>
          </cell>
          <cell r="G265">
            <v>0.01</v>
          </cell>
        </row>
        <row r="269">
          <cell r="D269" t="str">
            <v>Përfitime të llogaritura dhe të shpërndara për sigurimin shtetëror suplementar</v>
          </cell>
        </row>
        <row r="270">
          <cell r="D270" t="str">
            <v xml:space="preserve">Parashikohen nevojat per fond per llogaritjen dhe kryerjen e pagesave per mbeshtetje me te ardhura te rreth 2900 personave qe trajtohen me pension suplementar </v>
          </cell>
        </row>
        <row r="274">
          <cell r="D274">
            <v>2812.77</v>
          </cell>
          <cell r="E274">
            <v>3173.9400000000005</v>
          </cell>
          <cell r="F274">
            <v>3491.3340000000007</v>
          </cell>
          <cell r="G274">
            <v>3840.4674000000009</v>
          </cell>
        </row>
        <row r="275">
          <cell r="D275">
            <v>535392</v>
          </cell>
          <cell r="E275">
            <v>625557</v>
          </cell>
          <cell r="F275">
            <v>708756</v>
          </cell>
          <cell r="G275">
            <v>803033</v>
          </cell>
        </row>
        <row r="283">
          <cell r="D283">
            <v>4144.1617325800971</v>
          </cell>
          <cell r="E283">
            <v>4987.0764476404702</v>
          </cell>
          <cell r="F283">
            <v>5588.5744248410729</v>
          </cell>
          <cell r="G283">
            <v>6334.70827026189</v>
          </cell>
        </row>
        <row r="286">
          <cell r="D286">
            <v>707.41294054442392</v>
          </cell>
          <cell r="E286">
            <v>787.21273900622043</v>
          </cell>
          <cell r="F286">
            <v>879.84676467039026</v>
          </cell>
          <cell r="G286">
            <v>999.711168599752</v>
          </cell>
        </row>
        <row r="289">
          <cell r="D289">
            <v>4347.7658772325885</v>
          </cell>
          <cell r="E289">
            <v>5062.4478800985135</v>
          </cell>
          <cell r="F289">
            <v>5809.6414511401636</v>
          </cell>
          <cell r="G289">
            <v>6589.4423661070196</v>
          </cell>
        </row>
        <row r="295">
          <cell r="D295">
            <v>157081.71359771251</v>
          </cell>
          <cell r="E295">
            <v>289179.36497414601</v>
          </cell>
          <cell r="F295">
            <v>368507.73250292114</v>
          </cell>
          <cell r="G295">
            <v>458709.884260919</v>
          </cell>
        </row>
        <row r="301">
          <cell r="D301">
            <v>369111.34789557807</v>
          </cell>
          <cell r="E301">
            <v>325540.75652637193</v>
          </cell>
          <cell r="F301">
            <v>327970.16515716573</v>
          </cell>
          <cell r="G301">
            <v>330399.57378795958</v>
          </cell>
        </row>
        <row r="309">
          <cell r="D309" t="str">
            <v>Përfitime të llogaritura dhe shpërndara për sigurimin suplementar të ushtarakëve dhe të policisë së shtetit</v>
          </cell>
        </row>
        <row r="310">
          <cell r="D310" t="str">
            <v>Parashikohen nevojat për fond për llogaritjen dhe kryerjen e transfertave për mbeshtetje me të ardhura të rreth 28 000 personave që trajtohen me pension suplementar</v>
          </cell>
        </row>
        <row r="314">
          <cell r="D314">
            <v>26834</v>
          </cell>
          <cell r="E314">
            <v>27775.531999999999</v>
          </cell>
          <cell r="F314">
            <v>28553.246896000001</v>
          </cell>
          <cell r="G314">
            <v>29352.737809088001</v>
          </cell>
        </row>
        <row r="315">
          <cell r="D315">
            <v>3511668</v>
          </cell>
          <cell r="E315">
            <v>4106318</v>
          </cell>
          <cell r="F315">
            <v>4347934</v>
          </cell>
          <cell r="G315">
            <v>4603840</v>
          </cell>
        </row>
        <row r="323">
          <cell r="D323">
            <v>27181.783776793585</v>
          </cell>
          <cell r="E323">
            <v>32736.467768621853</v>
          </cell>
          <cell r="F323">
            <v>34283.666397777692</v>
          </cell>
          <cell r="G323">
            <v>36317.276317185344</v>
          </cell>
        </row>
        <row r="326">
          <cell r="D326">
            <v>4639.9602215362183</v>
          </cell>
          <cell r="E326">
            <v>5167.4693035272112</v>
          </cell>
          <cell r="F326">
            <v>5397.507605346329</v>
          </cell>
          <cell r="G326">
            <v>5731.4062776741657</v>
          </cell>
        </row>
        <row r="329">
          <cell r="D329">
            <v>28517.234512823965</v>
          </cell>
          <cell r="E329">
            <v>33231.22546789574</v>
          </cell>
          <cell r="F329">
            <v>35639.824087563189</v>
          </cell>
          <cell r="G329">
            <v>37777.682724477316</v>
          </cell>
        </row>
        <row r="335">
          <cell r="D335">
            <v>2643550.7398165618</v>
          </cell>
          <cell r="E335">
            <v>3221330.9769447227</v>
          </cell>
          <cell r="F335">
            <v>3452687.6153361956</v>
          </cell>
          <cell r="G335">
            <v>3698014.644340212</v>
          </cell>
        </row>
        <row r="341">
          <cell r="D341">
            <v>807778.36973894516</v>
          </cell>
          <cell r="E341">
            <v>813851.89131592959</v>
          </cell>
          <cell r="F341">
            <v>819925.41289291426</v>
          </cell>
          <cell r="G341">
            <v>825998.9344698987</v>
          </cell>
        </row>
        <row r="351">
          <cell r="D351" t="str">
            <v>Përfitime të llogaritura dhe shperndara për sigurimin suplementar të "Statusit të Profesorit"</v>
          </cell>
        </row>
        <row r="352">
          <cell r="D352" t="str">
            <v>Parashikohen nevojat për fond për llogaritjen dhe kryerjen e pagesave për mbështetje me të ardhura për rreth 938 personave që kanë statustin e profesorit</v>
          </cell>
        </row>
        <row r="353">
          <cell r="D353" t="str">
            <v>nr përfituesish</v>
          </cell>
        </row>
        <row r="356">
          <cell r="D356">
            <v>846.7</v>
          </cell>
          <cell r="E356">
            <v>920.50400000000002</v>
          </cell>
          <cell r="F356">
            <v>975.73424000000011</v>
          </cell>
          <cell r="G356">
            <v>1034.2782944000003</v>
          </cell>
        </row>
        <row r="357">
          <cell r="D357">
            <v>153570</v>
          </cell>
          <cell r="E357">
            <v>171764</v>
          </cell>
          <cell r="F357">
            <v>187532</v>
          </cell>
          <cell r="G357">
            <v>204751</v>
          </cell>
        </row>
        <row r="365">
          <cell r="D365">
            <v>1188.6987871911317</v>
          </cell>
          <cell r="E365">
            <v>1369.3438356390425</v>
          </cell>
          <cell r="F365">
            <v>1478.7021505672369</v>
          </cell>
          <cell r="G365">
            <v>1615.1745576514636</v>
          </cell>
        </row>
        <row r="368">
          <cell r="D368">
            <v>202.91218314612826</v>
          </cell>
          <cell r="E368">
            <v>216.15167178853065</v>
          </cell>
          <cell r="F368">
            <v>232.80199997063298</v>
          </cell>
          <cell r="G368">
            <v>254.89856448520823</v>
          </cell>
        </row>
        <row r="371">
          <cell r="D371">
            <v>1247.0999827605003</v>
          </cell>
          <cell r="E371">
            <v>1390.0392084698597</v>
          </cell>
          <cell r="F371">
            <v>1537.1951153839782</v>
          </cell>
          <cell r="G371">
            <v>1680.1246726404831</v>
          </cell>
        </row>
        <row r="377">
          <cell r="D377">
            <v>107202.26710341986</v>
          </cell>
          <cell r="E377">
            <v>124730.76477328768</v>
          </cell>
          <cell r="F377">
            <v>139896.79477443706</v>
          </cell>
          <cell r="G377">
            <v>156485.24944865084</v>
          </cell>
        </row>
        <row r="383">
          <cell r="D383">
            <v>43729.355354288753</v>
          </cell>
          <cell r="E383">
            <v>44058.147499809726</v>
          </cell>
          <cell r="F383">
            <v>44386.939645330691</v>
          </cell>
          <cell r="G383">
            <v>44715.731790851663</v>
          </cell>
        </row>
        <row r="393">
          <cell r="D393" t="str">
            <v>Perfitime te llogaritura dhe shperndara per sigurimin suplementar te "Statusit te Naftetarit"</v>
          </cell>
        </row>
        <row r="394">
          <cell r="D394" t="str">
            <v>Parashikohen nevojat per fond per llogaritjen dhe kryerjen e pagesave per mbeshtetje me te ardhura per rreth 9800 personave qe kane statustin e naftetarit.</v>
          </cell>
        </row>
        <row r="398">
          <cell r="D398">
            <v>9800</v>
          </cell>
          <cell r="E398">
            <v>9800</v>
          </cell>
          <cell r="F398">
            <v>9800</v>
          </cell>
          <cell r="G398">
            <v>9800</v>
          </cell>
        </row>
        <row r="399">
          <cell r="D399">
            <v>406993</v>
          </cell>
          <cell r="E399">
            <v>1221154</v>
          </cell>
          <cell r="F399">
            <v>1221155</v>
          </cell>
          <cell r="G399">
            <v>1221174</v>
          </cell>
        </row>
        <row r="407">
          <cell r="D407">
            <v>3150.2975130985751</v>
          </cell>
          <cell r="E407">
            <v>9735.3112869651231</v>
          </cell>
          <cell r="F407">
            <v>9628.8616370167474</v>
          </cell>
          <cell r="G407">
            <v>9633.2008782530775</v>
          </cell>
        </row>
        <row r="410">
          <cell r="D410">
            <v>537.75923121209314</v>
          </cell>
          <cell r="E410">
            <v>1536.7241997896249</v>
          </cell>
          <cell r="F410">
            <v>1515.9362862075413</v>
          </cell>
          <cell r="G410">
            <v>1520.2623540793932</v>
          </cell>
        </row>
        <row r="413">
          <cell r="D413">
            <v>3305.0727540146609</v>
          </cell>
          <cell r="E413">
            <v>9882.4444550300886</v>
          </cell>
          <cell r="F413">
            <v>10009.75015113924</v>
          </cell>
          <cell r="G413">
            <v>10020.575420398309</v>
          </cell>
        </row>
        <row r="419">
          <cell r="D419">
            <v>244619.07298881194</v>
          </cell>
          <cell r="E419">
            <v>1043450.7953421113</v>
          </cell>
          <cell r="F419">
            <v>1042282.5176954106</v>
          </cell>
          <cell r="G419">
            <v>1041114.24004871</v>
          </cell>
        </row>
        <row r="425">
          <cell r="D425">
            <v>155380.92701118806</v>
          </cell>
          <cell r="E425">
            <v>156549.20465788871</v>
          </cell>
          <cell r="F425">
            <v>157717.48230458936</v>
          </cell>
          <cell r="G425">
            <v>158885.75995129003</v>
          </cell>
        </row>
        <row r="433">
          <cell r="D433" t="str">
            <v xml:space="preserve">Administrata funksionale </v>
          </cell>
        </row>
        <row r="434">
          <cell r="D434" t="str">
            <v>Produkti parashikon nevojat për mbulimin e shpenzimeve për administrimin e përfitimeve nga skemat suplementare</v>
          </cell>
        </row>
        <row r="435">
          <cell r="D435" t="str">
            <v>nr punonjësish</v>
          </cell>
        </row>
        <row r="438">
          <cell r="D438">
            <v>45.657908547164105</v>
          </cell>
          <cell r="E438">
            <v>52.797451678991891</v>
          </cell>
          <cell r="F438">
            <v>53.007195191541861</v>
          </cell>
          <cell r="G438">
            <v>52.900225756311812</v>
          </cell>
        </row>
        <row r="439">
          <cell r="D439">
            <v>79170</v>
          </cell>
          <cell r="E439">
            <v>106102</v>
          </cell>
          <cell r="F439">
            <v>112002</v>
          </cell>
          <cell r="G439">
            <v>118474</v>
          </cell>
        </row>
        <row r="447">
          <cell r="D447">
            <v>35664.941809663389</v>
          </cell>
          <cell r="E447">
            <v>48828.199338866492</v>
          </cell>
          <cell r="F447">
            <v>50979.804610202751</v>
          </cell>
          <cell r="G447">
            <v>53900.360023351779</v>
          </cell>
        </row>
        <row r="450">
          <cell r="D450">
            <v>6088.0445764388633</v>
          </cell>
          <cell r="E450">
            <v>7707.5579141115877</v>
          </cell>
          <cell r="F450">
            <v>8026.0926561948936</v>
          </cell>
          <cell r="G450">
            <v>8506.2783648385193</v>
          </cell>
        </row>
        <row r="453">
          <cell r="D453">
            <v>37417.173126831716</v>
          </cell>
          <cell r="E453">
            <v>49566.157011494208</v>
          </cell>
          <cell r="F453">
            <v>52996.410805226566</v>
          </cell>
          <cell r="G453">
            <v>56067.825183623128</v>
          </cell>
        </row>
        <row r="473">
          <cell r="D473" t="str">
            <v>Përmirësimi i efiçencës së ISSH-së në menaxhimin e fondeve të skemës së programeve kompensuese të shtetit dhe trajtimeve të veçanta</v>
          </cell>
        </row>
        <row r="475">
          <cell r="C475" t="str">
            <v>Rritja e cilesise së shërbimit ndaj përfituesve</v>
          </cell>
        </row>
        <row r="479">
          <cell r="D479" t="str">
            <v>Përfitime të llogaritura dhe shpërndara për programin e Kompensimit të Çmimeve</v>
          </cell>
        </row>
        <row r="480">
          <cell r="D480" t="str">
            <v>Parashikohen nevojat për fond page për llogaritjen dhe kryerjen e pagesave për mbështetje me të ardhura të rreth 490 mijë pensionistëve</v>
          </cell>
        </row>
        <row r="481">
          <cell r="D481" t="str">
            <v>nr përfituesish</v>
          </cell>
        </row>
        <row r="484">
          <cell r="D484">
            <v>505623.96714154049</v>
          </cell>
          <cell r="E484">
            <v>485702.9899835902</v>
          </cell>
          <cell r="F484">
            <v>466573.84524225997</v>
          </cell>
          <cell r="G484">
            <v>448204.75667480717</v>
          </cell>
        </row>
        <row r="485">
          <cell r="D485">
            <v>4837507</v>
          </cell>
          <cell r="E485">
            <v>5090929</v>
          </cell>
          <cell r="F485">
            <v>5340348</v>
          </cell>
          <cell r="G485">
            <v>5617344</v>
          </cell>
        </row>
        <row r="493">
          <cell r="D493">
            <v>37444.331897479555</v>
          </cell>
          <cell r="E493">
            <v>40586.002421611891</v>
          </cell>
          <cell r="F493">
            <v>42108.89992175153</v>
          </cell>
          <cell r="G493">
            <v>44312.279347649077</v>
          </cell>
        </row>
        <row r="496">
          <cell r="D496">
            <v>6391.788410686846</v>
          </cell>
          <cell r="E496">
            <v>6406.5226324626674</v>
          </cell>
          <cell r="F496">
            <v>6629.486617427654</v>
          </cell>
          <cell r="G496">
            <v>6993.1366497048621</v>
          </cell>
        </row>
        <row r="499">
          <cell r="D499">
            <v>39283.985284589005</v>
          </cell>
          <cell r="E499">
            <v>41199.392886422153</v>
          </cell>
          <cell r="F499">
            <v>43774.600076884104</v>
          </cell>
          <cell r="G499">
            <v>46094.184359352716</v>
          </cell>
        </row>
        <row r="505">
          <cell r="D505">
            <v>4754386.7513198759</v>
          </cell>
          <cell r="E505">
            <v>5002737.0949241584</v>
          </cell>
          <cell r="F505">
            <v>5247835.2905024672</v>
          </cell>
          <cell r="G505">
            <v>5519944.6050399197</v>
          </cell>
        </row>
        <row r="519">
          <cell r="D519" t="str">
            <v>Përfitime të llogaritura dhe shpërndara për programin e pensioneve të posacme shtetërore</v>
          </cell>
        </row>
        <row r="520">
          <cell r="D520" t="str">
            <v>Parashikohen nevojat për fond page për llogaritjen dhe kryerjen e pagesave në rastin e pensioneve të posacme për rreth 270 persona</v>
          </cell>
        </row>
        <row r="521">
          <cell r="D521" t="str">
            <v>nr përfituesish</v>
          </cell>
        </row>
        <row r="524">
          <cell r="D524">
            <v>261.51</v>
          </cell>
          <cell r="E524">
            <v>273.60720000000003</v>
          </cell>
          <cell r="F524">
            <v>290.02363200000008</v>
          </cell>
          <cell r="G524">
            <v>307.42504992000011</v>
          </cell>
        </row>
        <row r="525">
          <cell r="D525">
            <v>85417</v>
          </cell>
          <cell r="E525">
            <v>94830</v>
          </cell>
          <cell r="F525">
            <v>102601</v>
          </cell>
          <cell r="G525">
            <v>111030</v>
          </cell>
        </row>
        <row r="533">
          <cell r="D533">
            <v>661.16070298266607</v>
          </cell>
          <cell r="E533">
            <v>756.00932234310085</v>
          </cell>
          <cell r="F533">
            <v>809.0131588179222</v>
          </cell>
          <cell r="G533">
            <v>875.86029033354544</v>
          </cell>
        </row>
        <row r="536">
          <cell r="D536">
            <v>112.86085516218364</v>
          </cell>
          <cell r="E536">
            <v>119.33648413140469</v>
          </cell>
          <cell r="F536">
            <v>127.36836914934059</v>
          </cell>
          <cell r="G536">
            <v>138.22377874763083</v>
          </cell>
        </row>
        <row r="539">
          <cell r="D539">
            <v>693.64376423732813</v>
          </cell>
          <cell r="E539">
            <v>767.43515593015047</v>
          </cell>
          <cell r="F539">
            <v>841.01526161926392</v>
          </cell>
          <cell r="G539">
            <v>911.08077241827823</v>
          </cell>
        </row>
        <row r="545">
          <cell r="D545">
            <v>83948.985800056762</v>
          </cell>
          <cell r="E545">
            <v>93187.691699844378</v>
          </cell>
          <cell r="F545">
            <v>100823.52693171409</v>
          </cell>
          <cell r="G545">
            <v>109105.2041458989</v>
          </cell>
        </row>
        <row r="559">
          <cell r="D559" t="str">
            <v>Perfitime te llogaritura dhe shperndara per shperblime per Pensionet e Veteraneve</v>
          </cell>
        </row>
        <row r="560">
          <cell r="D560" t="str">
            <v>Parashikohen nevojat per fond page per llogaritjen dhe kryerjen e pagesave per rreth 3 500 veterane dhe invalide lufte</v>
          </cell>
        </row>
        <row r="561">
          <cell r="D561" t="str">
            <v>nr perfituesish</v>
          </cell>
        </row>
        <row r="564">
          <cell r="D564">
            <v>4209.4799999999996</v>
          </cell>
          <cell r="E564">
            <v>3444.69</v>
          </cell>
          <cell r="F564">
            <v>3427.4665500000001</v>
          </cell>
          <cell r="G564">
            <v>3410.3292172500001</v>
          </cell>
        </row>
        <row r="565">
          <cell r="D565">
            <v>145427</v>
          </cell>
        </row>
        <row r="573">
          <cell r="D573">
            <v>1125.6649280590875</v>
          </cell>
          <cell r="E573">
            <v>1020.3736023978699</v>
          </cell>
          <cell r="F573">
            <v>1034.2954723480539</v>
          </cell>
          <cell r="G573">
            <v>1060.4754022270015</v>
          </cell>
        </row>
        <row r="576">
          <cell r="D576">
            <v>192.15223444723892</v>
          </cell>
          <cell r="E576">
            <v>161.06653001746398</v>
          </cell>
          <cell r="F576">
            <v>162.83607515606226</v>
          </cell>
          <cell r="G576">
            <v>167.35878881882874</v>
          </cell>
        </row>
        <row r="579">
          <cell r="D579">
            <v>1180.9692476373896</v>
          </cell>
          <cell r="E579">
            <v>1035.7948659101805</v>
          </cell>
          <cell r="F579">
            <v>1075.2090590706825</v>
          </cell>
          <cell r="G579">
            <v>1103.1197089933376</v>
          </cell>
        </row>
        <row r="585">
          <cell r="D585">
            <v>142928.07880890006</v>
          </cell>
          <cell r="E585">
            <v>125773.92615240683</v>
          </cell>
          <cell r="F585">
            <v>128899.40821729414</v>
          </cell>
          <cell r="G585">
            <v>132102.5585114939</v>
          </cell>
        </row>
        <row r="599">
          <cell r="D599" t="str">
            <v>Përfitime të llogaritura dhe shpërndara për shpërblime për Invalidët e Punës</v>
          </cell>
        </row>
        <row r="600">
          <cell r="D600" t="str">
            <v>Parashikohen nevojat për fond page për llogaritjen dhe kryerjen e pagesave për rreth 500 invalidë pune</v>
          </cell>
        </row>
        <row r="601">
          <cell r="D601" t="str">
            <v>nr përfituesish</v>
          </cell>
        </row>
        <row r="604">
          <cell r="D604">
            <v>495.99</v>
          </cell>
          <cell r="E604">
            <v>503.55360000000002</v>
          </cell>
          <cell r="F604">
            <v>513.62467200000003</v>
          </cell>
          <cell r="G604">
            <v>523.89716544000009</v>
          </cell>
        </row>
        <row r="605">
          <cell r="D605">
            <v>41291</v>
          </cell>
          <cell r="E605">
            <v>43044</v>
          </cell>
          <cell r="F605">
            <v>43905</v>
          </cell>
          <cell r="G605">
            <v>44784</v>
          </cell>
        </row>
        <row r="613">
          <cell r="D613">
            <v>319.61142587675141</v>
          </cell>
          <cell r="E613">
            <v>343.15757319703442</v>
          </cell>
          <cell r="F613">
            <v>346.19346300322769</v>
          </cell>
          <cell r="G613">
            <v>353.27646439616348</v>
          </cell>
        </row>
        <row r="616">
          <cell r="D616">
            <v>54.558019981113027</v>
          </cell>
          <cell r="E616">
            <v>54.167610210782939</v>
          </cell>
          <cell r="F616">
            <v>54.50355944433727</v>
          </cell>
          <cell r="G616">
            <v>55.752279661913512</v>
          </cell>
        </row>
        <row r="619">
          <cell r="D619">
            <v>335.31404927467679</v>
          </cell>
          <cell r="E619">
            <v>348.34383374913074</v>
          </cell>
          <cell r="F619">
            <v>359.88782467265918</v>
          </cell>
          <cell r="G619">
            <v>367.48257411770874</v>
          </cell>
        </row>
        <row r="625">
          <cell r="D625">
            <v>40581.744999999995</v>
          </cell>
          <cell r="E625">
            <v>42298.502400000005</v>
          </cell>
          <cell r="F625">
            <v>43144.472448000008</v>
          </cell>
          <cell r="G625">
            <v>44007.361896960007</v>
          </cell>
        </row>
        <row r="639">
          <cell r="D639" t="str">
            <v>Përfitime të llogaritura dhe shpërndara për kompensime për të ardhurat e pensionistëve</v>
          </cell>
        </row>
        <row r="640">
          <cell r="D640" t="str">
            <v>Parashikohen nevojat për fond për llogaritjen dhe kryerjen e pagesave për mbeshtetje me të ardhura të rreth 370 mijë pensionistëve</v>
          </cell>
        </row>
        <row r="644">
          <cell r="D644">
            <v>350532.01792951749</v>
          </cell>
          <cell r="E644">
            <v>344079</v>
          </cell>
          <cell r="F644">
            <v>326503</v>
          </cell>
          <cell r="G644">
            <v>309835</v>
          </cell>
        </row>
        <row r="645">
          <cell r="D645">
            <v>7793918</v>
          </cell>
          <cell r="E645">
            <v>4589015</v>
          </cell>
          <cell r="F645">
            <v>4418220</v>
          </cell>
          <cell r="G645">
            <v>4254680</v>
          </cell>
        </row>
        <row r="653">
          <cell r="D653">
            <v>60328.193498984503</v>
          </cell>
          <cell r="E653">
            <v>36584.63649208899</v>
          </cell>
          <cell r="F653">
            <v>34837.877296234685</v>
          </cell>
          <cell r="G653">
            <v>33562.935951663407</v>
          </cell>
        </row>
        <row r="656">
          <cell r="D656">
            <v>10298.088615928502</v>
          </cell>
          <cell r="E656">
            <v>5774.9048367025453</v>
          </cell>
          <cell r="F656">
            <v>5484.7607452141638</v>
          </cell>
          <cell r="G656">
            <v>5296.7304081532538</v>
          </cell>
        </row>
        <row r="659">
          <cell r="D659">
            <v>63292.139172056362</v>
          </cell>
          <cell r="E659">
            <v>37137.552912624349</v>
          </cell>
          <cell r="F659">
            <v>36215.957885484473</v>
          </cell>
          <cell r="G659">
            <v>34912.583603740917</v>
          </cell>
        </row>
        <row r="665">
          <cell r="D665">
            <v>7659999.5077476706</v>
          </cell>
          <cell r="E665">
            <v>4509518.2369040223</v>
          </cell>
          <cell r="F665">
            <v>4341681.7409408716</v>
          </cell>
          <cell r="G665">
            <v>4180907.6392165725</v>
          </cell>
        </row>
        <row r="679">
          <cell r="D679" t="str">
            <v>Përfitime të llogaritura dhe shpërndara për kompensime për pensionet sociale</v>
          </cell>
        </row>
        <row r="680">
          <cell r="D680" t="str">
            <v>Parashikohen nevojat për fond për llogaritjen dhe kryerjen e pagesave për mbeshtetje me te ardhura të rreth 3 000 pensionistëve</v>
          </cell>
        </row>
        <row r="681">
          <cell r="D681" t="str">
            <v>nr përfituesish</v>
          </cell>
        </row>
        <row r="684">
          <cell r="D684">
            <v>2725.8400319936013</v>
          </cell>
          <cell r="E684">
            <v>2998.4240351929616</v>
          </cell>
          <cell r="F684">
            <v>3464.3468407960199</v>
          </cell>
          <cell r="G684">
            <v>3810.7815248756224</v>
          </cell>
        </row>
        <row r="685">
          <cell r="D685">
            <v>181334</v>
          </cell>
          <cell r="E685">
            <v>207346</v>
          </cell>
          <cell r="F685">
            <v>245554</v>
          </cell>
          <cell r="G685">
            <v>276867</v>
          </cell>
        </row>
        <row r="693">
          <cell r="D693">
            <v>1403.5989024044336</v>
          </cell>
          <cell r="E693">
            <v>1653.0064305000817</v>
          </cell>
          <cell r="F693">
            <v>1936.2071844702969</v>
          </cell>
          <cell r="G693">
            <v>2184.0574014156755</v>
          </cell>
        </row>
        <row r="696">
          <cell r="D696">
            <v>239.59586786606079</v>
          </cell>
          <cell r="E696">
            <v>260.92796719900537</v>
          </cell>
          <cell r="F696">
            <v>304.83008679556099</v>
          </cell>
          <cell r="G696">
            <v>344.67673709746623</v>
          </cell>
        </row>
        <row r="699">
          <cell r="D699">
            <v>1472.5582173154637</v>
          </cell>
          <cell r="E699">
            <v>1677.9888954446676</v>
          </cell>
          <cell r="F699">
            <v>2012.7976585395331</v>
          </cell>
          <cell r="G699">
            <v>2271.883685387626</v>
          </cell>
        </row>
        <row r="705">
          <cell r="D705">
            <v>178217.94882145963</v>
          </cell>
          <cell r="E705">
            <v>203753.90761834246</v>
          </cell>
          <cell r="F705">
            <v>241300.44744149182</v>
          </cell>
          <cell r="G705">
            <v>272066.25449028204</v>
          </cell>
        </row>
        <row r="719">
          <cell r="D719" t="str">
            <v>Përfitime të llogaritura dhe shpërndara për kompensime për "Trajtim i vecante i punonjësve të nëntokës"</v>
          </cell>
        </row>
        <row r="720">
          <cell r="D720" t="str">
            <v>Parashikohen nevojat për fond për llogaritjen dhe pagesën e pagesave për mbështetje me të ardhura të rreth 3 000 ish minatorëve</v>
          </cell>
        </row>
        <row r="721">
          <cell r="D721" t="str">
            <v>nr përfituesish</v>
          </cell>
        </row>
        <row r="724">
          <cell r="D724">
            <v>3134.38175</v>
          </cell>
          <cell r="E724">
            <v>3134.38175</v>
          </cell>
          <cell r="F724">
            <v>3134.38175</v>
          </cell>
          <cell r="G724">
            <v>3134.38175</v>
          </cell>
        </row>
        <row r="725">
          <cell r="D725">
            <v>566105</v>
          </cell>
        </row>
        <row r="733">
          <cell r="D733">
            <v>4381.8872345605487</v>
          </cell>
          <cell r="E733">
            <v>13739.152244549105</v>
          </cell>
          <cell r="F733">
            <v>13732.345064255403</v>
          </cell>
          <cell r="G733">
            <v>13887.802694438436</v>
          </cell>
        </row>
        <row r="736">
          <cell r="D736">
            <v>747.99294375141528</v>
          </cell>
          <cell r="E736">
            <v>2168.7326800799597</v>
          </cell>
          <cell r="F736">
            <v>2161.9752118566653</v>
          </cell>
          <cell r="G736">
            <v>2191.7017909280685</v>
          </cell>
        </row>
        <row r="739">
          <cell r="D739">
            <v>4597.1709179511872</v>
          </cell>
          <cell r="E739">
            <v>13946.796862854635</v>
          </cell>
          <cell r="F739">
            <v>14275.554916480694</v>
          </cell>
          <cell r="G739">
            <v>14446.265170011453</v>
          </cell>
        </row>
        <row r="745">
          <cell r="D745">
            <v>556377.57593892817</v>
          </cell>
          <cell r="E745">
            <v>1693523.9364696846</v>
          </cell>
          <cell r="F745">
            <v>1711397.9511094128</v>
          </cell>
          <cell r="G745">
            <v>1729992.2885391221</v>
          </cell>
        </row>
        <row r="759">
          <cell r="D759" t="str">
            <v>Përfitime të llogaritura dhe shpërndara për kompensime mbi statusin "Dëshmor i Atdheut"</v>
          </cell>
        </row>
        <row r="760">
          <cell r="D760" t="str">
            <v>Parashikohen nevojat për fond për llogaritjen dhe kryerjen e pagesave për mbështetje me të ardhura të rreth 270 familjeve të deshmorëve</v>
          </cell>
        </row>
        <row r="761">
          <cell r="D761" t="str">
            <v>nr përfituesish</v>
          </cell>
        </row>
        <row r="764">
          <cell r="D764">
            <v>349.99</v>
          </cell>
          <cell r="E764">
            <v>344.99520000000001</v>
          </cell>
          <cell r="F764">
            <v>338.09529600000002</v>
          </cell>
          <cell r="G764">
            <v>327.95243712000001</v>
          </cell>
        </row>
        <row r="765">
          <cell r="D765">
            <v>29913</v>
          </cell>
          <cell r="E765">
            <v>29490</v>
          </cell>
          <cell r="F765">
            <v>28901</v>
          </cell>
          <cell r="G765">
            <v>28034</v>
          </cell>
        </row>
        <row r="773">
          <cell r="D773">
            <v>231.54025158796784</v>
          </cell>
          <cell r="E773">
            <v>235.10449651561524</v>
          </cell>
          <cell r="F773">
            <v>227.88309777171546</v>
          </cell>
          <cell r="G773">
            <v>221.14621937027351</v>
          </cell>
        </row>
        <row r="776">
          <cell r="D776">
            <v>39.524174199703317</v>
          </cell>
          <cell r="E776">
            <v>37.111373085588305</v>
          </cell>
          <cell r="F776">
            <v>35.877164918173555</v>
          </cell>
          <cell r="G776">
            <v>34.900162085748775</v>
          </cell>
        </row>
        <row r="779">
          <cell r="D779">
            <v>242.91590676729422</v>
          </cell>
          <cell r="E779">
            <v>238.65771308763971</v>
          </cell>
          <cell r="F779">
            <v>236.89746081648266</v>
          </cell>
          <cell r="G779">
            <v>230.03904913250756</v>
          </cell>
        </row>
        <row r="785">
          <cell r="D785">
            <v>29399.160000000003</v>
          </cell>
          <cell r="E785">
            <v>28979.596799999996</v>
          </cell>
          <cell r="F785">
            <v>28400.004863999999</v>
          </cell>
          <cell r="G785">
            <v>27548.004718080003</v>
          </cell>
        </row>
        <row r="799">
          <cell r="D799" t="str">
            <v>Përfitime të llogaritura dhe shpërndara për trajtimin e veçantë të pilotëve fluturues në pension</v>
          </cell>
        </row>
        <row r="800">
          <cell r="D800" t="str">
            <v>Parashikohen nevojat për fond për llogaritjen dhe kryerjen e pagesave për mbështetje me të ardhura të 230 personave që trajtohen me pension si pilote</v>
          </cell>
        </row>
        <row r="801">
          <cell r="D801" t="str">
            <v>nr përfituesish</v>
          </cell>
        </row>
        <row r="804">
          <cell r="D804">
            <v>235.76400000000001</v>
          </cell>
          <cell r="E804">
            <v>233.17272</v>
          </cell>
          <cell r="F804">
            <v>231.77368368</v>
          </cell>
          <cell r="G804">
            <v>230.38304157792001</v>
          </cell>
        </row>
        <row r="805">
          <cell r="D805">
            <v>73108</v>
          </cell>
          <cell r="E805">
            <v>72907</v>
          </cell>
          <cell r="F805">
            <v>74644</v>
          </cell>
          <cell r="G805">
            <v>76423</v>
          </cell>
        </row>
        <row r="813">
          <cell r="D813">
            <v>565.88860773909539</v>
          </cell>
          <cell r="E813">
            <v>581.23279526966496</v>
          </cell>
          <cell r="F813">
            <v>588.57095061146867</v>
          </cell>
          <cell r="G813">
            <v>602.86226782958636</v>
          </cell>
        </row>
        <row r="816">
          <cell r="D816">
            <v>96.597804297582726</v>
          </cell>
          <cell r="E816">
            <v>91.747913946848882</v>
          </cell>
          <cell r="F816">
            <v>92.662673395318237</v>
          </cell>
          <cell r="G816">
            <v>95.140631038356574</v>
          </cell>
        </row>
        <row r="819">
          <cell r="D819">
            <v>593.69091695919792</v>
          </cell>
          <cell r="E819">
            <v>590.01717000925703</v>
          </cell>
          <cell r="F819">
            <v>611.85302935401091</v>
          </cell>
          <cell r="G819">
            <v>627.1048324691676</v>
          </cell>
        </row>
        <row r="825">
          <cell r="D825">
            <v>71852.084495028859</v>
          </cell>
          <cell r="E825">
            <v>71644.278622859492</v>
          </cell>
          <cell r="F825">
            <v>73350.845339656022</v>
          </cell>
          <cell r="G825">
            <v>75098.062475646628</v>
          </cell>
        </row>
        <row r="839">
          <cell r="D839" t="str">
            <v>Përfitime të llogaritura dhe shpërndara për trajtimin e veçantë i punonjësve të industrisë ushtarake</v>
          </cell>
        </row>
        <row r="840">
          <cell r="D840" t="str">
            <v>Parashikohen nevojat për fond për llogaritjen dhe kryerjen e pagesave për mbeshtetje me të ardhura të rreth 450 ish punonjësve të industrisë ushtarake</v>
          </cell>
        </row>
        <row r="844">
          <cell r="D844">
            <v>460.25</v>
          </cell>
          <cell r="E844">
            <v>455.08800000000002</v>
          </cell>
          <cell r="F844">
            <v>450.53712000000002</v>
          </cell>
          <cell r="G844">
            <v>446.0317488</v>
          </cell>
        </row>
        <row r="845">
          <cell r="D845">
            <v>82546</v>
          </cell>
          <cell r="E845">
            <v>84412</v>
          </cell>
          <cell r="F845">
            <v>86074</v>
          </cell>
          <cell r="G845">
            <v>87771</v>
          </cell>
        </row>
        <row r="853">
          <cell r="D853">
            <v>638.94043004663786</v>
          </cell>
          <cell r="E853">
            <v>672.94712130213122</v>
          </cell>
          <cell r="F853">
            <v>678.7009583225813</v>
          </cell>
          <cell r="G853">
            <v>692.38324878507683</v>
          </cell>
        </row>
        <row r="856">
          <cell r="D856">
            <v>109.06783026795756</v>
          </cell>
          <cell r="E856">
            <v>106.22507036507194</v>
          </cell>
          <cell r="F856">
            <v>106.8524451789507</v>
          </cell>
          <cell r="G856">
            <v>109.26837310113503</v>
          </cell>
        </row>
        <row r="859">
          <cell r="D859">
            <v>670.33180136325586</v>
          </cell>
          <cell r="E859">
            <v>683.11760676261702</v>
          </cell>
          <cell r="F859">
            <v>705.54830635749352</v>
          </cell>
          <cell r="G859">
            <v>720.22567077719293</v>
          </cell>
        </row>
        <row r="865">
          <cell r="D865">
            <v>81127.630313009722</v>
          </cell>
          <cell r="E865">
            <v>82949.226969638912</v>
          </cell>
          <cell r="F865">
            <v>84583.326740940814</v>
          </cell>
          <cell r="G865">
            <v>86249.618277737361</v>
          </cell>
        </row>
        <row r="879">
          <cell r="D879" t="str">
            <v>Përfitime të llogaritura dhe shpërndara për trajtimin e veçantë të ushtarakëve të nëndetëseve në pension</v>
          </cell>
        </row>
        <row r="880">
          <cell r="D880" t="str">
            <v>Parashikohen nevojat për fond për llogaritjen dhe kryerjen e transfertave për mbeshtetje me të ardhura të 60 personave që trajtohen me pension suplementar dhe me pensione të parakohshme për vjetërsi shërbimi</v>
          </cell>
        </row>
        <row r="884">
          <cell r="D884">
            <v>60.939</v>
          </cell>
          <cell r="E884">
            <v>60.756244000000002</v>
          </cell>
          <cell r="F884">
            <v>60.634731512000002</v>
          </cell>
          <cell r="G884">
            <v>60.513462048976002</v>
          </cell>
        </row>
        <row r="885">
          <cell r="D885">
            <v>11917</v>
          </cell>
          <cell r="E885">
            <v>12565</v>
          </cell>
          <cell r="F885">
            <v>12916</v>
          </cell>
          <cell r="G885">
            <v>13278</v>
          </cell>
        </row>
        <row r="893">
          <cell r="D893">
            <v>92.244656051273864</v>
          </cell>
          <cell r="E893">
            <v>100.17389383870956</v>
          </cell>
          <cell r="F893">
            <v>101.84680862577967</v>
          </cell>
          <cell r="G893">
            <v>104.73958803546091</v>
          </cell>
        </row>
        <row r="896">
          <cell r="D896">
            <v>15.746263683129412</v>
          </cell>
          <cell r="E896">
            <v>15.81250381333115</v>
          </cell>
          <cell r="F896">
            <v>16.034426358014361</v>
          </cell>
          <cell r="G896">
            <v>16.529464576157714</v>
          </cell>
        </row>
        <row r="899">
          <cell r="D899">
            <v>96.776668918056913</v>
          </cell>
          <cell r="E899">
            <v>101.68785696977321</v>
          </cell>
          <cell r="F899">
            <v>105.8755589669893</v>
          </cell>
          <cell r="G899">
            <v>108.95142275919341</v>
          </cell>
        </row>
        <row r="905">
          <cell r="D905">
            <v>11712.500888278795</v>
          </cell>
          <cell r="E905">
            <v>12347.696859719545</v>
          </cell>
          <cell r="F905">
            <v>12692.691509980108</v>
          </cell>
          <cell r="G905">
            <v>13047.325310768954</v>
          </cell>
        </row>
        <row r="919">
          <cell r="D919" t="str">
            <v>Përfitime të llogaritura dhe shpërndara për trajtimin e veçantë për shpenzime varrimi</v>
          </cell>
        </row>
        <row r="920">
          <cell r="D920" t="str">
            <v>Parashikohen nevojat për fond për llogaritjen dhe kryerjen e pagesave për mbeshtetje me të ardhura të familjeve për përballimin e shpenzimeve të varrimit për rreth 19 400 raste</v>
          </cell>
        </row>
        <row r="921">
          <cell r="D921" t="str">
            <v>nr përfituesish</v>
          </cell>
        </row>
        <row r="924">
          <cell r="D924">
            <v>19128.934715773245</v>
          </cell>
          <cell r="E924">
            <v>19419.223461183246</v>
          </cell>
          <cell r="F924">
            <v>19615.357618141195</v>
          </cell>
          <cell r="G924">
            <v>19813.472730084421</v>
          </cell>
        </row>
        <row r="925">
          <cell r="D925">
            <v>208608</v>
          </cell>
          <cell r="E925">
            <v>218187</v>
          </cell>
          <cell r="F925">
            <v>227003</v>
          </cell>
          <cell r="G925">
            <v>236178</v>
          </cell>
        </row>
        <row r="933">
          <cell r="D933">
            <v>1614.7129583391529</v>
          </cell>
          <cell r="E933">
            <v>1739.4381598686784</v>
          </cell>
          <cell r="F933">
            <v>1789.9285393914447</v>
          </cell>
          <cell r="G933">
            <v>1863.086242771644</v>
          </cell>
        </row>
        <row r="936">
          <cell r="D936">
            <v>275.63326812603083</v>
          </cell>
          <cell r="E936">
            <v>274.57126285080739</v>
          </cell>
          <cell r="F936">
            <v>281.80045833773539</v>
          </cell>
          <cell r="G936">
            <v>294.02271509598023</v>
          </cell>
        </row>
        <row r="939">
          <cell r="D939">
            <v>1694.0443821485358</v>
          </cell>
          <cell r="E939">
            <v>1765.7268978012028</v>
          </cell>
          <cell r="F939">
            <v>1860.7326746521821</v>
          </cell>
          <cell r="G939">
            <v>1938.0054922912927</v>
          </cell>
        </row>
        <row r="945">
          <cell r="D945">
            <v>205023.55115672242</v>
          </cell>
          <cell r="E945">
            <v>214407.70924676975</v>
          </cell>
          <cell r="F945">
            <v>223070.42392346699</v>
          </cell>
          <cell r="G945">
            <v>232083.13826124682</v>
          </cell>
        </row>
        <row r="959">
          <cell r="D959" t="str">
            <v xml:space="preserve">Administrata funksionale </v>
          </cell>
        </row>
        <row r="960">
          <cell r="D960" t="str">
            <v>Parashikohen fonde për administrimin e përfitimeve për skemat kompensuese dhe trajtimet financiare të veçanta</v>
          </cell>
        </row>
        <row r="961">
          <cell r="D961" t="str">
            <v>nr punonjësish</v>
          </cell>
        </row>
        <row r="964">
          <cell r="D964">
            <v>106.44145296946458</v>
          </cell>
          <cell r="E964">
            <v>106.44145296946458</v>
          </cell>
          <cell r="F964">
            <v>106.44145296946458</v>
          </cell>
          <cell r="G964">
            <v>106.44145296946458</v>
          </cell>
        </row>
        <row r="965">
          <cell r="D965">
            <v>241535</v>
          </cell>
          <cell r="E965">
            <v>212975</v>
          </cell>
          <cell r="F965">
            <v>215727</v>
          </cell>
          <cell r="G965">
            <v>219189</v>
          </cell>
        </row>
        <row r="973">
          <cell r="D973">
            <v>108807.77549411167</v>
          </cell>
          <cell r="E973">
            <v>98011.234553482878</v>
          </cell>
          <cell r="F973">
            <v>98191.761915604118</v>
          </cell>
          <cell r="G973">
            <v>99720.90511891534</v>
          </cell>
        </row>
        <row r="976">
          <cell r="D976">
            <v>18573.606288397765</v>
          </cell>
          <cell r="E976">
            <v>15471.126864865479</v>
          </cell>
          <cell r="F976">
            <v>15458.987833231975</v>
          </cell>
          <cell r="G976">
            <v>15737.441779009401</v>
          </cell>
        </row>
        <row r="979">
          <cell r="D979">
            <v>114153.54032921774</v>
          </cell>
          <cell r="E979">
            <v>99492.512657565763</v>
          </cell>
          <cell r="F979">
            <v>102075.92971289858</v>
          </cell>
          <cell r="G979">
            <v>103730.92634145138</v>
          </cell>
        </row>
        <row r="1025">
          <cell r="D1025">
            <v>1337</v>
          </cell>
          <cell r="E1025">
            <v>1339.9999999999998</v>
          </cell>
          <cell r="F1025">
            <v>1360</v>
          </cell>
          <cell r="G1025">
            <v>1370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Desktop/PBA/PBA%202019-2021/Desktop/PBA/PBA%202019-2021/PBA%202019-2021%20faza%202/Dokumenti%20i%20PBA/AppData/Local/Microsoft/Windows/Temporary%20Internet%20Files/AppData/Local/Temp/09240-%20Arsimi%20i%20mesem%20profesional%20Formatet%20e%20Raporteve%20te%20PBA%202019-2021%20-%20final.xlsx"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0"/>
  <sheetViews>
    <sheetView view="pageBreakPreview" zoomScaleNormal="100" zoomScaleSheetLayoutView="100" workbookViewId="0">
      <selection activeCell="K5" sqref="K5"/>
    </sheetView>
  </sheetViews>
  <sheetFormatPr defaultRowHeight="15" x14ac:dyDescent="0.25"/>
  <cols>
    <col min="1" max="1" width="26" customWidth="1"/>
    <col min="2" max="2" width="11.42578125" customWidth="1"/>
    <col min="7" max="7" width="22.7109375" customWidth="1"/>
  </cols>
  <sheetData>
    <row r="1" spans="1:7" x14ac:dyDescent="0.25">
      <c r="A1" s="2" t="s">
        <v>0</v>
      </c>
      <c r="B1" s="3"/>
      <c r="C1" s="3"/>
      <c r="D1" s="3"/>
      <c r="E1" s="1"/>
      <c r="F1" s="1"/>
      <c r="G1" s="1"/>
    </row>
    <row r="2" spans="1:7" ht="15.75" thickBot="1" x14ac:dyDescent="0.3">
      <c r="A2" s="1"/>
      <c r="B2" s="1"/>
      <c r="C2" s="1"/>
      <c r="D2" s="1"/>
      <c r="E2" s="1"/>
      <c r="F2" s="1"/>
      <c r="G2" s="1"/>
    </row>
    <row r="3" spans="1:7" ht="65.25" customHeight="1" thickBot="1" x14ac:dyDescent="0.3">
      <c r="A3" s="4" t="s">
        <v>1</v>
      </c>
      <c r="B3" s="499" t="s">
        <v>610</v>
      </c>
      <c r="C3" s="500"/>
      <c r="D3" s="500"/>
      <c r="E3" s="500"/>
      <c r="F3" s="500"/>
      <c r="G3" s="501"/>
    </row>
    <row r="4" spans="1:7" ht="60" customHeight="1" thickBot="1" x14ac:dyDescent="0.3">
      <c r="A4" s="6" t="s">
        <v>2</v>
      </c>
      <c r="B4" s="502" t="s">
        <v>612</v>
      </c>
      <c r="C4" s="503"/>
      <c r="D4" s="503"/>
      <c r="E4" s="503"/>
      <c r="F4" s="503"/>
      <c r="G4" s="504"/>
    </row>
    <row r="5" spans="1:7" ht="211.5" customHeight="1" thickBot="1" x14ac:dyDescent="0.3">
      <c r="A5" s="6" t="s">
        <v>3</v>
      </c>
      <c r="B5" s="496" t="s">
        <v>31</v>
      </c>
      <c r="C5" s="497"/>
      <c r="D5" s="497"/>
      <c r="E5" s="497"/>
      <c r="F5" s="497"/>
      <c r="G5" s="498"/>
    </row>
    <row r="6" spans="1:7" ht="52.5" customHeight="1" thickBot="1" x14ac:dyDescent="0.3">
      <c r="A6" s="4" t="s">
        <v>4</v>
      </c>
      <c r="B6" s="492" t="s">
        <v>5</v>
      </c>
      <c r="C6" s="500" t="s">
        <v>6</v>
      </c>
      <c r="D6" s="500"/>
      <c r="E6" s="500"/>
      <c r="F6" s="500"/>
      <c r="G6" s="501"/>
    </row>
    <row r="7" spans="1:7" ht="43.5" hidden="1" customHeight="1" thickBot="1" x14ac:dyDescent="0.3">
      <c r="A7" s="7" t="s">
        <v>9</v>
      </c>
      <c r="B7" s="5" t="s">
        <v>7</v>
      </c>
      <c r="C7" s="496"/>
      <c r="D7" s="497"/>
      <c r="E7" s="497"/>
      <c r="F7" s="497"/>
      <c r="G7" s="498"/>
    </row>
    <row r="8" spans="1:7" ht="152.25" customHeight="1" thickBot="1" x14ac:dyDescent="0.3">
      <c r="A8" s="6" t="s">
        <v>10</v>
      </c>
      <c r="B8" s="5" t="s">
        <v>11</v>
      </c>
      <c r="C8" s="496" t="s">
        <v>37</v>
      </c>
      <c r="D8" s="497"/>
      <c r="E8" s="497"/>
      <c r="F8" s="497"/>
      <c r="G8" s="498"/>
    </row>
    <row r="9" spans="1:7" ht="57.75" customHeight="1" thickBot="1" x14ac:dyDescent="0.3">
      <c r="A9" s="6" t="s">
        <v>12</v>
      </c>
      <c r="B9" s="5" t="s">
        <v>13</v>
      </c>
      <c r="C9" s="496"/>
      <c r="D9" s="497"/>
      <c r="E9" s="497"/>
      <c r="F9" s="497"/>
      <c r="G9" s="498"/>
    </row>
    <row r="10" spans="1:7" ht="75" customHeight="1" thickBot="1" x14ac:dyDescent="0.3">
      <c r="A10" s="6" t="s">
        <v>14</v>
      </c>
      <c r="B10" s="5" t="s">
        <v>15</v>
      </c>
      <c r="C10" s="496" t="s">
        <v>136</v>
      </c>
      <c r="D10" s="497"/>
      <c r="E10" s="497"/>
      <c r="F10" s="497"/>
      <c r="G10" s="498"/>
    </row>
    <row r="11" spans="1:7" ht="72" customHeight="1" thickBot="1" x14ac:dyDescent="0.3">
      <c r="A11" s="6" t="s">
        <v>16</v>
      </c>
      <c r="B11" s="5" t="s">
        <v>17</v>
      </c>
      <c r="C11" s="496" t="s">
        <v>235</v>
      </c>
      <c r="D11" s="497"/>
      <c r="E11" s="497"/>
      <c r="F11" s="497"/>
      <c r="G11" s="498"/>
    </row>
    <row r="12" spans="1:7" ht="117" customHeight="1" thickBot="1" x14ac:dyDescent="0.3">
      <c r="A12" s="7" t="s">
        <v>18</v>
      </c>
      <c r="B12" s="5" t="s">
        <v>8</v>
      </c>
      <c r="C12" s="493" t="s">
        <v>320</v>
      </c>
      <c r="D12" s="494"/>
      <c r="E12" s="494"/>
      <c r="F12" s="494"/>
      <c r="G12" s="495"/>
    </row>
    <row r="13" spans="1:7" ht="121.5" customHeight="1" thickBot="1" x14ac:dyDescent="0.3">
      <c r="A13" s="6" t="s">
        <v>19</v>
      </c>
      <c r="B13" s="5" t="s">
        <v>25</v>
      </c>
      <c r="C13" s="493" t="s">
        <v>339</v>
      </c>
      <c r="D13" s="494"/>
      <c r="E13" s="494"/>
      <c r="F13" s="494"/>
      <c r="G13" s="495"/>
    </row>
    <row r="14" spans="1:7" ht="142.5" customHeight="1" thickBot="1" x14ac:dyDescent="0.3">
      <c r="A14" s="6" t="s">
        <v>20</v>
      </c>
      <c r="B14" s="5" t="s">
        <v>27</v>
      </c>
      <c r="C14" s="496" t="s">
        <v>608</v>
      </c>
      <c r="D14" s="497"/>
      <c r="E14" s="497"/>
      <c r="F14" s="497"/>
      <c r="G14" s="498"/>
    </row>
    <row r="15" spans="1:7" ht="174" customHeight="1" thickBot="1" x14ac:dyDescent="0.3">
      <c r="A15" s="6" t="s">
        <v>21</v>
      </c>
      <c r="B15" s="5">
        <v>10220</v>
      </c>
      <c r="C15" s="496" t="s">
        <v>609</v>
      </c>
      <c r="D15" s="497"/>
      <c r="E15" s="497"/>
      <c r="F15" s="497"/>
      <c r="G15" s="498"/>
    </row>
    <row r="16" spans="1:7" ht="148.5" customHeight="1" thickBot="1" x14ac:dyDescent="0.3">
      <c r="A16" s="6" t="s">
        <v>22</v>
      </c>
      <c r="B16" s="5">
        <v>10550</v>
      </c>
      <c r="C16" s="496" t="s">
        <v>487</v>
      </c>
      <c r="D16" s="497"/>
      <c r="E16" s="497"/>
      <c r="F16" s="497"/>
      <c r="G16" s="498"/>
    </row>
    <row r="17" spans="1:7" ht="117.75" customHeight="1" thickBot="1" x14ac:dyDescent="0.3">
      <c r="A17" s="7" t="s">
        <v>23</v>
      </c>
      <c r="B17" s="5" t="s">
        <v>28</v>
      </c>
      <c r="C17" s="496" t="s">
        <v>518</v>
      </c>
      <c r="D17" s="497"/>
      <c r="E17" s="497"/>
      <c r="F17" s="497"/>
      <c r="G17" s="498"/>
    </row>
    <row r="18" spans="1:7" ht="152.25" customHeight="1" thickBot="1" x14ac:dyDescent="0.3">
      <c r="A18" s="6" t="s">
        <v>24</v>
      </c>
      <c r="B18" s="5" t="s">
        <v>29</v>
      </c>
      <c r="C18" s="496" t="s">
        <v>526</v>
      </c>
      <c r="D18" s="497"/>
      <c r="E18" s="497"/>
      <c r="F18" s="497"/>
      <c r="G18" s="498"/>
    </row>
    <row r="19" spans="1:7" ht="128.25" customHeight="1" thickBot="1" x14ac:dyDescent="0.3">
      <c r="A19" s="6" t="s">
        <v>26</v>
      </c>
      <c r="B19" s="5" t="s">
        <v>30</v>
      </c>
      <c r="C19" s="496" t="s">
        <v>576</v>
      </c>
      <c r="D19" s="497"/>
      <c r="E19" s="497"/>
      <c r="F19" s="497"/>
      <c r="G19" s="498"/>
    </row>
    <row r="20" spans="1:7" x14ac:dyDescent="0.25">
      <c r="G20" s="51"/>
    </row>
  </sheetData>
  <mergeCells count="17">
    <mergeCell ref="B3:G3"/>
    <mergeCell ref="C6:G6"/>
    <mergeCell ref="C7:G7"/>
    <mergeCell ref="C11:G11"/>
    <mergeCell ref="B4:G4"/>
    <mergeCell ref="B5:G5"/>
    <mergeCell ref="C8:G8"/>
    <mergeCell ref="C12:G12"/>
    <mergeCell ref="C9:G9"/>
    <mergeCell ref="C10:G10"/>
    <mergeCell ref="C18:G18"/>
    <mergeCell ref="C19:G19"/>
    <mergeCell ref="C13:G13"/>
    <mergeCell ref="C14:G14"/>
    <mergeCell ref="C15:G15"/>
    <mergeCell ref="C16:G16"/>
    <mergeCell ref="C17:G17"/>
  </mergeCells>
  <pageMargins left="0.7" right="0.7" top="0.75" bottom="0.75" header="0.3" footer="0.3"/>
  <pageSetup paperSize="0" orientation="portrait" horizontalDpi="0" verticalDpi="0" copies="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9"/>
  <sheetViews>
    <sheetView view="pageBreakPreview" topLeftCell="A158" zoomScale="60" zoomScaleNormal="120" workbookViewId="0">
      <selection activeCell="A17" sqref="A17:E19"/>
    </sheetView>
  </sheetViews>
  <sheetFormatPr defaultRowHeight="15" x14ac:dyDescent="0.25"/>
  <cols>
    <col min="1" max="1" width="23" style="122" customWidth="1"/>
    <col min="2" max="2" width="21.42578125" style="122" customWidth="1"/>
    <col min="3" max="3" width="15.42578125" style="122" customWidth="1"/>
    <col min="4" max="4" width="21.5703125" style="122" customWidth="1"/>
    <col min="5" max="5" width="13.7109375" style="122" customWidth="1"/>
    <col min="6" max="6" width="11" style="122" customWidth="1"/>
    <col min="7" max="7" width="11" style="122" bestFit="1" customWidth="1"/>
    <col min="8" max="16384" width="9.140625" style="122"/>
  </cols>
  <sheetData>
    <row r="1" spans="1:5" x14ac:dyDescent="0.25">
      <c r="A1" s="120" t="s">
        <v>0</v>
      </c>
      <c r="B1" s="121"/>
      <c r="C1" s="121"/>
      <c r="D1" s="121"/>
    </row>
    <row r="3" spans="1:5" ht="15.75" thickBot="1" x14ac:dyDescent="0.3"/>
    <row r="4" spans="1:5" ht="32.25" thickBot="1" x14ac:dyDescent="0.3">
      <c r="A4" s="123" t="s">
        <v>1</v>
      </c>
      <c r="B4" s="782"/>
      <c r="C4" s="783"/>
      <c r="D4" s="783"/>
      <c r="E4" s="784"/>
    </row>
    <row r="5" spans="1:5" ht="32.25" thickBot="1" x14ac:dyDescent="0.3">
      <c r="A5" s="124" t="s">
        <v>2</v>
      </c>
      <c r="B5" s="810"/>
      <c r="C5" s="786"/>
      <c r="D5" s="786"/>
      <c r="E5" s="787"/>
    </row>
    <row r="6" spans="1:5" ht="32.25" thickBot="1" x14ac:dyDescent="0.3">
      <c r="A6" s="124" t="s">
        <v>614</v>
      </c>
      <c r="B6" s="811"/>
      <c r="C6" s="793"/>
      <c r="D6" s="793"/>
      <c r="E6" s="794"/>
    </row>
    <row r="7" spans="1:5" ht="16.5" thickBot="1" x14ac:dyDescent="0.3">
      <c r="A7" s="124" t="s">
        <v>4</v>
      </c>
      <c r="B7" s="125" t="s">
        <v>619</v>
      </c>
      <c r="C7" s="791" t="s">
        <v>6</v>
      </c>
      <c r="D7" s="791"/>
      <c r="E7" s="792"/>
    </row>
    <row r="8" spans="1:5" ht="32.25" thickBot="1" x14ac:dyDescent="0.3">
      <c r="A8" s="124" t="s">
        <v>620</v>
      </c>
      <c r="B8" s="126"/>
      <c r="C8" s="793"/>
      <c r="D8" s="793"/>
      <c r="E8" s="794"/>
    </row>
    <row r="9" spans="1:5" ht="48" thickBot="1" x14ac:dyDescent="0.3">
      <c r="A9" s="124" t="s">
        <v>621</v>
      </c>
      <c r="B9" s="126"/>
      <c r="C9" s="793"/>
      <c r="D9" s="793"/>
      <c r="E9" s="794"/>
    </row>
    <row r="10" spans="1:5" ht="18" customHeight="1" x14ac:dyDescent="0.25">
      <c r="A10" s="817" t="s">
        <v>32</v>
      </c>
      <c r="B10" s="817"/>
      <c r="C10" s="817"/>
      <c r="D10" s="817"/>
      <c r="E10" s="817"/>
    </row>
    <row r="11" spans="1:5" ht="18" customHeight="1" x14ac:dyDescent="0.25">
      <c r="A11" s="818" t="s">
        <v>618</v>
      </c>
      <c r="B11" s="818"/>
      <c r="C11" s="818"/>
      <c r="D11" s="818"/>
      <c r="E11" s="818"/>
    </row>
    <row r="12" spans="1:5" ht="15.75" thickBot="1" x14ac:dyDescent="0.3"/>
    <row r="13" spans="1:5" ht="24" customHeight="1" thickBot="1" x14ac:dyDescent="0.3">
      <c r="A13" s="127" t="s">
        <v>33</v>
      </c>
      <c r="B13" s="1047" t="s">
        <v>485</v>
      </c>
      <c r="C13" s="1047"/>
      <c r="D13" s="1047"/>
      <c r="E13" s="1047"/>
    </row>
    <row r="14" spans="1:5" ht="27" customHeight="1" thickBot="1" x14ac:dyDescent="0.3">
      <c r="A14" s="127" t="s">
        <v>5</v>
      </c>
      <c r="B14" s="810" t="s">
        <v>486</v>
      </c>
      <c r="C14" s="786"/>
      <c r="D14" s="786"/>
      <c r="E14" s="787"/>
    </row>
    <row r="15" spans="1:5" ht="27.75" customHeight="1" thickBot="1" x14ac:dyDescent="0.3">
      <c r="A15" s="127" t="s">
        <v>35</v>
      </c>
      <c r="B15" s="898" t="s">
        <v>36</v>
      </c>
      <c r="C15" s="793"/>
      <c r="D15" s="793"/>
      <c r="E15" s="794"/>
    </row>
    <row r="16" spans="1:5" ht="15.75" thickBot="1" x14ac:dyDescent="0.3">
      <c r="A16" s="1048" t="s">
        <v>6</v>
      </c>
      <c r="B16" s="1049"/>
      <c r="C16" s="1049"/>
      <c r="D16" s="1049"/>
      <c r="E16" s="1050"/>
    </row>
    <row r="17" spans="1:8" x14ac:dyDescent="0.25">
      <c r="A17" s="1082" t="s">
        <v>487</v>
      </c>
      <c r="B17" s="1083"/>
      <c r="C17" s="1083"/>
      <c r="D17" s="1083"/>
      <c r="E17" s="1084"/>
    </row>
    <row r="18" spans="1:8" ht="36.75" customHeight="1" x14ac:dyDescent="0.25">
      <c r="A18" s="1085"/>
      <c r="B18" s="1086"/>
      <c r="C18" s="1086"/>
      <c r="D18" s="1086"/>
      <c r="E18" s="1087"/>
    </row>
    <row r="19" spans="1:8" ht="56.25" customHeight="1" thickBot="1" x14ac:dyDescent="0.3">
      <c r="A19" s="1088"/>
      <c r="B19" s="1089"/>
      <c r="C19" s="1089"/>
      <c r="D19" s="1089"/>
      <c r="E19" s="1090"/>
    </row>
    <row r="20" spans="1:8" ht="195" customHeight="1" thickBot="1" x14ac:dyDescent="0.3">
      <c r="A20" s="128" t="s">
        <v>38</v>
      </c>
      <c r="B20" s="942" t="s">
        <v>622</v>
      </c>
      <c r="C20" s="943"/>
      <c r="D20" s="943"/>
      <c r="E20" s="944"/>
    </row>
    <row r="21" spans="1:8" ht="23.25" customHeight="1" x14ac:dyDescent="0.25">
      <c r="A21" s="893" t="s">
        <v>138</v>
      </c>
      <c r="B21" s="129">
        <v>2018</v>
      </c>
      <c r="C21" s="129">
        <v>2019</v>
      </c>
      <c r="D21" s="129">
        <v>2020</v>
      </c>
      <c r="E21" s="129">
        <v>2021</v>
      </c>
    </row>
    <row r="22" spans="1:8" ht="15.75" thickBot="1" x14ac:dyDescent="0.3">
      <c r="A22" s="894"/>
      <c r="B22" s="130" t="s">
        <v>41</v>
      </c>
      <c r="C22" s="130" t="s">
        <v>42</v>
      </c>
      <c r="D22" s="130" t="s">
        <v>42</v>
      </c>
      <c r="E22" s="130" t="s">
        <v>42</v>
      </c>
    </row>
    <row r="23" spans="1:8" ht="15.75" thickBot="1" x14ac:dyDescent="0.3">
      <c r="A23" s="131" t="s">
        <v>443</v>
      </c>
      <c r="B23" s="132" t="s">
        <v>60</v>
      </c>
      <c r="C23" s="132" t="s">
        <v>61</v>
      </c>
      <c r="D23" s="132" t="s">
        <v>61</v>
      </c>
      <c r="E23" s="132" t="s">
        <v>61</v>
      </c>
    </row>
    <row r="24" spans="1:8" ht="15.75" thickBot="1" x14ac:dyDescent="0.3">
      <c r="A24" s="133" t="s">
        <v>370</v>
      </c>
      <c r="B24" s="132" t="s">
        <v>60</v>
      </c>
      <c r="C24" s="132" t="s">
        <v>61</v>
      </c>
      <c r="D24" s="132" t="s">
        <v>61</v>
      </c>
      <c r="E24" s="132" t="s">
        <v>61</v>
      </c>
    </row>
    <row r="25" spans="1:8" ht="23.25" thickBot="1" x14ac:dyDescent="0.3">
      <c r="A25" s="133" t="s">
        <v>343</v>
      </c>
      <c r="B25" s="132" t="s">
        <v>60</v>
      </c>
      <c r="C25" s="132" t="s">
        <v>61</v>
      </c>
      <c r="D25" s="132" t="s">
        <v>61</v>
      </c>
      <c r="E25" s="132" t="s">
        <v>61</v>
      </c>
    </row>
    <row r="26" spans="1:8" ht="222" customHeight="1" thickBot="1" x14ac:dyDescent="0.3">
      <c r="A26" s="134" t="s">
        <v>45</v>
      </c>
      <c r="B26" s="1091" t="s">
        <v>488</v>
      </c>
      <c r="C26" s="1092"/>
      <c r="D26" s="1092"/>
      <c r="E26" s="1093"/>
    </row>
    <row r="27" spans="1:8" ht="23.25" customHeight="1" thickBot="1" x14ac:dyDescent="0.3">
      <c r="A27" s="945" t="s">
        <v>153</v>
      </c>
      <c r="B27" s="946"/>
      <c r="C27" s="946"/>
      <c r="D27" s="946"/>
      <c r="E27" s="947"/>
      <c r="F27" s="135"/>
      <c r="H27" s="135"/>
    </row>
    <row r="28" spans="1:8" ht="34.5" customHeight="1" x14ac:dyDescent="0.25">
      <c r="A28" s="136" t="s">
        <v>489</v>
      </c>
      <c r="B28" s="137">
        <v>1810</v>
      </c>
      <c r="C28" s="138">
        <v>2670</v>
      </c>
      <c r="D28" s="138">
        <v>2670</v>
      </c>
      <c r="E28" s="138">
        <v>2670</v>
      </c>
    </row>
    <row r="29" spans="1:8" ht="51" x14ac:dyDescent="0.25">
      <c r="A29" s="136" t="s">
        <v>490</v>
      </c>
      <c r="B29" s="137">
        <v>1600</v>
      </c>
      <c r="C29" s="138">
        <v>2420</v>
      </c>
      <c r="D29" s="138">
        <v>2420</v>
      </c>
      <c r="E29" s="138">
        <v>2420</v>
      </c>
    </row>
    <row r="30" spans="1:8" ht="89.25" x14ac:dyDescent="0.25">
      <c r="A30" s="136" t="s">
        <v>491</v>
      </c>
      <c r="B30" s="137">
        <v>500</v>
      </c>
      <c r="C30" s="138">
        <v>750</v>
      </c>
      <c r="D30" s="138">
        <v>750</v>
      </c>
      <c r="E30" s="138">
        <v>750</v>
      </c>
    </row>
    <row r="31" spans="1:8" ht="76.5" x14ac:dyDescent="0.25">
      <c r="A31" s="136" t="s">
        <v>492</v>
      </c>
      <c r="B31" s="137">
        <v>200</v>
      </c>
      <c r="C31" s="138">
        <v>300</v>
      </c>
      <c r="D31" s="138">
        <v>300</v>
      </c>
      <c r="E31" s="138">
        <v>300</v>
      </c>
    </row>
    <row r="32" spans="1:8" ht="51" x14ac:dyDescent="0.25">
      <c r="A32" s="136" t="s">
        <v>493</v>
      </c>
      <c r="B32" s="137">
        <v>60</v>
      </c>
      <c r="C32" s="138">
        <v>90</v>
      </c>
      <c r="D32" s="138">
        <v>90</v>
      </c>
      <c r="E32" s="138">
        <v>90</v>
      </c>
    </row>
    <row r="33" spans="1:9" ht="51" x14ac:dyDescent="0.25">
      <c r="A33" s="136" t="s">
        <v>494</v>
      </c>
      <c r="B33" s="137">
        <v>40</v>
      </c>
      <c r="C33" s="138">
        <v>60</v>
      </c>
      <c r="D33" s="138">
        <v>60</v>
      </c>
      <c r="E33" s="138">
        <v>60</v>
      </c>
    </row>
    <row r="34" spans="1:9" ht="63.75" x14ac:dyDescent="0.25">
      <c r="A34" s="136" t="s">
        <v>495</v>
      </c>
      <c r="B34" s="137">
        <v>10</v>
      </c>
      <c r="C34" s="138">
        <v>10</v>
      </c>
      <c r="D34" s="138">
        <v>10</v>
      </c>
      <c r="E34" s="138">
        <v>10</v>
      </c>
    </row>
    <row r="35" spans="1:9" ht="76.5" x14ac:dyDescent="0.25">
      <c r="A35" s="139" t="s">
        <v>496</v>
      </c>
      <c r="B35" s="137">
        <v>1800</v>
      </c>
      <c r="C35" s="138">
        <v>1700</v>
      </c>
      <c r="D35" s="138">
        <v>1700</v>
      </c>
      <c r="E35" s="138">
        <v>1700</v>
      </c>
    </row>
    <row r="36" spans="1:9" ht="15.75" thickBot="1" x14ac:dyDescent="0.3">
      <c r="A36" s="140" t="s">
        <v>497</v>
      </c>
      <c r="B36" s="141">
        <v>2780</v>
      </c>
      <c r="C36" s="141">
        <v>2800</v>
      </c>
      <c r="D36" s="141">
        <v>2850</v>
      </c>
      <c r="E36" s="141">
        <v>2850</v>
      </c>
    </row>
    <row r="37" spans="1:9" ht="52.5" thickBot="1" x14ac:dyDescent="0.3">
      <c r="A37" s="140" t="s">
        <v>498</v>
      </c>
      <c r="B37" s="142">
        <v>29164</v>
      </c>
      <c r="C37" s="142">
        <v>32780</v>
      </c>
      <c r="D37" s="142">
        <v>32800</v>
      </c>
      <c r="E37" s="142">
        <v>32800</v>
      </c>
    </row>
    <row r="38" spans="1:9" ht="15.75" thickBot="1" x14ac:dyDescent="0.3">
      <c r="A38" s="140"/>
      <c r="B38" s="143" t="s">
        <v>60</v>
      </c>
      <c r="C38" s="143" t="s">
        <v>61</v>
      </c>
      <c r="D38" s="143" t="s">
        <v>61</v>
      </c>
      <c r="E38" s="143" t="s">
        <v>61</v>
      </c>
    </row>
    <row r="39" spans="1:9" ht="15.75" thickBot="1" x14ac:dyDescent="0.3">
      <c r="A39" s="1011"/>
      <c r="B39" s="1012"/>
      <c r="C39" s="1012"/>
      <c r="D39" s="1012"/>
      <c r="E39" s="1013"/>
    </row>
    <row r="40" spans="1:9" ht="15.75" thickBot="1" x14ac:dyDescent="0.3">
      <c r="A40" s="144" t="s">
        <v>108</v>
      </c>
      <c r="B40" s="1032" t="s">
        <v>499</v>
      </c>
      <c r="C40" s="1033"/>
      <c r="D40" s="1033"/>
      <c r="E40" s="1034"/>
    </row>
    <row r="41" spans="1:9" ht="169.5" customHeight="1" thickBot="1" x14ac:dyDescent="0.3">
      <c r="A41" s="133" t="s">
        <v>72</v>
      </c>
      <c r="B41" s="1075" t="s">
        <v>500</v>
      </c>
      <c r="C41" s="1076"/>
      <c r="D41" s="1076"/>
      <c r="E41" s="1077"/>
    </row>
    <row r="42" spans="1:9" ht="15.75" thickBot="1" x14ac:dyDescent="0.3">
      <c r="A42" s="133" t="s">
        <v>74</v>
      </c>
      <c r="B42" s="1002" t="s">
        <v>364</v>
      </c>
      <c r="C42" s="1003"/>
      <c r="D42" s="1003"/>
      <c r="E42" s="1004"/>
    </row>
    <row r="43" spans="1:9" ht="12.75" customHeight="1" x14ac:dyDescent="0.25">
      <c r="A43" s="893"/>
      <c r="B43" s="145">
        <v>2018</v>
      </c>
      <c r="C43" s="145">
        <v>2019</v>
      </c>
      <c r="D43" s="145">
        <v>2020</v>
      </c>
      <c r="E43" s="145">
        <v>2021</v>
      </c>
    </row>
    <row r="44" spans="1:9" ht="9" customHeight="1" thickBot="1" x14ac:dyDescent="0.3">
      <c r="A44" s="894"/>
      <c r="B44" s="146" t="s">
        <v>41</v>
      </c>
      <c r="C44" s="146" t="s">
        <v>42</v>
      </c>
      <c r="D44" s="146" t="s">
        <v>42</v>
      </c>
      <c r="E44" s="146" t="s">
        <v>42</v>
      </c>
    </row>
    <row r="45" spans="1:9" ht="15.75" thickBot="1" x14ac:dyDescent="0.3">
      <c r="A45" s="133" t="s">
        <v>76</v>
      </c>
      <c r="B45" s="147">
        <v>18100</v>
      </c>
      <c r="C45" s="147">
        <v>18300</v>
      </c>
      <c r="D45" s="147">
        <v>18500</v>
      </c>
      <c r="E45" s="147">
        <v>19000</v>
      </c>
    </row>
    <row r="46" spans="1:9" ht="15.75" thickBot="1" x14ac:dyDescent="0.3">
      <c r="A46" s="133" t="s">
        <v>77</v>
      </c>
      <c r="B46" s="147">
        <v>286071</v>
      </c>
      <c r="C46" s="147">
        <v>292233</v>
      </c>
      <c r="D46" s="147">
        <v>301235</v>
      </c>
      <c r="E46" s="147">
        <v>304235</v>
      </c>
    </row>
    <row r="47" spans="1:9" ht="15.75" thickBot="1" x14ac:dyDescent="0.3">
      <c r="A47" s="133" t="s">
        <v>78</v>
      </c>
      <c r="B47" s="147">
        <v>15.805027624309393</v>
      </c>
      <c r="C47" s="147">
        <v>15.969016393442622</v>
      </c>
      <c r="D47" s="147">
        <v>16.282972972972974</v>
      </c>
      <c r="E47" s="147">
        <v>16.012368421052631</v>
      </c>
    </row>
    <row r="48" spans="1:9" ht="15.75" thickBot="1" x14ac:dyDescent="0.3">
      <c r="A48" s="133" t="s">
        <v>79</v>
      </c>
      <c r="B48" s="148" t="s">
        <v>80</v>
      </c>
      <c r="C48" s="149">
        <v>1.1049723756906049E-2</v>
      </c>
      <c r="D48" s="149">
        <v>1.0928961748633892E-2</v>
      </c>
      <c r="E48" s="149">
        <v>2.7027027027026973E-2</v>
      </c>
      <c r="F48" s="150"/>
      <c r="G48" s="150"/>
      <c r="H48" s="150"/>
      <c r="I48" s="150"/>
    </row>
    <row r="49" spans="1:5" ht="15.75" thickBot="1" x14ac:dyDescent="0.3">
      <c r="A49" s="133" t="s">
        <v>81</v>
      </c>
      <c r="B49" s="148" t="s">
        <v>80</v>
      </c>
      <c r="C49" s="149">
        <v>2.1540107176190482E-2</v>
      </c>
      <c r="D49" s="149">
        <v>3.0804187069906508E-2</v>
      </c>
      <c r="E49" s="149">
        <v>9.9590021079887237E-3</v>
      </c>
    </row>
    <row r="50" spans="1:5" ht="23.25" thickBot="1" x14ac:dyDescent="0.3">
      <c r="A50" s="133" t="s">
        <v>82</v>
      </c>
      <c r="B50" s="148" t="s">
        <v>80</v>
      </c>
      <c r="C50" s="149">
        <v>1.0375734420166483E-2</v>
      </c>
      <c r="D50" s="149">
        <v>1.9660358020502366E-2</v>
      </c>
      <c r="E50" s="149">
        <v>-1.6618866368537377E-2</v>
      </c>
    </row>
    <row r="51" spans="1:5" ht="15.75" thickBot="1" x14ac:dyDescent="0.3">
      <c r="A51" s="1005" t="s">
        <v>83</v>
      </c>
      <c r="B51" s="1006"/>
      <c r="C51" s="1006"/>
      <c r="D51" s="1006"/>
      <c r="E51" s="1007"/>
    </row>
    <row r="52" spans="1:5" ht="12.75" customHeight="1" x14ac:dyDescent="0.25">
      <c r="A52" s="893"/>
      <c r="B52" s="145">
        <v>2018</v>
      </c>
      <c r="C52" s="145">
        <v>2019</v>
      </c>
      <c r="D52" s="145">
        <v>2020</v>
      </c>
      <c r="E52" s="145">
        <v>2021</v>
      </c>
    </row>
    <row r="53" spans="1:5" ht="9" customHeight="1" thickBot="1" x14ac:dyDescent="0.3">
      <c r="A53" s="894"/>
      <c r="B53" s="146" t="s">
        <v>41</v>
      </c>
      <c r="C53" s="146" t="s">
        <v>42</v>
      </c>
      <c r="D53" s="146" t="s">
        <v>42</v>
      </c>
      <c r="E53" s="146" t="s">
        <v>42</v>
      </c>
    </row>
    <row r="54" spans="1:5" ht="15.75" thickBot="1" x14ac:dyDescent="0.3">
      <c r="A54" s="151" t="s">
        <v>84</v>
      </c>
      <c r="B54" s="141">
        <v>198433</v>
      </c>
      <c r="C54" s="141">
        <v>199000</v>
      </c>
      <c r="D54" s="141">
        <v>205000</v>
      </c>
      <c r="E54" s="141">
        <v>205000</v>
      </c>
    </row>
    <row r="55" spans="1:5" ht="24.75" thickBot="1" x14ac:dyDescent="0.3">
      <c r="A55" s="151" t="s">
        <v>85</v>
      </c>
      <c r="B55" s="141">
        <v>33138</v>
      </c>
      <c r="C55" s="141">
        <v>33233</v>
      </c>
      <c r="D55" s="141">
        <v>34235</v>
      </c>
      <c r="E55" s="141">
        <v>34235</v>
      </c>
    </row>
    <row r="56" spans="1:5" ht="15.75" thickBot="1" x14ac:dyDescent="0.3">
      <c r="A56" s="151" t="s">
        <v>86</v>
      </c>
      <c r="B56" s="152">
        <v>54500</v>
      </c>
      <c r="C56" s="141">
        <v>60000</v>
      </c>
      <c r="D56" s="141">
        <v>62000</v>
      </c>
      <c r="E56" s="141">
        <v>65000</v>
      </c>
    </row>
    <row r="57" spans="1:5" ht="15.75" thickBot="1" x14ac:dyDescent="0.3">
      <c r="A57" s="151" t="s">
        <v>87</v>
      </c>
      <c r="B57" s="152"/>
      <c r="C57" s="141"/>
      <c r="D57" s="141"/>
      <c r="E57" s="141"/>
    </row>
    <row r="58" spans="1:5" ht="15.75" thickBot="1" x14ac:dyDescent="0.3">
      <c r="A58" s="151" t="s">
        <v>88</v>
      </c>
      <c r="B58" s="152"/>
      <c r="C58" s="141"/>
      <c r="D58" s="141"/>
      <c r="E58" s="141"/>
    </row>
    <row r="59" spans="1:5" ht="15.75" thickBot="1" x14ac:dyDescent="0.3">
      <c r="A59" s="151" t="s">
        <v>89</v>
      </c>
      <c r="B59" s="152"/>
      <c r="C59" s="141"/>
      <c r="D59" s="141"/>
      <c r="E59" s="141"/>
    </row>
    <row r="60" spans="1:5" ht="24.75" thickBot="1" x14ac:dyDescent="0.3">
      <c r="A60" s="151" t="s">
        <v>90</v>
      </c>
      <c r="B60" s="152"/>
      <c r="C60" s="141"/>
      <c r="D60" s="141"/>
      <c r="E60" s="141"/>
    </row>
    <row r="61" spans="1:5" ht="15.75" thickBot="1" x14ac:dyDescent="0.3">
      <c r="A61" s="153" t="s">
        <v>91</v>
      </c>
      <c r="B61" s="152">
        <f>B60+B59+B58+B57+B56+B55+B54</f>
        <v>286071</v>
      </c>
      <c r="C61" s="152">
        <f>C60+C59+C58+C57+C56+C55+C54</f>
        <v>292233</v>
      </c>
      <c r="D61" s="152">
        <f>D60+D59+D58+D57+D56+D55+D54</f>
        <v>301235</v>
      </c>
      <c r="E61" s="152">
        <f>E60+E59+E58+E57+E56+E55+E54</f>
        <v>304235</v>
      </c>
    </row>
    <row r="62" spans="1:5" ht="15.75" thickBot="1" x14ac:dyDescent="0.3">
      <c r="A62" s="154" t="s">
        <v>92</v>
      </c>
      <c r="B62" s="155">
        <f>IF(B61-B46=0,0,"Error")</f>
        <v>0</v>
      </c>
      <c r="C62" s="155">
        <f>IF(C61-C46=0,0,"Error")</f>
        <v>0</v>
      </c>
      <c r="D62" s="155">
        <f>IF(D61-D46=0,0,"Error")</f>
        <v>0</v>
      </c>
      <c r="E62" s="155">
        <f>IF(E61-E46=0,0,"Error")</f>
        <v>0</v>
      </c>
    </row>
    <row r="63" spans="1:5" ht="15.75" thickBot="1" x14ac:dyDescent="0.3">
      <c r="A63" s="156" t="s">
        <v>93</v>
      </c>
      <c r="B63" s="1032" t="s">
        <v>501</v>
      </c>
      <c r="C63" s="1033"/>
      <c r="D63" s="1033"/>
      <c r="E63" s="1034"/>
    </row>
    <row r="64" spans="1:5" ht="81.75" customHeight="1" thickBot="1" x14ac:dyDescent="0.3">
      <c r="A64" s="133" t="s">
        <v>72</v>
      </c>
      <c r="B64" s="1075" t="s">
        <v>502</v>
      </c>
      <c r="C64" s="1076"/>
      <c r="D64" s="1076"/>
      <c r="E64" s="1077"/>
    </row>
    <row r="65" spans="1:5" ht="15.75" thickBot="1" x14ac:dyDescent="0.3">
      <c r="A65" s="133" t="s">
        <v>74</v>
      </c>
      <c r="B65" s="1002" t="s">
        <v>503</v>
      </c>
      <c r="C65" s="1003"/>
      <c r="D65" s="1003"/>
      <c r="E65" s="1004"/>
    </row>
    <row r="66" spans="1:5" ht="15.75" thickBot="1" x14ac:dyDescent="0.3">
      <c r="A66" s="133" t="s">
        <v>76</v>
      </c>
      <c r="B66" s="157">
        <v>6020</v>
      </c>
      <c r="C66" s="157">
        <v>8000</v>
      </c>
      <c r="D66" s="157">
        <v>8000</v>
      </c>
      <c r="E66" s="157">
        <v>8000</v>
      </c>
    </row>
    <row r="67" spans="1:5" ht="12.75" customHeight="1" x14ac:dyDescent="0.25">
      <c r="A67" s="893"/>
      <c r="B67" s="145">
        <v>2018</v>
      </c>
      <c r="C67" s="145">
        <v>2019</v>
      </c>
      <c r="D67" s="145">
        <v>2020</v>
      </c>
      <c r="E67" s="145">
        <v>2021</v>
      </c>
    </row>
    <row r="68" spans="1:5" ht="9" customHeight="1" thickBot="1" x14ac:dyDescent="0.3">
      <c r="A68" s="894"/>
      <c r="B68" s="146" t="s">
        <v>41</v>
      </c>
      <c r="C68" s="146" t="s">
        <v>42</v>
      </c>
      <c r="D68" s="146" t="s">
        <v>42</v>
      </c>
      <c r="E68" s="146" t="s">
        <v>42</v>
      </c>
    </row>
    <row r="69" spans="1:5" ht="15.75" thickBot="1" x14ac:dyDescent="0.3">
      <c r="A69" s="133" t="s">
        <v>77</v>
      </c>
      <c r="B69" s="147">
        <v>490000</v>
      </c>
      <c r="C69" s="147">
        <v>1000000</v>
      </c>
      <c r="D69" s="147">
        <v>1000000</v>
      </c>
      <c r="E69" s="147">
        <v>1100000</v>
      </c>
    </row>
    <row r="70" spans="1:5" ht="15.75" thickBot="1" x14ac:dyDescent="0.3">
      <c r="A70" s="133" t="s">
        <v>78</v>
      </c>
      <c r="B70" s="147">
        <v>81.395348837209298</v>
      </c>
      <c r="C70" s="147">
        <v>125</v>
      </c>
      <c r="D70" s="147">
        <v>125</v>
      </c>
      <c r="E70" s="147">
        <v>137.5</v>
      </c>
    </row>
    <row r="71" spans="1:5" ht="15.75" thickBot="1" x14ac:dyDescent="0.3">
      <c r="A71" s="133" t="s">
        <v>79</v>
      </c>
      <c r="B71" s="148"/>
      <c r="C71" s="149">
        <v>0.32890365448504988</v>
      </c>
      <c r="D71" s="149">
        <v>0</v>
      </c>
      <c r="E71" s="149">
        <v>0</v>
      </c>
    </row>
    <row r="72" spans="1:5" ht="15.75" thickBot="1" x14ac:dyDescent="0.3">
      <c r="A72" s="133" t="s">
        <v>81</v>
      </c>
      <c r="B72" s="148"/>
      <c r="C72" s="149">
        <v>1.0408163265306123</v>
      </c>
      <c r="D72" s="149">
        <v>0</v>
      </c>
      <c r="E72" s="149">
        <v>0.10000000000000009</v>
      </c>
    </row>
    <row r="73" spans="1:5" ht="23.25" thickBot="1" x14ac:dyDescent="0.3">
      <c r="A73" s="133" t="s">
        <v>82</v>
      </c>
      <c r="B73" s="148"/>
      <c r="C73" s="149">
        <v>0.53571428571428581</v>
      </c>
      <c r="D73" s="149">
        <v>0</v>
      </c>
      <c r="E73" s="149">
        <v>0.10000000000000009</v>
      </c>
    </row>
    <row r="74" spans="1:5" ht="24.75" customHeight="1" thickBot="1" x14ac:dyDescent="0.3">
      <c r="A74" s="1005" t="s">
        <v>355</v>
      </c>
      <c r="B74" s="1006"/>
      <c r="C74" s="1006"/>
      <c r="D74" s="1006"/>
      <c r="E74" s="1007"/>
    </row>
    <row r="75" spans="1:5" ht="12.75" customHeight="1" x14ac:dyDescent="0.25">
      <c r="A75" s="893"/>
      <c r="B75" s="145">
        <v>2018</v>
      </c>
      <c r="C75" s="145">
        <v>2019</v>
      </c>
      <c r="D75" s="145">
        <v>2020</v>
      </c>
      <c r="E75" s="145">
        <v>2021</v>
      </c>
    </row>
    <row r="76" spans="1:5" ht="9" customHeight="1" thickBot="1" x14ac:dyDescent="0.3">
      <c r="A76" s="894"/>
      <c r="B76" s="146" t="s">
        <v>41</v>
      </c>
      <c r="C76" s="146" t="s">
        <v>42</v>
      </c>
      <c r="D76" s="146" t="s">
        <v>42</v>
      </c>
      <c r="E76" s="146" t="s">
        <v>42</v>
      </c>
    </row>
    <row r="77" spans="1:5" ht="24.75" customHeight="1" thickBot="1" x14ac:dyDescent="0.3">
      <c r="A77" s="151" t="s">
        <v>84</v>
      </c>
      <c r="B77" s="142"/>
      <c r="C77" s="142"/>
      <c r="D77" s="142"/>
      <c r="E77" s="142"/>
    </row>
    <row r="78" spans="1:5" ht="24.75" customHeight="1" thickBot="1" x14ac:dyDescent="0.3">
      <c r="A78" s="151" t="s">
        <v>85</v>
      </c>
      <c r="B78" s="142"/>
      <c r="C78" s="142"/>
      <c r="D78" s="142"/>
      <c r="E78" s="142"/>
    </row>
    <row r="79" spans="1:5" ht="24.75" customHeight="1" thickBot="1" x14ac:dyDescent="0.3">
      <c r="A79" s="151" t="s">
        <v>86</v>
      </c>
      <c r="B79" s="158"/>
      <c r="C79" s="142"/>
      <c r="D79" s="142"/>
      <c r="E79" s="142"/>
    </row>
    <row r="80" spans="1:5" ht="15.75" thickBot="1" x14ac:dyDescent="0.3">
      <c r="A80" s="151" t="s">
        <v>87</v>
      </c>
      <c r="B80" s="158">
        <v>490000</v>
      </c>
      <c r="C80" s="142">
        <v>1000000</v>
      </c>
      <c r="D80" s="142">
        <v>1000000</v>
      </c>
      <c r="E80" s="142">
        <v>1100000</v>
      </c>
    </row>
    <row r="81" spans="1:5" ht="15.75" thickBot="1" x14ac:dyDescent="0.3">
      <c r="A81" s="151" t="s">
        <v>88</v>
      </c>
      <c r="B81" s="158"/>
      <c r="C81" s="142"/>
      <c r="D81" s="142"/>
      <c r="E81" s="142"/>
    </row>
    <row r="82" spans="1:5" ht="15.75" thickBot="1" x14ac:dyDescent="0.3">
      <c r="A82" s="151" t="s">
        <v>89</v>
      </c>
      <c r="B82" s="158"/>
      <c r="C82" s="142"/>
      <c r="D82" s="142"/>
      <c r="E82" s="142"/>
    </row>
    <row r="83" spans="1:5" ht="24.75" thickBot="1" x14ac:dyDescent="0.3">
      <c r="A83" s="151" t="s">
        <v>90</v>
      </c>
      <c r="B83" s="158"/>
      <c r="C83" s="142"/>
      <c r="D83" s="142"/>
      <c r="E83" s="142"/>
    </row>
    <row r="84" spans="1:5" ht="15.75" thickBot="1" x14ac:dyDescent="0.3">
      <c r="A84" s="159" t="s">
        <v>98</v>
      </c>
      <c r="B84" s="158">
        <v>490000</v>
      </c>
      <c r="C84" s="158">
        <v>1000000</v>
      </c>
      <c r="D84" s="158">
        <v>1000000</v>
      </c>
      <c r="E84" s="158">
        <v>1100000</v>
      </c>
    </row>
    <row r="85" spans="1:5" ht="17.25" customHeight="1" thickBot="1" x14ac:dyDescent="0.3">
      <c r="A85" s="154" t="s">
        <v>92</v>
      </c>
      <c r="B85" s="160">
        <v>0</v>
      </c>
      <c r="C85" s="160">
        <v>0</v>
      </c>
      <c r="D85" s="160">
        <v>0</v>
      </c>
      <c r="E85" s="160">
        <v>0</v>
      </c>
    </row>
    <row r="86" spans="1:5" ht="15.75" thickBot="1" x14ac:dyDescent="0.3">
      <c r="A86" s="1011"/>
      <c r="B86" s="1012"/>
      <c r="C86" s="1012"/>
      <c r="D86" s="1012"/>
      <c r="E86" s="1013"/>
    </row>
    <row r="87" spans="1:5" ht="15.75" thickBot="1" x14ac:dyDescent="0.3">
      <c r="A87" s="1011"/>
      <c r="B87" s="1012"/>
      <c r="C87" s="1012"/>
      <c r="D87" s="1012"/>
      <c r="E87" s="1013"/>
    </row>
    <row r="88" spans="1:5" ht="15.75" thickBot="1" x14ac:dyDescent="0.3">
      <c r="A88" s="161"/>
      <c r="B88" s="1026"/>
      <c r="C88" s="1027"/>
      <c r="D88" s="1027"/>
      <c r="E88" s="1028"/>
    </row>
    <row r="89" spans="1:5" ht="15.75" thickBot="1" x14ac:dyDescent="0.3">
      <c r="A89" s="144" t="s">
        <v>99</v>
      </c>
      <c r="B89" s="1081" t="s">
        <v>504</v>
      </c>
      <c r="C89" s="1045"/>
      <c r="D89" s="1045"/>
      <c r="E89" s="1046"/>
    </row>
    <row r="90" spans="1:5" ht="54.75" customHeight="1" thickBot="1" x14ac:dyDescent="0.3">
      <c r="A90" s="133" t="s">
        <v>72</v>
      </c>
      <c r="B90" s="898" t="s">
        <v>505</v>
      </c>
      <c r="C90" s="793"/>
      <c r="D90" s="793"/>
      <c r="E90" s="794"/>
    </row>
    <row r="91" spans="1:5" ht="15.75" thickBot="1" x14ac:dyDescent="0.3">
      <c r="A91" s="133" t="s">
        <v>74</v>
      </c>
      <c r="B91" s="1002" t="s">
        <v>506</v>
      </c>
      <c r="C91" s="1003"/>
      <c r="D91" s="1003"/>
      <c r="E91" s="1004"/>
    </row>
    <row r="92" spans="1:5" ht="12.75" customHeight="1" x14ac:dyDescent="0.25">
      <c r="A92" s="893"/>
      <c r="B92" s="145">
        <v>2018</v>
      </c>
      <c r="C92" s="145">
        <v>2019</v>
      </c>
      <c r="D92" s="145">
        <v>2020</v>
      </c>
      <c r="E92" s="145">
        <v>2021</v>
      </c>
    </row>
    <row r="93" spans="1:5" ht="9" customHeight="1" thickBot="1" x14ac:dyDescent="0.3">
      <c r="A93" s="894"/>
      <c r="B93" s="146" t="s">
        <v>41</v>
      </c>
      <c r="C93" s="146" t="s">
        <v>42</v>
      </c>
      <c r="D93" s="146" t="s">
        <v>42</v>
      </c>
      <c r="E93" s="146" t="s">
        <v>42</v>
      </c>
    </row>
    <row r="94" spans="1:5" ht="15.75" thickBot="1" x14ac:dyDescent="0.3">
      <c r="A94" s="133" t="s">
        <v>76</v>
      </c>
      <c r="B94" s="147">
        <v>10000</v>
      </c>
      <c r="C94" s="147">
        <v>11500</v>
      </c>
      <c r="D94" s="147">
        <v>12000</v>
      </c>
      <c r="E94" s="147">
        <v>12500</v>
      </c>
    </row>
    <row r="95" spans="1:5" ht="15.75" thickBot="1" x14ac:dyDescent="0.3">
      <c r="A95" s="133" t="s">
        <v>77</v>
      </c>
      <c r="B95" s="147">
        <v>264257</v>
      </c>
      <c r="C95" s="147">
        <v>288402</v>
      </c>
      <c r="D95" s="147">
        <v>297070</v>
      </c>
      <c r="E95" s="147">
        <v>300070</v>
      </c>
    </row>
    <row r="96" spans="1:5" ht="15.75" thickBot="1" x14ac:dyDescent="0.3">
      <c r="A96" s="133" t="s">
        <v>78</v>
      </c>
      <c r="B96" s="147">
        <v>26.425699999999999</v>
      </c>
      <c r="C96" s="147">
        <v>25.078434782608696</v>
      </c>
      <c r="D96" s="147">
        <v>24.755833333333332</v>
      </c>
      <c r="E96" s="147">
        <v>24.005600000000001</v>
      </c>
    </row>
    <row r="97" spans="1:9" ht="15.75" thickBot="1" x14ac:dyDescent="0.3">
      <c r="A97" s="133" t="s">
        <v>79</v>
      </c>
      <c r="B97" s="148"/>
      <c r="C97" s="149">
        <v>0.14999999999999991</v>
      </c>
      <c r="D97" s="149">
        <v>4.3478260869565188E-2</v>
      </c>
      <c r="E97" s="149">
        <v>4.1666666666666741E-2</v>
      </c>
      <c r="F97" s="150"/>
      <c r="G97" s="150"/>
      <c r="H97" s="150"/>
      <c r="I97" s="150"/>
    </row>
    <row r="98" spans="1:9" ht="15.75" thickBot="1" x14ac:dyDescent="0.3">
      <c r="A98" s="133" t="s">
        <v>81</v>
      </c>
      <c r="B98" s="148"/>
      <c r="C98" s="149">
        <v>9.1369386619843507E-2</v>
      </c>
      <c r="D98" s="149">
        <v>3.0055270074410112E-2</v>
      </c>
      <c r="E98" s="149">
        <v>1.009862995253652E-2</v>
      </c>
    </row>
    <row r="99" spans="1:9" ht="23.25" thickBot="1" x14ac:dyDescent="0.3">
      <c r="A99" s="133" t="s">
        <v>82</v>
      </c>
      <c r="B99" s="148"/>
      <c r="C99" s="149">
        <v>-5.0983142069701226E-2</v>
      </c>
      <c r="D99" s="149">
        <v>-1.2863699512023818E-2</v>
      </c>
      <c r="E99" s="149">
        <v>-3.0305315245564901E-2</v>
      </c>
    </row>
    <row r="100" spans="1:9" ht="15.75" thickBot="1" x14ac:dyDescent="0.3">
      <c r="A100" s="1005" t="s">
        <v>83</v>
      </c>
      <c r="B100" s="1006"/>
      <c r="C100" s="1006"/>
      <c r="D100" s="1006"/>
      <c r="E100" s="1007"/>
    </row>
    <row r="101" spans="1:9" ht="12.75" customHeight="1" x14ac:dyDescent="0.25">
      <c r="A101" s="893"/>
      <c r="B101" s="145">
        <v>2018</v>
      </c>
      <c r="C101" s="145">
        <v>2019</v>
      </c>
      <c r="D101" s="145">
        <v>2020</v>
      </c>
      <c r="E101" s="145">
        <v>2021</v>
      </c>
    </row>
    <row r="102" spans="1:9" ht="9" customHeight="1" thickBot="1" x14ac:dyDescent="0.3">
      <c r="A102" s="894"/>
      <c r="B102" s="146" t="s">
        <v>41</v>
      </c>
      <c r="C102" s="146" t="s">
        <v>42</v>
      </c>
      <c r="D102" s="146" t="s">
        <v>42</v>
      </c>
      <c r="E102" s="146" t="s">
        <v>42</v>
      </c>
    </row>
    <row r="103" spans="1:9" ht="15.75" thickBot="1" x14ac:dyDescent="0.3">
      <c r="A103" s="162" t="s">
        <v>84</v>
      </c>
      <c r="B103" s="141">
        <v>186630</v>
      </c>
      <c r="C103" s="141">
        <v>206000</v>
      </c>
      <c r="D103" s="141">
        <v>210000</v>
      </c>
      <c r="E103" s="141">
        <v>210000</v>
      </c>
    </row>
    <row r="104" spans="1:9" ht="26.25" thickBot="1" x14ac:dyDescent="0.3">
      <c r="A104" s="162" t="s">
        <v>85</v>
      </c>
      <c r="B104" s="141">
        <v>33227</v>
      </c>
      <c r="C104" s="141">
        <v>34402</v>
      </c>
      <c r="D104" s="141">
        <v>35070</v>
      </c>
      <c r="E104" s="141">
        <v>35070</v>
      </c>
    </row>
    <row r="105" spans="1:9" ht="15.75" thickBot="1" x14ac:dyDescent="0.3">
      <c r="A105" s="162" t="s">
        <v>86</v>
      </c>
      <c r="B105" s="152">
        <v>44400</v>
      </c>
      <c r="C105" s="141">
        <v>48000</v>
      </c>
      <c r="D105" s="141">
        <v>52000</v>
      </c>
      <c r="E105" s="141">
        <v>55000</v>
      </c>
    </row>
    <row r="106" spans="1:9" ht="15.75" thickBot="1" x14ac:dyDescent="0.3">
      <c r="A106" s="162" t="s">
        <v>87</v>
      </c>
      <c r="B106" s="152"/>
      <c r="C106" s="141"/>
      <c r="D106" s="141"/>
      <c r="E106" s="141"/>
    </row>
    <row r="107" spans="1:9" ht="15.75" thickBot="1" x14ac:dyDescent="0.3">
      <c r="A107" s="162" t="s">
        <v>88</v>
      </c>
      <c r="B107" s="152"/>
      <c r="C107" s="141"/>
      <c r="D107" s="141"/>
      <c r="E107" s="141"/>
    </row>
    <row r="108" spans="1:9" ht="15.75" thickBot="1" x14ac:dyDescent="0.3">
      <c r="A108" s="162" t="s">
        <v>89</v>
      </c>
      <c r="B108" s="152"/>
      <c r="C108" s="141"/>
      <c r="D108" s="141"/>
      <c r="E108" s="141"/>
    </row>
    <row r="109" spans="1:9" ht="26.25" thickBot="1" x14ac:dyDescent="0.3">
      <c r="A109" s="162" t="s">
        <v>90</v>
      </c>
      <c r="B109" s="152"/>
      <c r="C109" s="141"/>
      <c r="D109" s="141"/>
      <c r="E109" s="141"/>
    </row>
    <row r="110" spans="1:9" ht="15.75" thickBot="1" x14ac:dyDescent="0.3">
      <c r="A110" s="163" t="s">
        <v>103</v>
      </c>
      <c r="B110" s="152">
        <f>B109+B108+B107+B106+B105+B104+B103</f>
        <v>264257</v>
      </c>
      <c r="C110" s="152">
        <f>C109+C108+C107+C106+C105+C104+C103</f>
        <v>288402</v>
      </c>
      <c r="D110" s="152">
        <f>D109+D108+D107+D106+D105+D104+D103</f>
        <v>297070</v>
      </c>
      <c r="E110" s="152">
        <f>E109+E108+E107+E106+E105+E104+E103</f>
        <v>300070</v>
      </c>
    </row>
    <row r="111" spans="1:9" ht="15" customHeight="1" x14ac:dyDescent="0.25">
      <c r="A111" s="902"/>
      <c r="B111" s="905"/>
      <c r="C111" s="906"/>
      <c r="D111" s="906"/>
      <c r="E111" s="907"/>
    </row>
    <row r="112" spans="1:9" x14ac:dyDescent="0.25">
      <c r="A112" s="903"/>
      <c r="B112" s="908"/>
      <c r="C112" s="909"/>
      <c r="D112" s="909"/>
      <c r="E112" s="910"/>
    </row>
    <row r="113" spans="1:9" ht="15.75" thickBot="1" x14ac:dyDescent="0.3">
      <c r="A113" s="904"/>
      <c r="B113" s="911"/>
      <c r="C113" s="912"/>
      <c r="D113" s="912"/>
      <c r="E113" s="913"/>
    </row>
    <row r="114" spans="1:9" ht="15.75" thickBot="1" x14ac:dyDescent="0.3">
      <c r="A114" s="161"/>
      <c r="B114" s="1026"/>
      <c r="C114" s="1027"/>
      <c r="D114" s="1027"/>
      <c r="E114" s="1028"/>
    </row>
    <row r="115" spans="1:9" ht="15.75" thickBot="1" x14ac:dyDescent="0.3">
      <c r="A115" s="144" t="s">
        <v>115</v>
      </c>
      <c r="B115" s="1032" t="s">
        <v>507</v>
      </c>
      <c r="C115" s="1033"/>
      <c r="D115" s="1033"/>
      <c r="E115" s="1034"/>
    </row>
    <row r="116" spans="1:9" ht="138" customHeight="1" thickBot="1" x14ac:dyDescent="0.3">
      <c r="A116" s="133" t="s">
        <v>72</v>
      </c>
      <c r="B116" s="1075" t="s">
        <v>508</v>
      </c>
      <c r="C116" s="1076"/>
      <c r="D116" s="1076"/>
      <c r="E116" s="1077"/>
    </row>
    <row r="117" spans="1:9" ht="15.75" thickBot="1" x14ac:dyDescent="0.3">
      <c r="A117" s="133" t="s">
        <v>74</v>
      </c>
      <c r="B117" s="1002" t="s">
        <v>509</v>
      </c>
      <c r="C117" s="1003"/>
      <c r="D117" s="1003"/>
      <c r="E117" s="1004"/>
    </row>
    <row r="118" spans="1:9" ht="12.75" customHeight="1" x14ac:dyDescent="0.25">
      <c r="A118" s="893"/>
      <c r="B118" s="145">
        <v>2018</v>
      </c>
      <c r="C118" s="145">
        <v>2019</v>
      </c>
      <c r="D118" s="145">
        <v>2020</v>
      </c>
      <c r="E118" s="145">
        <v>2021</v>
      </c>
    </row>
    <row r="119" spans="1:9" ht="9" customHeight="1" thickBot="1" x14ac:dyDescent="0.3">
      <c r="A119" s="894"/>
      <c r="B119" s="146" t="s">
        <v>41</v>
      </c>
      <c r="C119" s="146" t="s">
        <v>42</v>
      </c>
      <c r="D119" s="146" t="s">
        <v>42</v>
      </c>
      <c r="E119" s="146" t="s">
        <v>42</v>
      </c>
    </row>
    <row r="120" spans="1:9" ht="15.75" thickBot="1" x14ac:dyDescent="0.3">
      <c r="A120" s="133" t="s">
        <v>76</v>
      </c>
      <c r="B120" s="147">
        <v>5500</v>
      </c>
      <c r="C120" s="147">
        <v>4000</v>
      </c>
      <c r="D120" s="147">
        <v>4600</v>
      </c>
      <c r="E120" s="147">
        <v>4900</v>
      </c>
    </row>
    <row r="121" spans="1:9" ht="15.75" thickBot="1" x14ac:dyDescent="0.3">
      <c r="A121" s="133" t="s">
        <v>77</v>
      </c>
      <c r="B121" s="147">
        <v>800000</v>
      </c>
      <c r="C121" s="147">
        <v>600000</v>
      </c>
      <c r="D121" s="147">
        <v>700000</v>
      </c>
      <c r="E121" s="147">
        <v>750000</v>
      </c>
    </row>
    <row r="122" spans="1:9" ht="15.75" thickBot="1" x14ac:dyDescent="0.3">
      <c r="A122" s="133" t="s">
        <v>78</v>
      </c>
      <c r="B122" s="147">
        <v>145.45454545454547</v>
      </c>
      <c r="C122" s="147">
        <v>150</v>
      </c>
      <c r="D122" s="147">
        <v>152.17391304347825</v>
      </c>
      <c r="E122" s="147">
        <v>153.0612244897959</v>
      </c>
    </row>
    <row r="123" spans="1:9" ht="15.75" thickBot="1" x14ac:dyDescent="0.3">
      <c r="A123" s="133" t="s">
        <v>79</v>
      </c>
      <c r="B123" s="148" t="s">
        <v>80</v>
      </c>
      <c r="C123" s="149">
        <v>-0.27272727272727271</v>
      </c>
      <c r="D123" s="149">
        <v>0.14999999999999991</v>
      </c>
      <c r="E123" s="149">
        <v>6.5217391304347894E-2</v>
      </c>
      <c r="F123" s="150"/>
      <c r="G123" s="150"/>
      <c r="H123" s="150"/>
      <c r="I123" s="150"/>
    </row>
    <row r="124" spans="1:9" ht="15.75" thickBot="1" x14ac:dyDescent="0.3">
      <c r="A124" s="133" t="s">
        <v>81</v>
      </c>
      <c r="B124" s="148" t="s">
        <v>80</v>
      </c>
      <c r="C124" s="149">
        <v>-0.25</v>
      </c>
      <c r="D124" s="149">
        <v>0.16666666666666674</v>
      </c>
      <c r="E124" s="149">
        <v>7.1428571428571397E-2</v>
      </c>
    </row>
    <row r="125" spans="1:9" ht="23.25" thickBot="1" x14ac:dyDescent="0.3">
      <c r="A125" s="133" t="s">
        <v>82</v>
      </c>
      <c r="B125" s="148" t="s">
        <v>80</v>
      </c>
      <c r="C125" s="149">
        <v>3.125E-2</v>
      </c>
      <c r="D125" s="149">
        <v>1.4492753623188248E-2</v>
      </c>
      <c r="E125" s="149">
        <v>5.8309037900874383E-3</v>
      </c>
    </row>
    <row r="126" spans="1:9" ht="15.75" thickBot="1" x14ac:dyDescent="0.3">
      <c r="A126" s="1005" t="s">
        <v>119</v>
      </c>
      <c r="B126" s="1006"/>
      <c r="C126" s="1006"/>
      <c r="D126" s="1006"/>
      <c r="E126" s="1007"/>
    </row>
    <row r="127" spans="1:9" ht="12.75" customHeight="1" x14ac:dyDescent="0.25">
      <c r="A127" s="893"/>
      <c r="B127" s="145">
        <v>2018</v>
      </c>
      <c r="C127" s="145">
        <v>2019</v>
      </c>
      <c r="D127" s="145">
        <v>2020</v>
      </c>
      <c r="E127" s="145">
        <v>2021</v>
      </c>
    </row>
    <row r="128" spans="1:9" ht="9" customHeight="1" thickBot="1" x14ac:dyDescent="0.3">
      <c r="A128" s="894"/>
      <c r="B128" s="146" t="s">
        <v>41</v>
      </c>
      <c r="C128" s="146" t="s">
        <v>42</v>
      </c>
      <c r="D128" s="146" t="s">
        <v>42</v>
      </c>
      <c r="E128" s="146" t="s">
        <v>42</v>
      </c>
    </row>
    <row r="129" spans="1:5" ht="15.75" thickBot="1" x14ac:dyDescent="0.3">
      <c r="A129" s="151" t="s">
        <v>84</v>
      </c>
      <c r="B129" s="142"/>
      <c r="C129" s="142"/>
      <c r="D129" s="142"/>
      <c r="E129" s="142"/>
    </row>
    <row r="130" spans="1:5" ht="24.75" thickBot="1" x14ac:dyDescent="0.3">
      <c r="A130" s="151" t="s">
        <v>85</v>
      </c>
      <c r="B130" s="142"/>
      <c r="C130" s="142"/>
      <c r="D130" s="142"/>
      <c r="E130" s="142"/>
    </row>
    <row r="131" spans="1:5" ht="15.75" thickBot="1" x14ac:dyDescent="0.3">
      <c r="A131" s="151" t="s">
        <v>86</v>
      </c>
      <c r="B131" s="142"/>
      <c r="C131" s="142"/>
      <c r="D131" s="142"/>
      <c r="E131" s="142"/>
    </row>
    <row r="132" spans="1:5" ht="15.75" thickBot="1" x14ac:dyDescent="0.3">
      <c r="A132" s="151" t="s">
        <v>87</v>
      </c>
      <c r="B132" s="142"/>
      <c r="C132" s="142"/>
      <c r="D132" s="142"/>
      <c r="E132" s="142"/>
    </row>
    <row r="133" spans="1:5" ht="15.75" thickBot="1" x14ac:dyDescent="0.3">
      <c r="A133" s="151" t="s">
        <v>88</v>
      </c>
      <c r="B133" s="142"/>
      <c r="C133" s="142"/>
      <c r="D133" s="142"/>
      <c r="E133" s="142"/>
    </row>
    <row r="134" spans="1:5" ht="15.75" thickBot="1" x14ac:dyDescent="0.3">
      <c r="A134" s="151" t="s">
        <v>89</v>
      </c>
      <c r="B134" s="142"/>
      <c r="C134" s="142"/>
      <c r="D134" s="142"/>
      <c r="E134" s="142"/>
    </row>
    <row r="135" spans="1:5" ht="24.75" thickBot="1" x14ac:dyDescent="0.3">
      <c r="A135" s="151" t="s">
        <v>90</v>
      </c>
      <c r="B135" s="142">
        <v>800000</v>
      </c>
      <c r="C135" s="142">
        <v>600000</v>
      </c>
      <c r="D135" s="142">
        <v>700000</v>
      </c>
      <c r="E135" s="142">
        <v>750000</v>
      </c>
    </row>
    <row r="136" spans="1:5" ht="15.75" thickBot="1" x14ac:dyDescent="0.3">
      <c r="A136" s="151" t="s">
        <v>262</v>
      </c>
      <c r="B136" s="158">
        <v>800000</v>
      </c>
      <c r="C136" s="142">
        <v>600000</v>
      </c>
      <c r="D136" s="142">
        <v>700000</v>
      </c>
      <c r="E136" s="142">
        <v>750000</v>
      </c>
    </row>
    <row r="137" spans="1:5" ht="15.75" thickBot="1" x14ac:dyDescent="0.3">
      <c r="A137" s="153" t="s">
        <v>92</v>
      </c>
      <c r="B137" s="158">
        <v>0</v>
      </c>
      <c r="C137" s="158">
        <v>0</v>
      </c>
      <c r="D137" s="158">
        <v>0</v>
      </c>
      <c r="E137" s="158">
        <v>0</v>
      </c>
    </row>
    <row r="138" spans="1:5" ht="15.75" thickBot="1" x14ac:dyDescent="0.3">
      <c r="A138" s="161"/>
      <c r="B138" s="1026"/>
      <c r="C138" s="1027"/>
      <c r="D138" s="1027"/>
      <c r="E138" s="1028"/>
    </row>
    <row r="139" spans="1:5" ht="15.75" thickBot="1" x14ac:dyDescent="0.3">
      <c r="A139" s="144" t="s">
        <v>264</v>
      </c>
      <c r="B139" s="1032" t="s">
        <v>510</v>
      </c>
      <c r="C139" s="1033"/>
      <c r="D139" s="1033"/>
      <c r="E139" s="1034"/>
    </row>
    <row r="140" spans="1:5" ht="38.25" customHeight="1" thickBot="1" x14ac:dyDescent="0.3">
      <c r="A140" s="133" t="s">
        <v>72</v>
      </c>
      <c r="B140" s="929" t="s">
        <v>511</v>
      </c>
      <c r="C140" s="930"/>
      <c r="D140" s="930"/>
      <c r="E140" s="931"/>
    </row>
    <row r="141" spans="1:5" ht="15.75" thickBot="1" x14ac:dyDescent="0.3">
      <c r="A141" s="133" t="s">
        <v>74</v>
      </c>
      <c r="B141" s="1002" t="s">
        <v>512</v>
      </c>
      <c r="C141" s="1003"/>
      <c r="D141" s="1003"/>
      <c r="E141" s="1004"/>
    </row>
    <row r="142" spans="1:5" ht="12.75" customHeight="1" x14ac:dyDescent="0.25">
      <c r="A142" s="893"/>
      <c r="B142" s="145">
        <v>2018</v>
      </c>
      <c r="C142" s="145">
        <v>2019</v>
      </c>
      <c r="D142" s="145">
        <v>2020</v>
      </c>
      <c r="E142" s="145">
        <v>2021</v>
      </c>
    </row>
    <row r="143" spans="1:5" ht="9" customHeight="1" thickBot="1" x14ac:dyDescent="0.3">
      <c r="A143" s="894"/>
      <c r="B143" s="146" t="s">
        <v>41</v>
      </c>
      <c r="C143" s="146" t="s">
        <v>42</v>
      </c>
      <c r="D143" s="146" t="s">
        <v>42</v>
      </c>
      <c r="E143" s="146" t="s">
        <v>42</v>
      </c>
    </row>
    <row r="144" spans="1:5" ht="15.75" thickBot="1" x14ac:dyDescent="0.3">
      <c r="A144" s="133" t="s">
        <v>76</v>
      </c>
      <c r="B144" s="147">
        <v>1417</v>
      </c>
      <c r="C144" s="147">
        <v>1500</v>
      </c>
      <c r="D144" s="147">
        <v>1500</v>
      </c>
      <c r="E144" s="147">
        <v>1550</v>
      </c>
    </row>
    <row r="145" spans="1:9" ht="15.75" thickBot="1" x14ac:dyDescent="0.3">
      <c r="A145" s="133" t="s">
        <v>77</v>
      </c>
      <c r="B145" s="147">
        <v>6244</v>
      </c>
      <c r="C145" s="147">
        <v>6270</v>
      </c>
      <c r="D145" s="147">
        <v>6525</v>
      </c>
      <c r="E145" s="147">
        <v>6825</v>
      </c>
    </row>
    <row r="146" spans="1:9" ht="15.75" thickBot="1" x14ac:dyDescent="0.3">
      <c r="A146" s="133" t="s">
        <v>78</v>
      </c>
      <c r="B146" s="147">
        <v>4.4064925899788285</v>
      </c>
      <c r="C146" s="147">
        <v>4.18</v>
      </c>
      <c r="D146" s="147">
        <v>4.3499999999999996</v>
      </c>
      <c r="E146" s="147">
        <v>4.403225806451613</v>
      </c>
    </row>
    <row r="147" spans="1:9" ht="15.75" thickBot="1" x14ac:dyDescent="0.3">
      <c r="A147" s="133" t="s">
        <v>79</v>
      </c>
      <c r="B147" s="148" t="s">
        <v>80</v>
      </c>
      <c r="C147" s="149">
        <v>5.8574453069865973E-2</v>
      </c>
      <c r="D147" s="149">
        <v>0</v>
      </c>
      <c r="E147" s="149">
        <v>3.3333333333333437E-2</v>
      </c>
      <c r="F147" s="150"/>
      <c r="G147" s="150"/>
      <c r="H147" s="150"/>
      <c r="I147" s="150"/>
    </row>
    <row r="148" spans="1:9" ht="15.75" thickBot="1" x14ac:dyDescent="0.3">
      <c r="A148" s="133" t="s">
        <v>81</v>
      </c>
      <c r="B148" s="148" t="s">
        <v>80</v>
      </c>
      <c r="C148" s="149">
        <v>4.1639974375400346E-3</v>
      </c>
      <c r="D148" s="149">
        <v>4.0669856459330189E-2</v>
      </c>
      <c r="E148" s="149">
        <v>4.5977011494252817E-2</v>
      </c>
    </row>
    <row r="149" spans="1:9" ht="23.25" thickBot="1" x14ac:dyDescent="0.3">
      <c r="A149" s="133" t="s">
        <v>82</v>
      </c>
      <c r="B149" s="148" t="s">
        <v>80</v>
      </c>
      <c r="C149" s="149">
        <v>-5.1399743754003913E-2</v>
      </c>
      <c r="D149" s="149">
        <v>4.0669856459330189E-2</v>
      </c>
      <c r="E149" s="149">
        <v>1.223581757508363E-2</v>
      </c>
    </row>
    <row r="150" spans="1:9" ht="15.75" thickBot="1" x14ac:dyDescent="0.3">
      <c r="A150" s="1005" t="s">
        <v>513</v>
      </c>
      <c r="B150" s="1006"/>
      <c r="C150" s="1006"/>
      <c r="D150" s="1006"/>
      <c r="E150" s="1007"/>
    </row>
    <row r="151" spans="1:9" ht="12.75" customHeight="1" x14ac:dyDescent="0.25">
      <c r="A151" s="893"/>
      <c r="B151" s="145">
        <v>2018</v>
      </c>
      <c r="C151" s="145">
        <v>2019</v>
      </c>
      <c r="D151" s="145">
        <v>2020</v>
      </c>
      <c r="E151" s="145">
        <v>2021</v>
      </c>
    </row>
    <row r="152" spans="1:9" ht="9" customHeight="1" thickBot="1" x14ac:dyDescent="0.3">
      <c r="A152" s="894"/>
      <c r="B152" s="146" t="s">
        <v>41</v>
      </c>
      <c r="C152" s="146" t="s">
        <v>42</v>
      </c>
      <c r="D152" s="146" t="s">
        <v>42</v>
      </c>
      <c r="E152" s="146" t="s">
        <v>42</v>
      </c>
    </row>
    <row r="153" spans="1:9" ht="15.75" thickBot="1" x14ac:dyDescent="0.3">
      <c r="A153" s="151" t="s">
        <v>84</v>
      </c>
      <c r="B153" s="142">
        <v>2780</v>
      </c>
      <c r="C153" s="142">
        <v>2800</v>
      </c>
      <c r="D153" s="142">
        <v>2850</v>
      </c>
      <c r="E153" s="142">
        <v>2850</v>
      </c>
    </row>
    <row r="154" spans="1:9" ht="24.75" thickBot="1" x14ac:dyDescent="0.3">
      <c r="A154" s="151" t="s">
        <v>85</v>
      </c>
      <c r="B154" s="142">
        <v>464</v>
      </c>
      <c r="C154" s="142">
        <v>470</v>
      </c>
      <c r="D154" s="142">
        <v>475</v>
      </c>
      <c r="E154" s="142">
        <v>475</v>
      </c>
    </row>
    <row r="155" spans="1:9" ht="15.75" thickBot="1" x14ac:dyDescent="0.3">
      <c r="A155" s="151" t="s">
        <v>86</v>
      </c>
      <c r="B155" s="142">
        <v>3000</v>
      </c>
      <c r="C155" s="142">
        <v>3000</v>
      </c>
      <c r="D155" s="142">
        <v>3200</v>
      </c>
      <c r="E155" s="142">
        <v>3500</v>
      </c>
    </row>
    <row r="156" spans="1:9" ht="15.75" thickBot="1" x14ac:dyDescent="0.3">
      <c r="A156" s="151" t="s">
        <v>87</v>
      </c>
      <c r="B156" s="142"/>
      <c r="C156" s="142"/>
      <c r="D156" s="142"/>
      <c r="E156" s="142"/>
    </row>
    <row r="157" spans="1:9" ht="15.75" thickBot="1" x14ac:dyDescent="0.3">
      <c r="A157" s="151" t="s">
        <v>88</v>
      </c>
      <c r="B157" s="142"/>
      <c r="C157" s="142"/>
      <c r="D157" s="142"/>
      <c r="E157" s="142"/>
    </row>
    <row r="158" spans="1:9" ht="15.75" thickBot="1" x14ac:dyDescent="0.3">
      <c r="A158" s="151" t="s">
        <v>89</v>
      </c>
      <c r="B158" s="142"/>
      <c r="C158" s="142"/>
      <c r="D158" s="142"/>
      <c r="E158" s="142"/>
    </row>
    <row r="159" spans="1:9" ht="24.75" thickBot="1" x14ac:dyDescent="0.3">
      <c r="A159" s="151" t="s">
        <v>90</v>
      </c>
      <c r="B159" s="142"/>
      <c r="C159" s="142"/>
      <c r="D159" s="142"/>
      <c r="E159" s="142"/>
    </row>
    <row r="160" spans="1:9" ht="15.75" thickBot="1" x14ac:dyDescent="0.3">
      <c r="A160" s="151" t="s">
        <v>266</v>
      </c>
      <c r="B160" s="158">
        <v>6244</v>
      </c>
      <c r="C160" s="142">
        <v>6270</v>
      </c>
      <c r="D160" s="142">
        <v>6525</v>
      </c>
      <c r="E160" s="142">
        <v>6825</v>
      </c>
    </row>
    <row r="161" spans="1:9" ht="15.75" thickBot="1" x14ac:dyDescent="0.3">
      <c r="A161" s="153" t="s">
        <v>92</v>
      </c>
      <c r="B161" s="158">
        <v>0</v>
      </c>
      <c r="C161" s="158">
        <v>0</v>
      </c>
      <c r="D161" s="158">
        <v>0</v>
      </c>
      <c r="E161" s="158">
        <v>0</v>
      </c>
    </row>
    <row r="162" spans="1:9" ht="15.75" thickBot="1" x14ac:dyDescent="0.3">
      <c r="A162" s="164"/>
      <c r="B162" s="1026"/>
      <c r="C162" s="1027"/>
      <c r="D162" s="1027"/>
      <c r="E162" s="1028"/>
    </row>
    <row r="163" spans="1:9" ht="40.5" customHeight="1" thickBot="1" x14ac:dyDescent="0.3">
      <c r="A163" s="144" t="s">
        <v>268</v>
      </c>
      <c r="B163" s="844" t="s">
        <v>514</v>
      </c>
      <c r="C163" s="845"/>
      <c r="D163" s="845"/>
      <c r="E163" s="846"/>
    </row>
    <row r="164" spans="1:9" ht="39.75" customHeight="1" thickBot="1" x14ac:dyDescent="0.3">
      <c r="A164" s="133" t="s">
        <v>72</v>
      </c>
      <c r="B164" s="1075" t="s">
        <v>515</v>
      </c>
      <c r="C164" s="1076"/>
      <c r="D164" s="1076"/>
      <c r="E164" s="1077"/>
    </row>
    <row r="165" spans="1:9" ht="15.75" thickBot="1" x14ac:dyDescent="0.3">
      <c r="A165" s="133" t="s">
        <v>74</v>
      </c>
      <c r="B165" s="1078" t="s">
        <v>516</v>
      </c>
      <c r="C165" s="1079"/>
      <c r="D165" s="1079"/>
      <c r="E165" s="1080"/>
    </row>
    <row r="166" spans="1:9" ht="12.75" customHeight="1" x14ac:dyDescent="0.25">
      <c r="A166" s="893"/>
      <c r="B166" s="145">
        <v>2018</v>
      </c>
      <c r="C166" s="145">
        <v>2019</v>
      </c>
      <c r="D166" s="145">
        <v>2020</v>
      </c>
      <c r="E166" s="145">
        <v>2021</v>
      </c>
    </row>
    <row r="167" spans="1:9" ht="9" customHeight="1" thickBot="1" x14ac:dyDescent="0.3">
      <c r="A167" s="894"/>
      <c r="B167" s="146" t="s">
        <v>41</v>
      </c>
      <c r="C167" s="146" t="s">
        <v>42</v>
      </c>
      <c r="D167" s="146" t="s">
        <v>42</v>
      </c>
      <c r="E167" s="146" t="s">
        <v>42</v>
      </c>
    </row>
    <row r="168" spans="1:9" ht="15.75" thickBot="1" x14ac:dyDescent="0.3">
      <c r="A168" s="133" t="s">
        <v>76</v>
      </c>
      <c r="B168" s="147">
        <v>100</v>
      </c>
      <c r="C168" s="147">
        <v>100</v>
      </c>
      <c r="D168" s="147">
        <v>100</v>
      </c>
      <c r="E168" s="147">
        <v>100</v>
      </c>
    </row>
    <row r="169" spans="1:9" ht="15.75" thickBot="1" x14ac:dyDescent="0.3">
      <c r="A169" s="133" t="s">
        <v>77</v>
      </c>
      <c r="B169" s="147">
        <v>69034</v>
      </c>
      <c r="C169" s="147">
        <v>78254</v>
      </c>
      <c r="D169" s="147">
        <v>78278</v>
      </c>
      <c r="E169" s="147">
        <v>79300</v>
      </c>
    </row>
    <row r="170" spans="1:9" ht="15.75" thickBot="1" x14ac:dyDescent="0.3">
      <c r="A170" s="133" t="s">
        <v>78</v>
      </c>
      <c r="B170" s="147"/>
      <c r="C170" s="147">
        <v>782.54</v>
      </c>
      <c r="D170" s="147">
        <v>782.78</v>
      </c>
      <c r="E170" s="147">
        <v>793</v>
      </c>
    </row>
    <row r="171" spans="1:9" ht="15.75" thickBot="1" x14ac:dyDescent="0.3">
      <c r="A171" s="133" t="s">
        <v>79</v>
      </c>
      <c r="B171" s="148" t="s">
        <v>80</v>
      </c>
      <c r="C171" s="149">
        <v>0</v>
      </c>
      <c r="D171" s="149">
        <v>0</v>
      </c>
      <c r="E171" s="149">
        <v>0</v>
      </c>
      <c r="F171" s="150"/>
      <c r="G171" s="150"/>
      <c r="H171" s="150"/>
      <c r="I171" s="150"/>
    </row>
    <row r="172" spans="1:9" ht="15.75" thickBot="1" x14ac:dyDescent="0.3">
      <c r="A172" s="133" t="s">
        <v>81</v>
      </c>
      <c r="B172" s="148" t="s">
        <v>80</v>
      </c>
      <c r="C172" s="149">
        <v>0.13355737752411856</v>
      </c>
      <c r="D172" s="149">
        <v>3.0669358754820131E-4</v>
      </c>
      <c r="E172" s="149">
        <v>1.3056031068754859E-2</v>
      </c>
    </row>
    <row r="173" spans="1:9" ht="23.25" thickBot="1" x14ac:dyDescent="0.3">
      <c r="A173" s="133" t="s">
        <v>82</v>
      </c>
      <c r="B173" s="148" t="s">
        <v>80</v>
      </c>
      <c r="C173" s="149" t="e">
        <v>#DIV/0!</v>
      </c>
      <c r="D173" s="149">
        <v>3.0669358754820131E-4</v>
      </c>
      <c r="E173" s="149">
        <v>1.3056031068755081E-2</v>
      </c>
    </row>
    <row r="174" spans="1:9" ht="15.75" thickBot="1" x14ac:dyDescent="0.3">
      <c r="A174" s="1005" t="s">
        <v>366</v>
      </c>
      <c r="B174" s="1006"/>
      <c r="C174" s="1006"/>
      <c r="D174" s="1006"/>
      <c r="E174" s="1007"/>
    </row>
    <row r="175" spans="1:9" ht="12.75" customHeight="1" x14ac:dyDescent="0.25">
      <c r="A175" s="893"/>
      <c r="B175" s="145">
        <v>2018</v>
      </c>
      <c r="C175" s="145">
        <v>2019</v>
      </c>
      <c r="D175" s="145">
        <v>2020</v>
      </c>
      <c r="E175" s="145">
        <v>2021</v>
      </c>
    </row>
    <row r="176" spans="1:9" ht="9" customHeight="1" thickBot="1" x14ac:dyDescent="0.3">
      <c r="A176" s="894"/>
      <c r="B176" s="146" t="s">
        <v>41</v>
      </c>
      <c r="C176" s="146" t="s">
        <v>42</v>
      </c>
      <c r="D176" s="146" t="s">
        <v>42</v>
      </c>
      <c r="E176" s="146" t="s">
        <v>42</v>
      </c>
    </row>
    <row r="177" spans="1:5" ht="15.75" thickBot="1" x14ac:dyDescent="0.3">
      <c r="A177" s="151" t="s">
        <v>84</v>
      </c>
      <c r="B177" s="142">
        <v>29164</v>
      </c>
      <c r="C177" s="142">
        <v>32780</v>
      </c>
      <c r="D177" s="142">
        <v>32800</v>
      </c>
      <c r="E177" s="142">
        <v>32800</v>
      </c>
    </row>
    <row r="178" spans="1:5" ht="24.75" thickBot="1" x14ac:dyDescent="0.3">
      <c r="A178" s="151" t="s">
        <v>85</v>
      </c>
      <c r="B178" s="142">
        <v>4870</v>
      </c>
      <c r="C178" s="142">
        <v>5474</v>
      </c>
      <c r="D178" s="142">
        <v>5478</v>
      </c>
      <c r="E178" s="142">
        <v>5500</v>
      </c>
    </row>
    <row r="179" spans="1:5" ht="15.75" thickBot="1" x14ac:dyDescent="0.3">
      <c r="A179" s="151" t="s">
        <v>86</v>
      </c>
      <c r="B179" s="142">
        <v>35000</v>
      </c>
      <c r="C179" s="142">
        <v>40000</v>
      </c>
      <c r="D179" s="142">
        <v>40000</v>
      </c>
      <c r="E179" s="142">
        <v>41000</v>
      </c>
    </row>
    <row r="180" spans="1:5" ht="15.75" thickBot="1" x14ac:dyDescent="0.3">
      <c r="A180" s="151" t="s">
        <v>87</v>
      </c>
      <c r="B180" s="142"/>
      <c r="C180" s="142"/>
      <c r="D180" s="142"/>
      <c r="E180" s="142"/>
    </row>
    <row r="181" spans="1:5" ht="15.75" thickBot="1" x14ac:dyDescent="0.3">
      <c r="A181" s="151" t="s">
        <v>88</v>
      </c>
      <c r="B181" s="142"/>
      <c r="C181" s="142"/>
      <c r="D181" s="142"/>
      <c r="E181" s="142"/>
    </row>
    <row r="182" spans="1:5" ht="15.75" thickBot="1" x14ac:dyDescent="0.3">
      <c r="A182" s="151" t="s">
        <v>89</v>
      </c>
      <c r="B182" s="142"/>
      <c r="C182" s="142"/>
      <c r="D182" s="142"/>
      <c r="E182" s="142"/>
    </row>
    <row r="183" spans="1:5" ht="24.75" thickBot="1" x14ac:dyDescent="0.3">
      <c r="A183" s="151" t="s">
        <v>90</v>
      </c>
      <c r="B183" s="158"/>
      <c r="C183" s="142"/>
      <c r="D183" s="142"/>
      <c r="E183" s="142"/>
    </row>
    <row r="184" spans="1:5" ht="15.75" thickBot="1" x14ac:dyDescent="0.3">
      <c r="A184" s="153" t="s">
        <v>272</v>
      </c>
      <c r="B184" s="158">
        <v>69034</v>
      </c>
      <c r="C184" s="158">
        <v>78254</v>
      </c>
      <c r="D184" s="158">
        <v>78278</v>
      </c>
      <c r="E184" s="158">
        <v>79300</v>
      </c>
    </row>
    <row r="185" spans="1:5" ht="15.75" thickBot="1" x14ac:dyDescent="0.3">
      <c r="A185" s="1005" t="s">
        <v>366</v>
      </c>
      <c r="B185" s="1006"/>
      <c r="C185" s="1006"/>
      <c r="D185" s="1006"/>
      <c r="E185" s="1007"/>
    </row>
    <row r="186" spans="1:5" ht="12.75" customHeight="1" x14ac:dyDescent="0.25">
      <c r="A186" s="893"/>
      <c r="B186" s="145">
        <v>2018</v>
      </c>
      <c r="C186" s="145">
        <v>2019</v>
      </c>
      <c r="D186" s="145">
        <v>2020</v>
      </c>
      <c r="E186" s="145">
        <v>2021</v>
      </c>
    </row>
    <row r="187" spans="1:5" ht="9" customHeight="1" thickBot="1" x14ac:dyDescent="0.3">
      <c r="A187" s="894"/>
      <c r="B187" s="146" t="s">
        <v>41</v>
      </c>
      <c r="C187" s="146" t="s">
        <v>42</v>
      </c>
      <c r="D187" s="146" t="s">
        <v>42</v>
      </c>
      <c r="E187" s="146" t="s">
        <v>42</v>
      </c>
    </row>
    <row r="188" spans="1:5" ht="36.75" thickBot="1" x14ac:dyDescent="0.3">
      <c r="A188" s="165" t="s">
        <v>129</v>
      </c>
      <c r="B188" s="142">
        <v>3</v>
      </c>
      <c r="C188" s="142">
        <v>3</v>
      </c>
      <c r="D188" s="142">
        <v>3</v>
      </c>
      <c r="E188" s="142">
        <v>3</v>
      </c>
    </row>
    <row r="189" spans="1:5" ht="36.75" thickBot="1" x14ac:dyDescent="0.3">
      <c r="A189" s="165" t="s">
        <v>130</v>
      </c>
      <c r="B189" s="142" t="s">
        <v>80</v>
      </c>
      <c r="C189" s="142" t="s">
        <v>80</v>
      </c>
      <c r="D189" s="142" t="s">
        <v>80</v>
      </c>
      <c r="E189" s="142" t="s">
        <v>80</v>
      </c>
    </row>
  </sheetData>
  <mergeCells count="64">
    <mergeCell ref="C9:E9"/>
    <mergeCell ref="B4:E4"/>
    <mergeCell ref="B5:E5"/>
    <mergeCell ref="B6:E6"/>
    <mergeCell ref="C7:E7"/>
    <mergeCell ref="C8:E8"/>
    <mergeCell ref="A39:E39"/>
    <mergeCell ref="A10:E10"/>
    <mergeCell ref="A11:E11"/>
    <mergeCell ref="B13:E13"/>
    <mergeCell ref="B14:E14"/>
    <mergeCell ref="B15:E15"/>
    <mergeCell ref="A16:E16"/>
    <mergeCell ref="A17:E19"/>
    <mergeCell ref="B20:E20"/>
    <mergeCell ref="A21:A22"/>
    <mergeCell ref="B26:E26"/>
    <mergeCell ref="A27:E27"/>
    <mergeCell ref="A75:A76"/>
    <mergeCell ref="B40:E40"/>
    <mergeCell ref="B41:E41"/>
    <mergeCell ref="B42:E42"/>
    <mergeCell ref="A43:A44"/>
    <mergeCell ref="A51:E51"/>
    <mergeCell ref="A52:A53"/>
    <mergeCell ref="B63:E63"/>
    <mergeCell ref="B64:E64"/>
    <mergeCell ref="B65:E65"/>
    <mergeCell ref="A67:A68"/>
    <mergeCell ref="A74:E74"/>
    <mergeCell ref="B114:E114"/>
    <mergeCell ref="A86:E86"/>
    <mergeCell ref="A87:E87"/>
    <mergeCell ref="B88:E88"/>
    <mergeCell ref="B89:E89"/>
    <mergeCell ref="B90:E90"/>
    <mergeCell ref="B91:E91"/>
    <mergeCell ref="A92:A93"/>
    <mergeCell ref="A100:E100"/>
    <mergeCell ref="A101:A102"/>
    <mergeCell ref="A111:A113"/>
    <mergeCell ref="B111:E113"/>
    <mergeCell ref="A150:E150"/>
    <mergeCell ref="B115:E115"/>
    <mergeCell ref="B116:E116"/>
    <mergeCell ref="B117:E117"/>
    <mergeCell ref="A118:A119"/>
    <mergeCell ref="A126:E126"/>
    <mergeCell ref="A127:A128"/>
    <mergeCell ref="B138:E138"/>
    <mergeCell ref="B139:E139"/>
    <mergeCell ref="B140:E140"/>
    <mergeCell ref="B141:E141"/>
    <mergeCell ref="A142:A143"/>
    <mergeCell ref="A174:E174"/>
    <mergeCell ref="A175:A176"/>
    <mergeCell ref="A185:E185"/>
    <mergeCell ref="A186:A187"/>
    <mergeCell ref="A151:A152"/>
    <mergeCell ref="B162:E162"/>
    <mergeCell ref="B163:E163"/>
    <mergeCell ref="B164:E164"/>
    <mergeCell ref="B165:E165"/>
    <mergeCell ref="A166:A167"/>
  </mergeCells>
  <printOptions horizontalCentered="1" verticalCentered="1"/>
  <pageMargins left="0.7" right="0.7" top="0.75" bottom="0.75" header="0.3" footer="0.3"/>
  <pageSetup scale="57" orientation="portrait" r:id="rId1"/>
  <rowBreaks count="2" manualBreakCount="2">
    <brk id="85" max="16383" man="1"/>
    <brk id="14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view="pageBreakPreview" topLeftCell="A16" zoomScale="60" zoomScaleNormal="100" workbookViewId="0">
      <selection activeCell="B29" sqref="B29:E29"/>
    </sheetView>
  </sheetViews>
  <sheetFormatPr defaultRowHeight="15" x14ac:dyDescent="0.25"/>
  <cols>
    <col min="1" max="1" width="29" style="404" customWidth="1"/>
    <col min="2" max="2" width="16.140625" style="404" customWidth="1"/>
    <col min="3" max="3" width="17.140625" style="404" customWidth="1"/>
    <col min="4" max="4" width="16.7109375" style="404" customWidth="1"/>
    <col min="5" max="5" width="17.5703125" style="404" customWidth="1"/>
    <col min="6" max="6" width="11" style="404" customWidth="1"/>
    <col min="7" max="7" width="11" style="404" bestFit="1" customWidth="1"/>
    <col min="8" max="16384" width="9.140625" style="404"/>
  </cols>
  <sheetData>
    <row r="1" spans="1:5" x14ac:dyDescent="0.25">
      <c r="A1" s="402" t="s">
        <v>0</v>
      </c>
      <c r="B1" s="403"/>
      <c r="C1" s="403"/>
      <c r="D1" s="403"/>
    </row>
    <row r="3" spans="1:5" ht="15.75" thickBot="1" x14ac:dyDescent="0.3"/>
    <row r="4" spans="1:5" ht="32.25" thickBot="1" x14ac:dyDescent="0.3">
      <c r="A4" s="405" t="s">
        <v>1</v>
      </c>
      <c r="B4" s="681" t="s">
        <v>683</v>
      </c>
      <c r="C4" s="682"/>
      <c r="D4" s="682"/>
      <c r="E4" s="683"/>
    </row>
    <row r="5" spans="1:5" ht="32.25" thickBot="1" x14ac:dyDescent="0.3">
      <c r="A5" s="406" t="s">
        <v>2</v>
      </c>
      <c r="B5" s="663"/>
      <c r="C5" s="664"/>
      <c r="D5" s="664"/>
      <c r="E5" s="665"/>
    </row>
    <row r="6" spans="1:5" ht="32.25" thickBot="1" x14ac:dyDescent="0.3">
      <c r="A6" s="406" t="s">
        <v>614</v>
      </c>
      <c r="B6" s="684"/>
      <c r="C6" s="667"/>
      <c r="D6" s="667"/>
      <c r="E6" s="668"/>
    </row>
    <row r="7" spans="1:5" ht="32.25" thickBot="1" x14ac:dyDescent="0.3">
      <c r="A7" s="406" t="s">
        <v>4</v>
      </c>
      <c r="B7" s="407" t="s">
        <v>619</v>
      </c>
      <c r="C7" s="1094" t="s">
        <v>684</v>
      </c>
      <c r="D7" s="1095"/>
      <c r="E7" s="1096"/>
    </row>
    <row r="8" spans="1:5" ht="102" customHeight="1" thickBot="1" x14ac:dyDescent="0.3">
      <c r="A8" s="406" t="s">
        <v>620</v>
      </c>
      <c r="B8" s="408" t="s">
        <v>28</v>
      </c>
      <c r="C8" s="1097" t="s">
        <v>685</v>
      </c>
      <c r="D8" s="1098"/>
      <c r="E8" s="1099"/>
    </row>
    <row r="9" spans="1:5" ht="32.25" thickBot="1" x14ac:dyDescent="0.3">
      <c r="A9" s="406" t="s">
        <v>621</v>
      </c>
      <c r="B9" s="409" t="s">
        <v>686</v>
      </c>
      <c r="C9" s="667"/>
      <c r="D9" s="667"/>
      <c r="E9" s="668"/>
    </row>
    <row r="10" spans="1:5" ht="18" customHeight="1" x14ac:dyDescent="0.25">
      <c r="A10" s="659" t="s">
        <v>32</v>
      </c>
      <c r="B10" s="659"/>
      <c r="C10" s="659"/>
      <c r="D10" s="659"/>
      <c r="E10" s="659"/>
    </row>
    <row r="11" spans="1:5" ht="18" customHeight="1" x14ac:dyDescent="0.25">
      <c r="A11" s="1103" t="s">
        <v>618</v>
      </c>
      <c r="B11" s="1103"/>
      <c r="C11" s="1103"/>
      <c r="D11" s="1103"/>
      <c r="E11" s="1103"/>
    </row>
    <row r="12" spans="1:5" ht="15.75" thickBot="1" x14ac:dyDescent="0.3"/>
    <row r="13" spans="1:5" ht="15.75" thickBot="1" x14ac:dyDescent="0.3">
      <c r="A13" s="410" t="s">
        <v>33</v>
      </c>
      <c r="B13" s="1104" t="s">
        <v>517</v>
      </c>
      <c r="C13" s="1104"/>
      <c r="D13" s="1104"/>
      <c r="E13" s="1104"/>
    </row>
    <row r="14" spans="1:5" ht="15.75" thickBot="1" x14ac:dyDescent="0.3">
      <c r="A14" s="410" t="s">
        <v>5</v>
      </c>
      <c r="B14" s="663" t="s">
        <v>28</v>
      </c>
      <c r="C14" s="664"/>
      <c r="D14" s="664"/>
      <c r="E14" s="665"/>
    </row>
    <row r="15" spans="1:5" ht="15.75" thickBot="1" x14ac:dyDescent="0.3">
      <c r="A15" s="410" t="s">
        <v>35</v>
      </c>
      <c r="B15" s="666" t="s">
        <v>36</v>
      </c>
      <c r="C15" s="667"/>
      <c r="D15" s="667"/>
      <c r="E15" s="668"/>
    </row>
    <row r="16" spans="1:5" ht="15.75" thickBot="1" x14ac:dyDescent="0.3">
      <c r="A16" s="669" t="s">
        <v>6</v>
      </c>
      <c r="B16" s="670"/>
      <c r="C16" s="670"/>
      <c r="D16" s="670"/>
      <c r="E16" s="671"/>
    </row>
    <row r="17" spans="1:5" x14ac:dyDescent="0.25">
      <c r="A17" s="1105" t="s">
        <v>518</v>
      </c>
      <c r="B17" s="1106"/>
      <c r="C17" s="1106"/>
      <c r="D17" s="1106"/>
      <c r="E17" s="1107"/>
    </row>
    <row r="18" spans="1:5" ht="36.75" customHeight="1" x14ac:dyDescent="0.25">
      <c r="A18" s="1108"/>
      <c r="B18" s="1109"/>
      <c r="C18" s="1109"/>
      <c r="D18" s="1109"/>
      <c r="E18" s="1110"/>
    </row>
    <row r="19" spans="1:5" ht="15.75" thickBot="1" x14ac:dyDescent="0.3">
      <c r="A19" s="1111"/>
      <c r="B19" s="1112"/>
      <c r="C19" s="1112"/>
      <c r="D19" s="1112"/>
      <c r="E19" s="1113"/>
    </row>
    <row r="20" spans="1:5" ht="55.5" customHeight="1" thickBot="1" x14ac:dyDescent="0.3">
      <c r="A20" s="411" t="s">
        <v>38</v>
      </c>
      <c r="B20" s="1114" t="s">
        <v>519</v>
      </c>
      <c r="C20" s="1115"/>
      <c r="D20" s="1115"/>
      <c r="E20" s="1116"/>
    </row>
    <row r="21" spans="1:5" ht="23.25" customHeight="1" x14ac:dyDescent="0.25">
      <c r="A21" s="1117" t="s">
        <v>138</v>
      </c>
      <c r="B21" s="412">
        <v>2018</v>
      </c>
      <c r="C21" s="412">
        <v>2019</v>
      </c>
      <c r="D21" s="412">
        <v>2020</v>
      </c>
      <c r="E21" s="412">
        <v>2021</v>
      </c>
    </row>
    <row r="22" spans="1:5" ht="15.75" thickBot="1" x14ac:dyDescent="0.3">
      <c r="A22" s="1118"/>
      <c r="B22" s="413" t="s">
        <v>41</v>
      </c>
      <c r="C22" s="413" t="s">
        <v>42</v>
      </c>
      <c r="D22" s="413" t="s">
        <v>42</v>
      </c>
      <c r="E22" s="413" t="s">
        <v>42</v>
      </c>
    </row>
    <row r="23" spans="1:5" ht="15.75" thickBot="1" x14ac:dyDescent="0.3">
      <c r="A23" s="414" t="s">
        <v>520</v>
      </c>
      <c r="B23" s="415">
        <v>0.95</v>
      </c>
      <c r="C23" s="415">
        <v>0.95</v>
      </c>
      <c r="D23" s="415">
        <v>0.95</v>
      </c>
      <c r="E23" s="415">
        <v>0.95</v>
      </c>
    </row>
    <row r="24" spans="1:5" ht="15.75" thickBot="1" x14ac:dyDescent="0.3">
      <c r="A24" s="416" t="s">
        <v>370</v>
      </c>
      <c r="B24" s="415" t="s">
        <v>60</v>
      </c>
      <c r="C24" s="415" t="s">
        <v>61</v>
      </c>
      <c r="D24" s="415" t="s">
        <v>61</v>
      </c>
      <c r="E24" s="415" t="s">
        <v>61</v>
      </c>
    </row>
    <row r="25" spans="1:5" ht="23.25" thickBot="1" x14ac:dyDescent="0.3">
      <c r="A25" s="416" t="s">
        <v>343</v>
      </c>
      <c r="B25" s="415" t="s">
        <v>60</v>
      </c>
      <c r="C25" s="415" t="s">
        <v>61</v>
      </c>
      <c r="D25" s="415" t="s">
        <v>61</v>
      </c>
      <c r="E25" s="415" t="s">
        <v>61</v>
      </c>
    </row>
    <row r="26" spans="1:5" ht="62.25" customHeight="1" thickBot="1" x14ac:dyDescent="0.3">
      <c r="A26" s="417" t="s">
        <v>45</v>
      </c>
      <c r="B26" s="728" t="s">
        <v>521</v>
      </c>
      <c r="C26" s="729"/>
      <c r="D26" s="729"/>
      <c r="E26" s="730"/>
    </row>
    <row r="27" spans="1:5" ht="15.75" thickBot="1" x14ac:dyDescent="0.3">
      <c r="A27" s="418"/>
      <c r="B27" s="1119"/>
      <c r="C27" s="1120"/>
      <c r="D27" s="1120"/>
      <c r="E27" s="1121"/>
    </row>
    <row r="28" spans="1:5" ht="15.75" thickBot="1" x14ac:dyDescent="0.3">
      <c r="A28" s="419" t="s">
        <v>108</v>
      </c>
      <c r="B28" s="1100" t="s">
        <v>522</v>
      </c>
      <c r="C28" s="1101"/>
      <c r="D28" s="1101"/>
      <c r="E28" s="1102"/>
    </row>
    <row r="29" spans="1:5" ht="42" customHeight="1" thickBot="1" x14ac:dyDescent="0.3">
      <c r="A29" s="420" t="s">
        <v>72</v>
      </c>
      <c r="B29" s="1122" t="s">
        <v>523</v>
      </c>
      <c r="C29" s="1123"/>
      <c r="D29" s="1123"/>
      <c r="E29" s="1124"/>
    </row>
    <row r="30" spans="1:5" ht="23.25" customHeight="1" thickBot="1" x14ac:dyDescent="0.3">
      <c r="A30" s="420" t="s">
        <v>74</v>
      </c>
      <c r="B30" s="1125" t="s">
        <v>524</v>
      </c>
      <c r="C30" s="1126"/>
      <c r="D30" s="1126"/>
      <c r="E30" s="1127"/>
    </row>
    <row r="31" spans="1:5" ht="12.75" customHeight="1" x14ac:dyDescent="0.25">
      <c r="A31" s="693"/>
      <c r="B31" s="421">
        <v>2018</v>
      </c>
      <c r="C31" s="421">
        <v>2019</v>
      </c>
      <c r="D31" s="421">
        <v>2020</v>
      </c>
      <c r="E31" s="421">
        <v>2021</v>
      </c>
    </row>
    <row r="32" spans="1:5" ht="17.25" customHeight="1" thickBot="1" x14ac:dyDescent="0.3">
      <c r="A32" s="694"/>
      <c r="B32" s="422" t="s">
        <v>41</v>
      </c>
      <c r="C32" s="422" t="s">
        <v>42</v>
      </c>
      <c r="D32" s="422" t="s">
        <v>42</v>
      </c>
      <c r="E32" s="422" t="s">
        <v>42</v>
      </c>
    </row>
    <row r="33" spans="1:9" ht="15.75" thickBot="1" x14ac:dyDescent="0.3">
      <c r="A33" s="420" t="s">
        <v>76</v>
      </c>
      <c r="B33" s="423">
        <v>10000</v>
      </c>
      <c r="C33" s="423">
        <v>11000</v>
      </c>
      <c r="D33" s="423">
        <v>11000</v>
      </c>
      <c r="E33" s="423">
        <v>11000</v>
      </c>
    </row>
    <row r="34" spans="1:9" ht="15.75" thickBot="1" x14ac:dyDescent="0.3">
      <c r="A34" s="420" t="s">
        <v>77</v>
      </c>
      <c r="B34" s="423">
        <v>164034</v>
      </c>
      <c r="C34" s="423">
        <v>164034</v>
      </c>
      <c r="D34" s="423">
        <v>164034</v>
      </c>
      <c r="E34" s="423">
        <v>164034</v>
      </c>
    </row>
    <row r="35" spans="1:9" ht="15.75" thickBot="1" x14ac:dyDescent="0.3">
      <c r="A35" s="420" t="s">
        <v>78</v>
      </c>
      <c r="B35" s="423">
        <v>16.403400000000001</v>
      </c>
      <c r="C35" s="423">
        <v>14.912181818181818</v>
      </c>
      <c r="D35" s="423">
        <v>14.912181818181818</v>
      </c>
      <c r="E35" s="423">
        <v>14.912181818181818</v>
      </c>
    </row>
    <row r="36" spans="1:9" ht="15.75" thickBot="1" x14ac:dyDescent="0.3">
      <c r="A36" s="420" t="s">
        <v>79</v>
      </c>
      <c r="B36" s="424" t="s">
        <v>80</v>
      </c>
      <c r="C36" s="425">
        <v>0.10000000000000009</v>
      </c>
      <c r="D36" s="425">
        <v>0</v>
      </c>
      <c r="E36" s="425">
        <v>0</v>
      </c>
      <c r="F36" s="426"/>
      <c r="G36" s="426"/>
      <c r="H36" s="426"/>
      <c r="I36" s="426"/>
    </row>
    <row r="37" spans="1:9" ht="15.75" thickBot="1" x14ac:dyDescent="0.3">
      <c r="A37" s="420" t="s">
        <v>81</v>
      </c>
      <c r="B37" s="424" t="s">
        <v>80</v>
      </c>
      <c r="C37" s="425">
        <v>0</v>
      </c>
      <c r="D37" s="425">
        <v>0</v>
      </c>
      <c r="E37" s="425">
        <v>0</v>
      </c>
    </row>
    <row r="38" spans="1:9" ht="15.75" thickBot="1" x14ac:dyDescent="0.3">
      <c r="A38" s="420" t="s">
        <v>82</v>
      </c>
      <c r="B38" s="424" t="s">
        <v>80</v>
      </c>
      <c r="C38" s="425">
        <v>-9.090909090909105E-2</v>
      </c>
      <c r="D38" s="425">
        <v>0</v>
      </c>
      <c r="E38" s="425">
        <v>0</v>
      </c>
    </row>
    <row r="39" spans="1:9" ht="15.75" thickBot="1" x14ac:dyDescent="0.3">
      <c r="A39" s="695" t="s">
        <v>83</v>
      </c>
      <c r="B39" s="696"/>
      <c r="C39" s="696"/>
      <c r="D39" s="696"/>
      <c r="E39" s="697"/>
    </row>
    <row r="40" spans="1:9" ht="12.75" customHeight="1" x14ac:dyDescent="0.25">
      <c r="A40" s="693"/>
      <c r="B40" s="421">
        <v>2018</v>
      </c>
      <c r="C40" s="421">
        <v>2019</v>
      </c>
      <c r="D40" s="421">
        <v>2020</v>
      </c>
      <c r="E40" s="421">
        <v>2021</v>
      </c>
    </row>
    <row r="41" spans="1:9" ht="21.75" customHeight="1" thickBot="1" x14ac:dyDescent="0.3">
      <c r="A41" s="694"/>
      <c r="B41" s="422" t="s">
        <v>41</v>
      </c>
      <c r="C41" s="422" t="s">
        <v>42</v>
      </c>
      <c r="D41" s="422" t="s">
        <v>42</v>
      </c>
      <c r="E41" s="422" t="s">
        <v>42</v>
      </c>
    </row>
    <row r="42" spans="1:9" ht="15.75" thickBot="1" x14ac:dyDescent="0.3">
      <c r="A42" s="427" t="s">
        <v>84</v>
      </c>
      <c r="B42" s="428">
        <v>103000</v>
      </c>
      <c r="C42" s="428">
        <v>103000</v>
      </c>
      <c r="D42" s="428">
        <v>103000</v>
      </c>
      <c r="E42" s="428">
        <v>103000</v>
      </c>
    </row>
    <row r="43" spans="1:9" ht="24.75" thickBot="1" x14ac:dyDescent="0.3">
      <c r="A43" s="427" t="s">
        <v>85</v>
      </c>
      <c r="B43" s="428">
        <v>21000</v>
      </c>
      <c r="C43" s="428">
        <v>21000</v>
      </c>
      <c r="D43" s="428">
        <v>21000</v>
      </c>
      <c r="E43" s="428">
        <v>21000</v>
      </c>
    </row>
    <row r="44" spans="1:9" ht="15.75" thickBot="1" x14ac:dyDescent="0.3">
      <c r="A44" s="427" t="s">
        <v>86</v>
      </c>
      <c r="B44" s="428">
        <v>40034</v>
      </c>
      <c r="C44" s="428">
        <v>40034</v>
      </c>
      <c r="D44" s="428">
        <v>40034</v>
      </c>
      <c r="E44" s="428">
        <v>40034</v>
      </c>
    </row>
    <row r="45" spans="1:9" ht="15.75" thickBot="1" x14ac:dyDescent="0.3">
      <c r="A45" s="427" t="s">
        <v>87</v>
      </c>
      <c r="B45" s="428"/>
      <c r="C45" s="428"/>
      <c r="D45" s="428"/>
      <c r="E45" s="428"/>
    </row>
    <row r="46" spans="1:9" ht="15.75" thickBot="1" x14ac:dyDescent="0.3">
      <c r="A46" s="427" t="s">
        <v>88</v>
      </c>
      <c r="B46" s="428"/>
      <c r="C46" s="428"/>
      <c r="D46" s="428"/>
      <c r="E46" s="428"/>
    </row>
    <row r="47" spans="1:9" ht="15.75" thickBot="1" x14ac:dyDescent="0.3">
      <c r="A47" s="427" t="s">
        <v>89</v>
      </c>
      <c r="B47" s="428"/>
      <c r="C47" s="428"/>
      <c r="D47" s="428"/>
      <c r="E47" s="428"/>
    </row>
    <row r="48" spans="1:9" ht="24.75" thickBot="1" x14ac:dyDescent="0.3">
      <c r="A48" s="427" t="s">
        <v>90</v>
      </c>
      <c r="B48" s="429"/>
      <c r="C48" s="428"/>
      <c r="D48" s="428"/>
      <c r="E48" s="428"/>
    </row>
    <row r="49" spans="1:5" ht="15.75" thickBot="1" x14ac:dyDescent="0.3">
      <c r="A49" s="430" t="s">
        <v>272</v>
      </c>
      <c r="B49" s="429">
        <f>SUM(B42:B48)</f>
        <v>164034</v>
      </c>
      <c r="C49" s="429">
        <f t="shared" ref="C49:E49" si="0">SUM(C42:C48)</f>
        <v>164034</v>
      </c>
      <c r="D49" s="429">
        <f t="shared" si="0"/>
        <v>164034</v>
      </c>
      <c r="E49" s="429">
        <f t="shared" si="0"/>
        <v>164034</v>
      </c>
    </row>
  </sheetData>
  <mergeCells count="23">
    <mergeCell ref="B29:E29"/>
    <mergeCell ref="B30:E30"/>
    <mergeCell ref="A31:A32"/>
    <mergeCell ref="A39:E39"/>
    <mergeCell ref="A40:A41"/>
    <mergeCell ref="B28:E28"/>
    <mergeCell ref="A10:E10"/>
    <mergeCell ref="A11:E11"/>
    <mergeCell ref="B13:E13"/>
    <mergeCell ref="B14:E14"/>
    <mergeCell ref="B15:E15"/>
    <mergeCell ref="A16:E16"/>
    <mergeCell ref="A17:E19"/>
    <mergeCell ref="B20:E20"/>
    <mergeCell ref="A21:A22"/>
    <mergeCell ref="B26:E26"/>
    <mergeCell ref="B27:E27"/>
    <mergeCell ref="C9:E9"/>
    <mergeCell ref="B4:E4"/>
    <mergeCell ref="B5:E5"/>
    <mergeCell ref="B6:E6"/>
    <mergeCell ref="C7:E7"/>
    <mergeCell ref="C8:E8"/>
  </mergeCells>
  <printOptions horizontalCentered="1" verticalCentered="1"/>
  <pageMargins left="0.7" right="0.7" top="0.75" bottom="0.75" header="0.3" footer="0.3"/>
  <pageSetup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F398"/>
  <sheetViews>
    <sheetView view="pageBreakPreview" topLeftCell="A367" zoomScale="60" zoomScaleNormal="85" workbookViewId="0">
      <selection activeCell="R407" sqref="R407"/>
    </sheetView>
  </sheetViews>
  <sheetFormatPr defaultRowHeight="15" x14ac:dyDescent="0.25"/>
  <cols>
    <col min="1" max="1" width="25.42578125" customWidth="1"/>
    <col min="2" max="2" width="15.7109375" customWidth="1"/>
    <col min="3" max="3" width="16.42578125" customWidth="1"/>
    <col min="4" max="4" width="17" customWidth="1"/>
    <col min="5" max="5" width="21.42578125" customWidth="1"/>
    <col min="6" max="6" width="13.7109375" bestFit="1" customWidth="1"/>
  </cols>
  <sheetData>
    <row r="2" spans="1:5" x14ac:dyDescent="0.25">
      <c r="A2" s="1176" t="s">
        <v>32</v>
      </c>
      <c r="B2" s="1176"/>
      <c r="C2" s="1176"/>
      <c r="D2" s="1176"/>
      <c r="E2" s="1176"/>
    </row>
    <row r="3" spans="1:5" ht="15.75" thickBot="1" x14ac:dyDescent="0.3"/>
    <row r="4" spans="1:5" ht="24.75" customHeight="1" thickBot="1" x14ac:dyDescent="0.3">
      <c r="A4" s="8" t="s">
        <v>33</v>
      </c>
      <c r="B4" s="1177" t="s">
        <v>525</v>
      </c>
      <c r="C4" s="1177"/>
      <c r="D4" s="1177"/>
      <c r="E4" s="1177"/>
    </row>
    <row r="5" spans="1:5" ht="15.75" thickBot="1" x14ac:dyDescent="0.3">
      <c r="A5" s="8" t="s">
        <v>5</v>
      </c>
      <c r="B5" s="511" t="s">
        <v>29</v>
      </c>
      <c r="C5" s="512"/>
      <c r="D5" s="512"/>
      <c r="E5" s="513"/>
    </row>
    <row r="6" spans="1:5" ht="38.25" customHeight="1" thickBot="1" x14ac:dyDescent="0.3">
      <c r="A6" s="8" t="s">
        <v>35</v>
      </c>
      <c r="B6" s="514" t="s">
        <v>36</v>
      </c>
      <c r="C6" s="515"/>
      <c r="D6" s="515"/>
      <c r="E6" s="516"/>
    </row>
    <row r="7" spans="1:5" ht="15.75" thickBot="1" x14ac:dyDescent="0.3">
      <c r="A7" s="505" t="s">
        <v>6</v>
      </c>
      <c r="B7" s="506"/>
      <c r="C7" s="506"/>
      <c r="D7" s="506"/>
      <c r="E7" s="507"/>
    </row>
    <row r="8" spans="1:5" ht="80.25" customHeight="1" thickBot="1" x14ac:dyDescent="0.3">
      <c r="A8" s="1178" t="s">
        <v>699</v>
      </c>
      <c r="B8" s="1179"/>
      <c r="C8" s="1179"/>
      <c r="D8" s="1179"/>
      <c r="E8" s="1180"/>
    </row>
    <row r="9" spans="1:5" ht="36.75" customHeight="1" thickBot="1" x14ac:dyDescent="0.3">
      <c r="A9" s="9" t="s">
        <v>38</v>
      </c>
      <c r="B9" s="1184" t="s">
        <v>527</v>
      </c>
      <c r="C9" s="1185"/>
      <c r="D9" s="1185"/>
      <c r="E9" s="1186"/>
    </row>
    <row r="10" spans="1:5" ht="15" customHeight="1" x14ac:dyDescent="0.25">
      <c r="A10" s="549" t="s">
        <v>138</v>
      </c>
      <c r="B10" s="59">
        <v>2018</v>
      </c>
      <c r="C10" s="59">
        <v>2019</v>
      </c>
      <c r="D10" s="59">
        <v>2020</v>
      </c>
      <c r="E10" s="59">
        <v>2021</v>
      </c>
    </row>
    <row r="11" spans="1:5" ht="15.75" thickBot="1" x14ac:dyDescent="0.3">
      <c r="A11" s="550"/>
      <c r="B11" s="60" t="s">
        <v>41</v>
      </c>
      <c r="C11" s="60" t="s">
        <v>42</v>
      </c>
      <c r="D11" s="60" t="s">
        <v>42</v>
      </c>
      <c r="E11" s="60" t="s">
        <v>42</v>
      </c>
    </row>
    <row r="12" spans="1:5" ht="23.25" thickBot="1" x14ac:dyDescent="0.3">
      <c r="A12" s="58" t="s">
        <v>528</v>
      </c>
      <c r="B12" s="11">
        <v>0.42</v>
      </c>
      <c r="C12" s="11">
        <v>0.44</v>
      </c>
      <c r="D12" s="11">
        <v>0.45</v>
      </c>
      <c r="E12" s="11">
        <v>0.46</v>
      </c>
    </row>
    <row r="13" spans="1:5" ht="15.75" thickBot="1" x14ac:dyDescent="0.3">
      <c r="A13" s="13" t="s">
        <v>529</v>
      </c>
      <c r="B13" s="46">
        <v>3300</v>
      </c>
      <c r="C13" s="46">
        <v>3400</v>
      </c>
      <c r="D13" s="46">
        <v>3500</v>
      </c>
      <c r="E13" s="46">
        <v>3600</v>
      </c>
    </row>
    <row r="14" spans="1:5" ht="23.25" thickBot="1" x14ac:dyDescent="0.3">
      <c r="A14" s="13" t="s">
        <v>530</v>
      </c>
      <c r="B14" s="11">
        <v>0.4</v>
      </c>
      <c r="C14" s="11">
        <v>0.6</v>
      </c>
      <c r="D14" s="11">
        <v>0.95</v>
      </c>
      <c r="E14" s="11">
        <v>1</v>
      </c>
    </row>
    <row r="15" spans="1:5" ht="24.75" thickBot="1" x14ac:dyDescent="0.3">
      <c r="A15" s="38" t="s">
        <v>45</v>
      </c>
      <c r="B15" s="1134" t="s">
        <v>531</v>
      </c>
      <c r="C15" s="1135"/>
      <c r="D15" s="1135"/>
      <c r="E15" s="1136"/>
    </row>
    <row r="16" spans="1:5" ht="15.75" customHeight="1" thickBot="1" x14ac:dyDescent="0.3">
      <c r="A16" s="560" t="s">
        <v>532</v>
      </c>
      <c r="B16" s="561"/>
      <c r="C16" s="561"/>
      <c r="D16" s="561"/>
      <c r="E16" s="562"/>
    </row>
    <row r="17" spans="1:5" ht="34.5" thickBot="1" x14ac:dyDescent="0.3">
      <c r="A17" s="58" t="s">
        <v>533</v>
      </c>
      <c r="B17" s="10">
        <v>0.19500000000000001</v>
      </c>
      <c r="C17" s="10">
        <v>0.19800000000000001</v>
      </c>
      <c r="D17" s="11">
        <v>0.2</v>
      </c>
      <c r="E17" s="10">
        <v>0.20100000000000001</v>
      </c>
    </row>
    <row r="18" spans="1:5" ht="23.25" thickBot="1" x14ac:dyDescent="0.3">
      <c r="A18" s="13" t="s">
        <v>534</v>
      </c>
      <c r="B18" s="43">
        <v>2921</v>
      </c>
      <c r="C18" s="43">
        <v>3000</v>
      </c>
      <c r="D18" s="43">
        <v>3100</v>
      </c>
      <c r="E18" s="43">
        <v>3200</v>
      </c>
    </row>
    <row r="19" spans="1:5" ht="15.75" thickBot="1" x14ac:dyDescent="0.3">
      <c r="A19" s="13" t="s">
        <v>535</v>
      </c>
      <c r="B19" s="43">
        <v>90</v>
      </c>
      <c r="C19" s="43">
        <v>100</v>
      </c>
      <c r="D19" s="43">
        <v>110</v>
      </c>
      <c r="E19" s="43">
        <v>120</v>
      </c>
    </row>
    <row r="20" spans="1:5" ht="15.75" thickBot="1" x14ac:dyDescent="0.3">
      <c r="A20" s="13" t="s">
        <v>536</v>
      </c>
      <c r="B20" s="11">
        <v>0.4</v>
      </c>
      <c r="C20" s="11">
        <v>0.45</v>
      </c>
      <c r="D20" s="11">
        <v>0.5</v>
      </c>
      <c r="E20" s="11">
        <v>0.55000000000000004</v>
      </c>
    </row>
    <row r="21" spans="1:5" ht="15.75" thickBot="1" x14ac:dyDescent="0.3">
      <c r="A21" s="1137" t="s">
        <v>69</v>
      </c>
      <c r="B21" s="1138"/>
      <c r="C21" s="1138"/>
      <c r="D21" s="1138"/>
      <c r="E21" s="1139"/>
    </row>
    <row r="22" spans="1:5" ht="15.75" thickBot="1" x14ac:dyDescent="0.3">
      <c r="A22" s="12" t="s">
        <v>70</v>
      </c>
      <c r="B22" s="569" t="s">
        <v>537</v>
      </c>
      <c r="C22" s="570"/>
      <c r="D22" s="570"/>
      <c r="E22" s="571"/>
    </row>
    <row r="23" spans="1:5" ht="15.75" customHeight="1" thickBot="1" x14ac:dyDescent="0.3">
      <c r="A23" s="13" t="s">
        <v>72</v>
      </c>
      <c r="B23" s="560" t="s">
        <v>538</v>
      </c>
      <c r="C23" s="561"/>
      <c r="D23" s="561"/>
      <c r="E23" s="562"/>
    </row>
    <row r="24" spans="1:5" ht="15.75" thickBot="1" x14ac:dyDescent="0.3">
      <c r="A24" s="13" t="s">
        <v>74</v>
      </c>
      <c r="B24" s="572" t="s">
        <v>539</v>
      </c>
      <c r="C24" s="573"/>
      <c r="D24" s="573"/>
      <c r="E24" s="574"/>
    </row>
    <row r="25" spans="1:5" x14ac:dyDescent="0.25">
      <c r="A25" s="549"/>
      <c r="B25" s="14">
        <v>2018</v>
      </c>
      <c r="C25" s="14">
        <v>2019</v>
      </c>
      <c r="D25" s="14">
        <v>2020</v>
      </c>
      <c r="E25" s="14">
        <v>2021</v>
      </c>
    </row>
    <row r="26" spans="1:5" ht="15.75" thickBot="1" x14ac:dyDescent="0.3">
      <c r="A26" s="550"/>
      <c r="B26" s="15" t="s">
        <v>41</v>
      </c>
      <c r="C26" s="15" t="s">
        <v>42</v>
      </c>
      <c r="D26" s="15" t="s">
        <v>42</v>
      </c>
      <c r="E26" s="15" t="s">
        <v>42</v>
      </c>
    </row>
    <row r="27" spans="1:5" ht="15.75" thickBot="1" x14ac:dyDescent="0.3">
      <c r="A27" s="13" t="s">
        <v>76</v>
      </c>
      <c r="B27" s="16">
        <v>19019</v>
      </c>
      <c r="C27" s="16">
        <v>19200</v>
      </c>
      <c r="D27" s="16">
        <v>19300</v>
      </c>
      <c r="E27" s="16">
        <v>19400</v>
      </c>
    </row>
    <row r="28" spans="1:5" ht="15.75" thickBot="1" x14ac:dyDescent="0.3">
      <c r="A28" s="13" t="s">
        <v>77</v>
      </c>
      <c r="B28" s="16">
        <f>1371330000/1000</f>
        <v>1371330</v>
      </c>
      <c r="C28" s="16">
        <f>1597779368/1000</f>
        <v>1597779.368</v>
      </c>
      <c r="D28" s="16">
        <f>1684228534/1000</f>
        <v>1684228.534</v>
      </c>
      <c r="E28" s="16">
        <f>1750531530/1000</f>
        <v>1750531.53</v>
      </c>
    </row>
    <row r="29" spans="1:5" ht="15.75" thickBot="1" x14ac:dyDescent="0.3">
      <c r="A29" s="13" t="s">
        <v>78</v>
      </c>
      <c r="B29" s="16">
        <f>B28/B27</f>
        <v>72.103159997896839</v>
      </c>
      <c r="C29" s="16">
        <f t="shared" ref="C29:E29" si="0">C28/C27</f>
        <v>83.217675416666665</v>
      </c>
      <c r="D29" s="16">
        <f t="shared" si="0"/>
        <v>87.265727150259067</v>
      </c>
      <c r="E29" s="16">
        <f t="shared" si="0"/>
        <v>90.233584020618565</v>
      </c>
    </row>
    <row r="30" spans="1:5" ht="15.75" thickBot="1" x14ac:dyDescent="0.3">
      <c r="A30" s="13" t="s">
        <v>79</v>
      </c>
      <c r="B30" s="57" t="s">
        <v>80</v>
      </c>
      <c r="C30" s="10">
        <f>C27/B27-1</f>
        <v>9.5167989904831884E-3</v>
      </c>
      <c r="D30" s="10">
        <f t="shared" ref="D30:E32" si="1">D27/C27-1</f>
        <v>5.2083333333332593E-3</v>
      </c>
      <c r="E30" s="10">
        <f t="shared" si="1"/>
        <v>5.1813471502590858E-3</v>
      </c>
    </row>
    <row r="31" spans="1:5" ht="15.75" thickBot="1" x14ac:dyDescent="0.3">
      <c r="A31" s="13" t="s">
        <v>81</v>
      </c>
      <c r="B31" s="57" t="s">
        <v>80</v>
      </c>
      <c r="C31" s="10">
        <f>C28/B28-1</f>
        <v>0.16513119963830736</v>
      </c>
      <c r="D31" s="10">
        <f t="shared" si="1"/>
        <v>5.4105821949754995E-2</v>
      </c>
      <c r="E31" s="10">
        <f t="shared" si="1"/>
        <v>3.936698296075769E-2</v>
      </c>
    </row>
    <row r="32" spans="1:5" ht="15.75" thickBot="1" x14ac:dyDescent="0.3">
      <c r="A32" s="13" t="s">
        <v>82</v>
      </c>
      <c r="B32" s="57" t="s">
        <v>80</v>
      </c>
      <c r="C32" s="10">
        <f>C29/B29-1</f>
        <v>0.15414741072505045</v>
      </c>
      <c r="D32" s="10">
        <f t="shared" si="1"/>
        <v>4.8644133753124041E-2</v>
      </c>
      <c r="E32" s="10">
        <f t="shared" si="1"/>
        <v>3.4009421192918943E-2</v>
      </c>
    </row>
    <row r="33" spans="1:5" ht="15.75" customHeight="1" thickBot="1" x14ac:dyDescent="0.3">
      <c r="A33" s="522" t="s">
        <v>83</v>
      </c>
      <c r="B33" s="523"/>
      <c r="C33" s="523"/>
      <c r="D33" s="523"/>
      <c r="E33" s="524"/>
    </row>
    <row r="34" spans="1:5" x14ac:dyDescent="0.25">
      <c r="A34" s="549"/>
      <c r="B34" s="14">
        <v>2018</v>
      </c>
      <c r="C34" s="14">
        <v>2019</v>
      </c>
      <c r="D34" s="14">
        <v>2020</v>
      </c>
      <c r="E34" s="14">
        <v>2021</v>
      </c>
    </row>
    <row r="35" spans="1:5" ht="15.75" thickBot="1" x14ac:dyDescent="0.3">
      <c r="A35" s="550"/>
      <c r="B35" s="15" t="s">
        <v>41</v>
      </c>
      <c r="C35" s="15" t="s">
        <v>42</v>
      </c>
      <c r="D35" s="15" t="s">
        <v>42</v>
      </c>
      <c r="E35" s="15" t="s">
        <v>42</v>
      </c>
    </row>
    <row r="36" spans="1:5" ht="15.75" thickBot="1" x14ac:dyDescent="0.3">
      <c r="A36" s="17" t="s">
        <v>84</v>
      </c>
      <c r="B36" s="18">
        <f>1043732000/1000</f>
        <v>1043732</v>
      </c>
      <c r="C36" s="18">
        <f>1163127992/1000</f>
        <v>1163127.9920000001</v>
      </c>
      <c r="D36" s="18">
        <f>1222284391/1000</f>
        <v>1222284.3910000001</v>
      </c>
      <c r="E36" s="18">
        <f>1283398610.55/1000</f>
        <v>1283398.6105499999</v>
      </c>
    </row>
    <row r="37" spans="1:5" ht="24.75" thickBot="1" x14ac:dyDescent="0.3">
      <c r="A37" s="17" t="s">
        <v>85</v>
      </c>
      <c r="B37" s="18">
        <f>175148000/1000</f>
        <v>175148</v>
      </c>
      <c r="C37" s="18">
        <f>194242376/1000</f>
        <v>194242.37599999999</v>
      </c>
      <c r="D37" s="18">
        <f>204200493/1000</f>
        <v>204200.49299999999</v>
      </c>
      <c r="E37" s="18">
        <f>214152219.54/1000</f>
        <v>214152.21953999999</v>
      </c>
    </row>
    <row r="38" spans="1:5" ht="15.75" thickBot="1" x14ac:dyDescent="0.3">
      <c r="A38" s="17" t="s">
        <v>86</v>
      </c>
      <c r="B38" s="19">
        <f>152450000/1000</f>
        <v>152450</v>
      </c>
      <c r="C38" s="19">
        <f>240409000/1000</f>
        <v>240409</v>
      </c>
      <c r="D38" s="19">
        <f>257743650/1000</f>
        <v>257743.65</v>
      </c>
      <c r="E38" s="19">
        <f>252980699.91/1000</f>
        <v>252980.69991</v>
      </c>
    </row>
    <row r="39" spans="1:5" ht="15.75" thickBot="1" x14ac:dyDescent="0.3">
      <c r="A39" s="17" t="s">
        <v>87</v>
      </c>
      <c r="B39" s="19"/>
      <c r="C39" s="18"/>
      <c r="D39" s="18"/>
      <c r="E39" s="18"/>
    </row>
    <row r="40" spans="1:5" ht="15.75" thickBot="1" x14ac:dyDescent="0.3">
      <c r="A40" s="17" t="s">
        <v>88</v>
      </c>
      <c r="B40" s="19"/>
      <c r="C40" s="18"/>
      <c r="D40" s="18"/>
      <c r="E40" s="18"/>
    </row>
    <row r="41" spans="1:5" ht="15.75" thickBot="1" x14ac:dyDescent="0.3">
      <c r="A41" s="17" t="s">
        <v>89</v>
      </c>
      <c r="B41" s="19"/>
      <c r="C41" s="18"/>
      <c r="D41" s="18"/>
      <c r="E41" s="18"/>
    </row>
    <row r="42" spans="1:5" ht="24.75" thickBot="1" x14ac:dyDescent="0.3">
      <c r="A42" s="17" t="s">
        <v>90</v>
      </c>
      <c r="B42" s="19"/>
      <c r="C42" s="18"/>
      <c r="D42" s="18"/>
      <c r="E42" s="18"/>
    </row>
    <row r="43" spans="1:5" ht="15.75" thickBot="1" x14ac:dyDescent="0.3">
      <c r="A43" s="20" t="s">
        <v>91</v>
      </c>
      <c r="B43" s="19">
        <f>B42+B41+B40+B39+B38+B37+B36</f>
        <v>1371330</v>
      </c>
      <c r="C43" s="19">
        <f>C42+C41+C40+C39+C38+C37+C36</f>
        <v>1597779.368</v>
      </c>
      <c r="D43" s="19">
        <f>SUM(D36:D38)</f>
        <v>1684228.534</v>
      </c>
      <c r="E43" s="19">
        <f>E42+E41+E40+E39+E38+E37+E36</f>
        <v>1750531.5299999998</v>
      </c>
    </row>
    <row r="44" spans="1:5" ht="15.75" thickBot="1" x14ac:dyDescent="0.3">
      <c r="A44" s="21" t="s">
        <v>92</v>
      </c>
      <c r="B44" s="22">
        <f>IF(B43-B28=0,0,"Error")</f>
        <v>0</v>
      </c>
      <c r="C44" s="22">
        <f>IF(C43-C28=0,0,"Error")</f>
        <v>0</v>
      </c>
      <c r="D44" s="22">
        <f>IF(D43-D28=0,0,"Error")</f>
        <v>0</v>
      </c>
      <c r="E44" s="22" t="str">
        <f>IF(E43-E28=0,0,"Error")</f>
        <v>Error</v>
      </c>
    </row>
    <row r="45" spans="1:5" ht="23.25" thickBot="1" x14ac:dyDescent="0.3">
      <c r="A45" s="48" t="s">
        <v>434</v>
      </c>
      <c r="B45" s="1158" t="s">
        <v>540</v>
      </c>
      <c r="C45" s="1159"/>
      <c r="D45" s="1159"/>
      <c r="E45" s="1160"/>
    </row>
    <row r="46" spans="1:5" ht="15.75" customHeight="1" thickBot="1" x14ac:dyDescent="0.3">
      <c r="A46" s="13" t="s">
        <v>72</v>
      </c>
      <c r="B46" s="1181" t="s">
        <v>541</v>
      </c>
      <c r="C46" s="1182"/>
      <c r="D46" s="1182"/>
      <c r="E46" s="1183"/>
    </row>
    <row r="47" spans="1:5" ht="15.75" thickBot="1" x14ac:dyDescent="0.3">
      <c r="A47" s="13" t="s">
        <v>74</v>
      </c>
      <c r="B47" s="1158" t="s">
        <v>542</v>
      </c>
      <c r="C47" s="1159"/>
      <c r="D47" s="1159"/>
      <c r="E47" s="1160"/>
    </row>
    <row r="48" spans="1:5" x14ac:dyDescent="0.25">
      <c r="A48" s="549"/>
      <c r="B48" s="14">
        <v>2018</v>
      </c>
      <c r="C48" s="14">
        <v>2019</v>
      </c>
      <c r="D48" s="14">
        <v>2020</v>
      </c>
      <c r="E48" s="14">
        <v>2021</v>
      </c>
    </row>
    <row r="49" spans="1:5" ht="15.75" thickBot="1" x14ac:dyDescent="0.3">
      <c r="A49" s="550"/>
      <c r="B49" s="15" t="s">
        <v>41</v>
      </c>
      <c r="C49" s="15" t="s">
        <v>42</v>
      </c>
      <c r="D49" s="15" t="s">
        <v>42</v>
      </c>
      <c r="E49" s="15" t="s">
        <v>42</v>
      </c>
    </row>
    <row r="50" spans="1:5" ht="15.75" thickBot="1" x14ac:dyDescent="0.3">
      <c r="A50" s="13" t="s">
        <v>76</v>
      </c>
      <c r="B50" s="16">
        <v>3300</v>
      </c>
      <c r="C50" s="16">
        <v>3400</v>
      </c>
      <c r="D50" s="16">
        <v>3500</v>
      </c>
      <c r="E50" s="16">
        <v>3500</v>
      </c>
    </row>
    <row r="51" spans="1:5" ht="15.75" thickBot="1" x14ac:dyDescent="0.3">
      <c r="A51" s="13" t="s">
        <v>77</v>
      </c>
      <c r="B51" s="16">
        <f>210019095.621/1000</f>
        <v>210019.09562099999</v>
      </c>
      <c r="C51" s="16">
        <f>230019138.8/1000</f>
        <v>230019.13880000002</v>
      </c>
      <c r="D51" s="16">
        <f>240019255.5/1000</f>
        <v>240019.2555</v>
      </c>
      <c r="E51" s="16">
        <f>242019372.2/1000</f>
        <v>242019.37219999998</v>
      </c>
    </row>
    <row r="52" spans="1:5" ht="15.75" thickBot="1" x14ac:dyDescent="0.3">
      <c r="A52" s="13" t="s">
        <v>78</v>
      </c>
      <c r="B52" s="16">
        <f>B51/B50</f>
        <v>63.642150188181816</v>
      </c>
      <c r="C52" s="16">
        <f>C51/C50</f>
        <v>67.65268788235295</v>
      </c>
      <c r="D52" s="16">
        <f>D51/D50</f>
        <v>68.576930142857137</v>
      </c>
      <c r="E52" s="16">
        <f>E51/E50</f>
        <v>69.148392057142857</v>
      </c>
    </row>
    <row r="53" spans="1:5" ht="15.75" thickBot="1" x14ac:dyDescent="0.3">
      <c r="A53" s="13" t="s">
        <v>79</v>
      </c>
      <c r="B53" s="57"/>
      <c r="C53" s="10">
        <f>C50/B50-1</f>
        <v>3.0303030303030276E-2</v>
      </c>
      <c r="D53" s="10">
        <f>D50/C50-1</f>
        <v>2.9411764705882248E-2</v>
      </c>
      <c r="E53" s="10">
        <f>E50/D50-1</f>
        <v>0</v>
      </c>
    </row>
    <row r="54" spans="1:5" ht="15.75" thickBot="1" x14ac:dyDescent="0.3">
      <c r="A54" s="13" t="s">
        <v>81</v>
      </c>
      <c r="B54" s="57"/>
      <c r="C54" s="10">
        <f>C51/B51-1</f>
        <v>9.5229641475516491E-2</v>
      </c>
      <c r="D54" s="10">
        <f t="shared" ref="D54:E55" si="2">D51/C51-1</f>
        <v>4.3475150599076917E-2</v>
      </c>
      <c r="E54" s="10">
        <f t="shared" si="2"/>
        <v>8.3331510042117252E-3</v>
      </c>
    </row>
    <row r="55" spans="1:5" ht="15.75" thickBot="1" x14ac:dyDescent="0.3">
      <c r="A55" s="13" t="s">
        <v>82</v>
      </c>
      <c r="B55" s="57"/>
      <c r="C55" s="10">
        <f>C52/B52-1</f>
        <v>6.301700496153062E-2</v>
      </c>
      <c r="D55" s="10">
        <f t="shared" si="2"/>
        <v>1.3661574867674497E-2</v>
      </c>
      <c r="E55" s="10">
        <f t="shared" si="2"/>
        <v>8.3331510042119472E-3</v>
      </c>
    </row>
    <row r="56" spans="1:5" ht="23.25" thickBot="1" x14ac:dyDescent="0.3">
      <c r="A56" s="61" t="s">
        <v>611</v>
      </c>
      <c r="B56" s="1158" t="s">
        <v>543</v>
      </c>
      <c r="C56" s="1159"/>
      <c r="D56" s="1159"/>
      <c r="E56" s="1160"/>
    </row>
    <row r="57" spans="1:5" ht="15.75" customHeight="1" thickBot="1" x14ac:dyDescent="0.3">
      <c r="A57" s="522" t="s">
        <v>437</v>
      </c>
      <c r="B57" s="523"/>
      <c r="C57" s="523"/>
      <c r="D57" s="523"/>
      <c r="E57" s="524"/>
    </row>
    <row r="58" spans="1:5" x14ac:dyDescent="0.25">
      <c r="A58" s="549"/>
      <c r="B58" s="14">
        <v>2018</v>
      </c>
      <c r="C58" s="14">
        <v>2019</v>
      </c>
      <c r="D58" s="14">
        <v>2020</v>
      </c>
      <c r="E58" s="14">
        <v>2021</v>
      </c>
    </row>
    <row r="59" spans="1:5" ht="15.75" thickBot="1" x14ac:dyDescent="0.3">
      <c r="A59" s="550"/>
      <c r="B59" s="15" t="s">
        <v>41</v>
      </c>
      <c r="C59" s="15" t="s">
        <v>42</v>
      </c>
      <c r="D59" s="15" t="s">
        <v>42</v>
      </c>
      <c r="E59" s="15" t="s">
        <v>42</v>
      </c>
    </row>
    <row r="60" spans="1:5" ht="15.75" thickBot="1" x14ac:dyDescent="0.3">
      <c r="A60" s="17" t="s">
        <v>84</v>
      </c>
      <c r="B60" s="18">
        <f>16363/1000</f>
        <v>16.363</v>
      </c>
      <c r="C60" s="18">
        <f>16400/1000</f>
        <v>16.399999999999999</v>
      </c>
      <c r="D60" s="18">
        <f>16500/1000</f>
        <v>16.5</v>
      </c>
      <c r="E60" s="18">
        <f>16600/1000</f>
        <v>16.600000000000001</v>
      </c>
    </row>
    <row r="61" spans="1:5" ht="24.75" thickBot="1" x14ac:dyDescent="0.3">
      <c r="A61" s="17" t="s">
        <v>85</v>
      </c>
      <c r="B61" s="18">
        <f>2732.621/1000</f>
        <v>2.732621</v>
      </c>
      <c r="C61" s="18">
        <f>2738.8/1000</f>
        <v>2.7388000000000003</v>
      </c>
      <c r="D61" s="18">
        <f>2755.5/1000</f>
        <v>2.7555000000000001</v>
      </c>
      <c r="E61" s="18">
        <f>2772.2/1000</f>
        <v>2.7721999999999998</v>
      </c>
    </row>
    <row r="62" spans="1:5" ht="15.75" thickBot="1" x14ac:dyDescent="0.3">
      <c r="A62" s="17" t="s">
        <v>86</v>
      </c>
      <c r="B62" s="19"/>
      <c r="C62" s="18"/>
      <c r="D62" s="18"/>
      <c r="E62" s="18"/>
    </row>
    <row r="63" spans="1:5" ht="15.75" thickBot="1" x14ac:dyDescent="0.3">
      <c r="A63" s="17" t="s">
        <v>87</v>
      </c>
      <c r="B63" s="19"/>
      <c r="C63" s="18"/>
      <c r="D63" s="18"/>
      <c r="E63" s="18"/>
    </row>
    <row r="64" spans="1:5" ht="15.75" thickBot="1" x14ac:dyDescent="0.3">
      <c r="A64" s="17" t="s">
        <v>88</v>
      </c>
      <c r="B64" s="19"/>
      <c r="C64" s="18"/>
      <c r="D64" s="18"/>
      <c r="E64" s="18"/>
    </row>
    <row r="65" spans="1:5" ht="15.75" thickBot="1" x14ac:dyDescent="0.3">
      <c r="A65" s="17" t="s">
        <v>89</v>
      </c>
      <c r="B65" s="19"/>
      <c r="C65" s="18"/>
      <c r="D65" s="18"/>
      <c r="E65" s="18"/>
    </row>
    <row r="66" spans="1:5" ht="24.75" thickBot="1" x14ac:dyDescent="0.3">
      <c r="A66" s="17" t="s">
        <v>90</v>
      </c>
      <c r="B66" s="16">
        <f>210000000/1000</f>
        <v>210000</v>
      </c>
      <c r="C66" s="16">
        <f>230000000/1000</f>
        <v>230000</v>
      </c>
      <c r="D66" s="16">
        <f>240000000/1000</f>
        <v>240000</v>
      </c>
      <c r="E66" s="16">
        <f>242000000/1000</f>
        <v>242000</v>
      </c>
    </row>
    <row r="67" spans="1:5" ht="15.75" thickBot="1" x14ac:dyDescent="0.3">
      <c r="A67" s="49" t="s">
        <v>176</v>
      </c>
      <c r="B67" s="19">
        <f>B66+B65+B64+B63+B62+B61+B60</f>
        <v>210019.09562100001</v>
      </c>
      <c r="C67" s="19">
        <f>C66+C65+C64+C63+C62+C61+C60</f>
        <v>230019.13879999999</v>
      </c>
      <c r="D67" s="19">
        <f>D66+D65+D64+D63+D62+D61+D60</f>
        <v>240019.2555</v>
      </c>
      <c r="E67" s="19">
        <f>E66+E65+E64+E63+E62+E61+E60</f>
        <v>242019.37220000001</v>
      </c>
    </row>
    <row r="68" spans="1:5" ht="15.75" thickBot="1" x14ac:dyDescent="0.3">
      <c r="A68" s="21" t="s">
        <v>92</v>
      </c>
      <c r="B68" s="22">
        <f>IF(B67-B623,0,"Error")</f>
        <v>0</v>
      </c>
      <c r="C68" s="22">
        <f>IF(C67-C623,0,"Error")</f>
        <v>0</v>
      </c>
      <c r="D68" s="22">
        <f>IF(D67-D623,0,"Error")</f>
        <v>0</v>
      </c>
      <c r="E68" s="22">
        <f>IF(E67-E623,0,"Error")</f>
        <v>0</v>
      </c>
    </row>
    <row r="69" spans="1:5" ht="24.75" customHeight="1" thickBot="1" x14ac:dyDescent="0.3">
      <c r="A69" s="62" t="s">
        <v>72</v>
      </c>
      <c r="B69" s="1187" t="s">
        <v>544</v>
      </c>
      <c r="C69" s="1188"/>
      <c r="D69" s="1188"/>
      <c r="E69" s="1189"/>
    </row>
    <row r="70" spans="1:5" ht="15.75" thickBot="1" x14ac:dyDescent="0.3">
      <c r="A70" s="62" t="s">
        <v>74</v>
      </c>
      <c r="B70" s="1190" t="s">
        <v>545</v>
      </c>
      <c r="C70" s="1191"/>
      <c r="D70" s="1191"/>
      <c r="E70" s="1192"/>
    </row>
    <row r="71" spans="1:5" ht="15.75" thickBot="1" x14ac:dyDescent="0.3">
      <c r="A71" s="13" t="s">
        <v>76</v>
      </c>
      <c r="B71" s="16">
        <v>1300</v>
      </c>
      <c r="C71" s="16">
        <v>1500</v>
      </c>
      <c r="D71" s="16">
        <v>1600</v>
      </c>
      <c r="E71" s="16">
        <v>1700</v>
      </c>
    </row>
    <row r="72" spans="1:5" x14ac:dyDescent="0.25">
      <c r="A72" s="549"/>
      <c r="B72" s="14">
        <v>2018</v>
      </c>
      <c r="C72" s="14">
        <v>2019</v>
      </c>
      <c r="D72" s="14">
        <v>2020</v>
      </c>
      <c r="E72" s="14">
        <v>2021</v>
      </c>
    </row>
    <row r="73" spans="1:5" ht="15.75" thickBot="1" x14ac:dyDescent="0.3">
      <c r="A73" s="550"/>
      <c r="B73" s="15" t="s">
        <v>41</v>
      </c>
      <c r="C73" s="15" t="s">
        <v>42</v>
      </c>
      <c r="D73" s="15" t="s">
        <v>42</v>
      </c>
      <c r="E73" s="15" t="s">
        <v>42</v>
      </c>
    </row>
    <row r="74" spans="1:5" ht="15.75" thickBot="1" x14ac:dyDescent="0.3">
      <c r="A74" s="13" t="s">
        <v>77</v>
      </c>
      <c r="B74" s="16">
        <f>8000000/1000</f>
        <v>8000</v>
      </c>
      <c r="C74" s="16">
        <f>9000000/1000</f>
        <v>9000</v>
      </c>
      <c r="D74" s="16">
        <f>10000000/1000</f>
        <v>10000</v>
      </c>
      <c r="E74" s="16">
        <f>11200000/1000</f>
        <v>11200</v>
      </c>
    </row>
    <row r="75" spans="1:5" ht="15.75" thickBot="1" x14ac:dyDescent="0.3">
      <c r="A75" s="13" t="s">
        <v>78</v>
      </c>
      <c r="B75" s="16">
        <f>B74/B71</f>
        <v>6.1538461538461542</v>
      </c>
      <c r="C75" s="16">
        <f>C74/C71</f>
        <v>6</v>
      </c>
      <c r="D75" s="16">
        <f>D74/D71</f>
        <v>6.25</v>
      </c>
      <c r="E75" s="16">
        <f>E74/E71</f>
        <v>6.5882352941176467</v>
      </c>
    </row>
    <row r="76" spans="1:5" ht="15.75" thickBot="1" x14ac:dyDescent="0.3">
      <c r="A76" s="13" t="s">
        <v>79</v>
      </c>
      <c r="B76" s="57"/>
      <c r="C76" s="10">
        <f>C71/B71-1</f>
        <v>0.15384615384615374</v>
      </c>
      <c r="D76" s="10">
        <f>D71/C71-1</f>
        <v>6.6666666666666652E-2</v>
      </c>
      <c r="E76" s="10">
        <f>E71/D71-1</f>
        <v>6.25E-2</v>
      </c>
    </row>
    <row r="77" spans="1:5" ht="15.75" thickBot="1" x14ac:dyDescent="0.3">
      <c r="A77" s="13" t="s">
        <v>81</v>
      </c>
      <c r="B77" s="57"/>
      <c r="C77" s="10">
        <f>C74/B74-1</f>
        <v>0.125</v>
      </c>
      <c r="D77" s="10">
        <f t="shared" ref="D77:E78" si="3">D74/C74-1</f>
        <v>0.11111111111111116</v>
      </c>
      <c r="E77" s="10">
        <f t="shared" si="3"/>
        <v>0.12000000000000011</v>
      </c>
    </row>
    <row r="78" spans="1:5" ht="15.75" thickBot="1" x14ac:dyDescent="0.3">
      <c r="A78" s="13" t="s">
        <v>82</v>
      </c>
      <c r="B78" s="57"/>
      <c r="C78" s="10">
        <f>C75/B75-1</f>
        <v>-2.5000000000000022E-2</v>
      </c>
      <c r="D78" s="10">
        <f t="shared" si="3"/>
        <v>4.1666666666666741E-2</v>
      </c>
      <c r="E78" s="10">
        <f t="shared" si="3"/>
        <v>5.4117647058823382E-2</v>
      </c>
    </row>
    <row r="79" spans="1:5" ht="15.75" customHeight="1" thickBot="1" x14ac:dyDescent="0.3">
      <c r="A79" s="522" t="s">
        <v>437</v>
      </c>
      <c r="B79" s="523"/>
      <c r="C79" s="523"/>
      <c r="D79" s="523"/>
      <c r="E79" s="524"/>
    </row>
    <row r="80" spans="1:5" x14ac:dyDescent="0.25">
      <c r="A80" s="549"/>
      <c r="B80" s="14">
        <v>2018</v>
      </c>
      <c r="C80" s="14">
        <v>2019</v>
      </c>
      <c r="D80" s="14">
        <v>2020</v>
      </c>
      <c r="E80" s="14">
        <v>2021</v>
      </c>
    </row>
    <row r="81" spans="1:5" ht="15.75" thickBot="1" x14ac:dyDescent="0.3">
      <c r="A81" s="550"/>
      <c r="B81" s="15" t="s">
        <v>41</v>
      </c>
      <c r="C81" s="15" t="s">
        <v>42</v>
      </c>
      <c r="D81" s="15" t="s">
        <v>42</v>
      </c>
      <c r="E81" s="15" t="s">
        <v>42</v>
      </c>
    </row>
    <row r="82" spans="1:5" ht="15.75" thickBot="1" x14ac:dyDescent="0.3">
      <c r="A82" s="17" t="s">
        <v>84</v>
      </c>
      <c r="B82" s="18"/>
      <c r="C82" s="18"/>
      <c r="D82" s="18"/>
      <c r="E82" s="18"/>
    </row>
    <row r="83" spans="1:5" ht="24.75" thickBot="1" x14ac:dyDescent="0.3">
      <c r="A83" s="17" t="s">
        <v>85</v>
      </c>
      <c r="B83" s="18"/>
      <c r="C83" s="18"/>
      <c r="D83" s="18"/>
      <c r="E83" s="18"/>
    </row>
    <row r="84" spans="1:5" ht="15.75" thickBot="1" x14ac:dyDescent="0.3">
      <c r="A84" s="17" t="s">
        <v>86</v>
      </c>
      <c r="B84" s="19"/>
      <c r="C84" s="18"/>
      <c r="D84" s="18"/>
      <c r="E84" s="18"/>
    </row>
    <row r="85" spans="1:5" ht="15.75" thickBot="1" x14ac:dyDescent="0.3">
      <c r="A85" s="17" t="s">
        <v>87</v>
      </c>
      <c r="B85" s="19"/>
      <c r="C85" s="18"/>
      <c r="D85" s="18"/>
      <c r="E85" s="18"/>
    </row>
    <row r="86" spans="1:5" ht="15.75" thickBot="1" x14ac:dyDescent="0.3">
      <c r="A86" s="17" t="s">
        <v>88</v>
      </c>
      <c r="B86" s="19"/>
      <c r="C86" s="18"/>
      <c r="D86" s="18"/>
      <c r="E86" s="18"/>
    </row>
    <row r="87" spans="1:5" ht="15.75" thickBot="1" x14ac:dyDescent="0.3">
      <c r="A87" s="17" t="s">
        <v>89</v>
      </c>
      <c r="B87" s="19"/>
      <c r="C87" s="18"/>
      <c r="D87" s="18"/>
      <c r="E87" s="18"/>
    </row>
    <row r="88" spans="1:5" ht="24.75" thickBot="1" x14ac:dyDescent="0.3">
      <c r="A88" s="17" t="s">
        <v>90</v>
      </c>
      <c r="B88" s="16">
        <f>8000000/1000</f>
        <v>8000</v>
      </c>
      <c r="C88" s="16">
        <f>9000000/1000</f>
        <v>9000</v>
      </c>
      <c r="D88" s="16">
        <f>10000000/1000</f>
        <v>10000</v>
      </c>
      <c r="E88" s="16">
        <f>11200000/1000</f>
        <v>11200</v>
      </c>
    </row>
    <row r="89" spans="1:5" ht="15.75" thickBot="1" x14ac:dyDescent="0.3">
      <c r="A89" s="49" t="s">
        <v>176</v>
      </c>
      <c r="B89" s="19">
        <f>B88+B87+B86+B85+B84+B83+B82</f>
        <v>8000</v>
      </c>
      <c r="C89" s="19">
        <f>C88+C87+C86+C85+C84+C83+C82</f>
        <v>9000</v>
      </c>
      <c r="D89" s="19">
        <f>D88+D87+D86+D85+D84+D83+D82</f>
        <v>10000</v>
      </c>
      <c r="E89" s="19">
        <f>E88+E87+E86+E85+E84+E83+E82</f>
        <v>11200</v>
      </c>
    </row>
    <row r="90" spans="1:5" ht="15.75" thickBot="1" x14ac:dyDescent="0.3">
      <c r="A90" s="21" t="s">
        <v>92</v>
      </c>
      <c r="B90" s="22">
        <f>IF(B89-B645,0,"Error")</f>
        <v>0</v>
      </c>
      <c r="C90" s="22">
        <f>IF(C89-C645,0,"Error")</f>
        <v>0</v>
      </c>
      <c r="D90" s="22">
        <f>IF(D89-D645,0,"Error")</f>
        <v>0</v>
      </c>
      <c r="E90" s="22">
        <f>IF(E89-E645,0,"Error")</f>
        <v>0</v>
      </c>
    </row>
    <row r="91" spans="1:5" ht="15.75" thickBot="1" x14ac:dyDescent="0.3">
      <c r="A91" s="1137" t="s">
        <v>104</v>
      </c>
      <c r="B91" s="1138"/>
      <c r="C91" s="1138"/>
      <c r="D91" s="1138"/>
      <c r="E91" s="1139"/>
    </row>
    <row r="92" spans="1:5" ht="15.75" thickBot="1" x14ac:dyDescent="0.3">
      <c r="A92" s="1137" t="s">
        <v>105</v>
      </c>
      <c r="B92" s="1138"/>
      <c r="C92" s="1138"/>
      <c r="D92" s="1138"/>
      <c r="E92" s="1139"/>
    </row>
    <row r="93" spans="1:5" ht="15.75" thickBot="1" x14ac:dyDescent="0.3">
      <c r="A93" s="23" t="s">
        <v>106</v>
      </c>
      <c r="B93" s="566" t="s">
        <v>107</v>
      </c>
      <c r="C93" s="567"/>
      <c r="D93" s="567"/>
      <c r="E93" s="568"/>
    </row>
    <row r="94" spans="1:5" ht="15.75" thickBot="1" x14ac:dyDescent="0.3">
      <c r="A94" s="12" t="s">
        <v>108</v>
      </c>
      <c r="B94" s="572" t="s">
        <v>546</v>
      </c>
      <c r="C94" s="573"/>
      <c r="D94" s="573"/>
      <c r="E94" s="574"/>
    </row>
    <row r="95" spans="1:5" ht="15.75" customHeight="1" thickBot="1" x14ac:dyDescent="0.3">
      <c r="A95" s="13" t="s">
        <v>72</v>
      </c>
      <c r="B95" s="560" t="s">
        <v>547</v>
      </c>
      <c r="C95" s="561"/>
      <c r="D95" s="561"/>
      <c r="E95" s="562"/>
    </row>
    <row r="96" spans="1:5" ht="15.75" thickBot="1" x14ac:dyDescent="0.3">
      <c r="A96" s="13" t="s">
        <v>74</v>
      </c>
      <c r="B96" s="572" t="s">
        <v>548</v>
      </c>
      <c r="C96" s="573"/>
      <c r="D96" s="573"/>
      <c r="E96" s="574"/>
    </row>
    <row r="97" spans="1:5" x14ac:dyDescent="0.25">
      <c r="A97" s="549"/>
      <c r="B97" s="14">
        <v>2018</v>
      </c>
      <c r="C97" s="14">
        <v>2019</v>
      </c>
      <c r="D97" s="14">
        <v>2020</v>
      </c>
      <c r="E97" s="14">
        <v>2021</v>
      </c>
    </row>
    <row r="98" spans="1:5" ht="15.75" thickBot="1" x14ac:dyDescent="0.3">
      <c r="A98" s="550"/>
      <c r="B98" s="15" t="s">
        <v>41</v>
      </c>
      <c r="C98" s="15" t="s">
        <v>42</v>
      </c>
      <c r="D98" s="15" t="s">
        <v>42</v>
      </c>
      <c r="E98" s="15" t="s">
        <v>42</v>
      </c>
    </row>
    <row r="99" spans="1:5" ht="15.75" thickBot="1" x14ac:dyDescent="0.3">
      <c r="A99" s="13" t="s">
        <v>76</v>
      </c>
      <c r="B99" s="16">
        <v>7500</v>
      </c>
      <c r="C99" s="16">
        <v>8000</v>
      </c>
      <c r="D99" s="16">
        <v>8000</v>
      </c>
      <c r="E99" s="16">
        <v>8000</v>
      </c>
    </row>
    <row r="100" spans="1:5" ht="15.75" thickBot="1" x14ac:dyDescent="0.3">
      <c r="A100" s="13" t="s">
        <v>77</v>
      </c>
      <c r="B100" s="16">
        <f>40000000/1000</f>
        <v>40000</v>
      </c>
      <c r="C100" s="16">
        <f>50000000/1000</f>
        <v>50000</v>
      </c>
      <c r="D100" s="16">
        <f>55000000/1000</f>
        <v>55000</v>
      </c>
      <c r="E100" s="16">
        <f>50000000/1000</f>
        <v>50000</v>
      </c>
    </row>
    <row r="101" spans="1:5" ht="15.75" thickBot="1" x14ac:dyDescent="0.3">
      <c r="A101" s="13" t="s">
        <v>78</v>
      </c>
      <c r="B101" s="16">
        <f>B100/B99</f>
        <v>5.333333333333333</v>
      </c>
      <c r="C101" s="16">
        <f t="shared" ref="C101:E101" si="4">C100/C99</f>
        <v>6.25</v>
      </c>
      <c r="D101" s="16">
        <f t="shared" si="4"/>
        <v>6.875</v>
      </c>
      <c r="E101" s="16">
        <f t="shared" si="4"/>
        <v>6.25</v>
      </c>
    </row>
    <row r="102" spans="1:5" ht="15.75" thickBot="1" x14ac:dyDescent="0.3">
      <c r="A102" s="13" t="s">
        <v>79</v>
      </c>
      <c r="B102" s="57" t="s">
        <v>80</v>
      </c>
      <c r="C102" s="10">
        <f>C99/B99-1</f>
        <v>6.6666666666666652E-2</v>
      </c>
      <c r="D102" s="10">
        <f t="shared" ref="D102:E104" si="5">D99/C99-1</f>
        <v>0</v>
      </c>
      <c r="E102" s="10">
        <f t="shared" si="5"/>
        <v>0</v>
      </c>
    </row>
    <row r="103" spans="1:5" ht="15.75" thickBot="1" x14ac:dyDescent="0.3">
      <c r="A103" s="13" t="s">
        <v>81</v>
      </c>
      <c r="B103" s="57" t="s">
        <v>80</v>
      </c>
      <c r="C103" s="10">
        <f>C100/B100-1</f>
        <v>0.25</v>
      </c>
      <c r="D103" s="10">
        <f t="shared" si="5"/>
        <v>0.10000000000000009</v>
      </c>
      <c r="E103" s="10">
        <f t="shared" si="5"/>
        <v>-9.0909090909090939E-2</v>
      </c>
    </row>
    <row r="104" spans="1:5" ht="15.75" thickBot="1" x14ac:dyDescent="0.3">
      <c r="A104" s="13" t="s">
        <v>82</v>
      </c>
      <c r="B104" s="57" t="s">
        <v>80</v>
      </c>
      <c r="C104" s="10">
        <f>C101/B101-1</f>
        <v>0.171875</v>
      </c>
      <c r="D104" s="10">
        <f t="shared" si="5"/>
        <v>0.10000000000000009</v>
      </c>
      <c r="E104" s="10">
        <f t="shared" si="5"/>
        <v>-9.0909090909090939E-2</v>
      </c>
    </row>
    <row r="105" spans="1:5" ht="15.75" customHeight="1" thickBot="1" x14ac:dyDescent="0.3">
      <c r="A105" s="522" t="s">
        <v>83</v>
      </c>
      <c r="B105" s="523"/>
      <c r="C105" s="523"/>
      <c r="D105" s="523"/>
      <c r="E105" s="524"/>
    </row>
    <row r="106" spans="1:5" x14ac:dyDescent="0.25">
      <c r="A106" s="549"/>
      <c r="B106" s="14">
        <v>2018</v>
      </c>
      <c r="C106" s="14">
        <v>2019</v>
      </c>
      <c r="D106" s="14">
        <v>2020</v>
      </c>
      <c r="E106" s="14">
        <v>2021</v>
      </c>
    </row>
    <row r="107" spans="1:5" ht="15.75" thickBot="1" x14ac:dyDescent="0.3">
      <c r="A107" s="550"/>
      <c r="B107" s="15" t="s">
        <v>41</v>
      </c>
      <c r="C107" s="15" t="s">
        <v>42</v>
      </c>
      <c r="D107" s="15" t="s">
        <v>42</v>
      </c>
      <c r="E107" s="15" t="s">
        <v>42</v>
      </c>
    </row>
    <row r="108" spans="1:5" ht="15.75" thickBot="1" x14ac:dyDescent="0.3">
      <c r="A108" s="17" t="s">
        <v>169</v>
      </c>
      <c r="B108" s="18"/>
      <c r="C108" s="18"/>
      <c r="D108" s="18"/>
      <c r="E108" s="18"/>
    </row>
    <row r="109" spans="1:5" ht="15.75" thickBot="1" x14ac:dyDescent="0.3">
      <c r="A109" s="17" t="s">
        <v>112</v>
      </c>
      <c r="B109" s="16">
        <f>40000000/1000</f>
        <v>40000</v>
      </c>
      <c r="C109" s="16">
        <f>50000000/1000</f>
        <v>50000</v>
      </c>
      <c r="D109" s="16">
        <f>55000000/1000</f>
        <v>55000</v>
      </c>
      <c r="E109" s="16">
        <f>50000000/1000</f>
        <v>50000</v>
      </c>
    </row>
    <row r="110" spans="1:5" ht="15.75" thickBot="1" x14ac:dyDescent="0.3">
      <c r="A110" s="20" t="s">
        <v>91</v>
      </c>
      <c r="B110" s="19">
        <f>B109+B108</f>
        <v>40000</v>
      </c>
      <c r="C110" s="19">
        <f t="shared" ref="C110:E110" si="6">C109+C108</f>
        <v>50000</v>
      </c>
      <c r="D110" s="19">
        <f t="shared" si="6"/>
        <v>55000</v>
      </c>
      <c r="E110" s="19">
        <f t="shared" si="6"/>
        <v>50000</v>
      </c>
    </row>
    <row r="111" spans="1:5" ht="15" customHeight="1" x14ac:dyDescent="0.25">
      <c r="A111" s="1164" t="s">
        <v>113</v>
      </c>
      <c r="B111" s="1167"/>
      <c r="C111" s="1168"/>
      <c r="D111" s="1168"/>
      <c r="E111" s="1169"/>
    </row>
    <row r="112" spans="1:5" x14ac:dyDescent="0.25">
      <c r="A112" s="1165"/>
      <c r="B112" s="1170"/>
      <c r="C112" s="1171"/>
      <c r="D112" s="1171"/>
      <c r="E112" s="1172"/>
    </row>
    <row r="113" spans="1:5" ht="15.75" thickBot="1" x14ac:dyDescent="0.3">
      <c r="A113" s="1166"/>
      <c r="B113" s="1173"/>
      <c r="C113" s="1174"/>
      <c r="D113" s="1174"/>
      <c r="E113" s="1175"/>
    </row>
    <row r="114" spans="1:5" ht="15.75" thickBot="1" x14ac:dyDescent="0.3">
      <c r="A114" s="23" t="s">
        <v>257</v>
      </c>
      <c r="B114" s="566" t="s">
        <v>107</v>
      </c>
      <c r="C114" s="567"/>
      <c r="D114" s="567"/>
      <c r="E114" s="568"/>
    </row>
    <row r="115" spans="1:5" ht="23.25" thickBot="1" x14ac:dyDescent="0.3">
      <c r="A115" s="12" t="s">
        <v>365</v>
      </c>
      <c r="B115" s="569" t="s">
        <v>364</v>
      </c>
      <c r="C115" s="570"/>
      <c r="D115" s="570"/>
      <c r="E115" s="571"/>
    </row>
    <row r="116" spans="1:5" ht="15.75" thickBot="1" x14ac:dyDescent="0.3">
      <c r="A116" s="13" t="s">
        <v>72</v>
      </c>
      <c r="B116" s="560" t="s">
        <v>364</v>
      </c>
      <c r="C116" s="561"/>
      <c r="D116" s="561"/>
      <c r="E116" s="562"/>
    </row>
    <row r="117" spans="1:5" ht="15.75" thickBot="1" x14ac:dyDescent="0.3">
      <c r="A117" s="13" t="s">
        <v>74</v>
      </c>
      <c r="B117" s="572" t="s">
        <v>364</v>
      </c>
      <c r="C117" s="573"/>
      <c r="D117" s="573"/>
      <c r="E117" s="574"/>
    </row>
    <row r="118" spans="1:5" x14ac:dyDescent="0.25">
      <c r="A118" s="549"/>
      <c r="B118" s="14">
        <v>2018</v>
      </c>
      <c r="C118" s="14">
        <v>2019</v>
      </c>
      <c r="D118" s="14">
        <v>2020</v>
      </c>
      <c r="E118" s="14">
        <v>2021</v>
      </c>
    </row>
    <row r="119" spans="1:5" ht="15.75" thickBot="1" x14ac:dyDescent="0.3">
      <c r="A119" s="550"/>
      <c r="B119" s="15" t="s">
        <v>41</v>
      </c>
      <c r="C119" s="15" t="s">
        <v>42</v>
      </c>
      <c r="D119" s="15" t="s">
        <v>42</v>
      </c>
      <c r="E119" s="15" t="s">
        <v>42</v>
      </c>
    </row>
    <row r="120" spans="1:5" ht="15.75" thickBot="1" x14ac:dyDescent="0.3">
      <c r="A120" s="13" t="s">
        <v>76</v>
      </c>
      <c r="B120" s="16"/>
      <c r="C120" s="16"/>
      <c r="D120" s="16"/>
      <c r="E120" s="16"/>
    </row>
    <row r="121" spans="1:5" ht="15.75" thickBot="1" x14ac:dyDescent="0.3">
      <c r="A121" s="13" t="s">
        <v>77</v>
      </c>
      <c r="B121" s="16"/>
      <c r="C121" s="16"/>
      <c r="D121" s="16"/>
      <c r="E121" s="16"/>
    </row>
    <row r="122" spans="1:5" ht="15.75" thickBot="1" x14ac:dyDescent="0.3">
      <c r="A122" s="13" t="s">
        <v>78</v>
      </c>
      <c r="B122" s="16" t="e">
        <f>B121/B120</f>
        <v>#DIV/0!</v>
      </c>
      <c r="C122" s="16" t="e">
        <f t="shared" ref="C122:E122" si="7">C121/C120</f>
        <v>#DIV/0!</v>
      </c>
      <c r="D122" s="16" t="e">
        <f t="shared" si="7"/>
        <v>#DIV/0!</v>
      </c>
      <c r="E122" s="16" t="e">
        <f t="shared" si="7"/>
        <v>#DIV/0!</v>
      </c>
    </row>
    <row r="123" spans="1:5" ht="15.75" thickBot="1" x14ac:dyDescent="0.3">
      <c r="A123" s="13" t="s">
        <v>79</v>
      </c>
      <c r="B123" s="57" t="s">
        <v>80</v>
      </c>
      <c r="C123" s="10" t="e">
        <f>C120/B120-1</f>
        <v>#DIV/0!</v>
      </c>
      <c r="D123" s="10" t="e">
        <f t="shared" ref="D123:E125" si="8">D120/C120-1</f>
        <v>#DIV/0!</v>
      </c>
      <c r="E123" s="10" t="e">
        <f t="shared" si="8"/>
        <v>#DIV/0!</v>
      </c>
    </row>
    <row r="124" spans="1:5" ht="15.75" thickBot="1" x14ac:dyDescent="0.3">
      <c r="A124" s="13" t="s">
        <v>81</v>
      </c>
      <c r="B124" s="57" t="s">
        <v>80</v>
      </c>
      <c r="C124" s="10" t="e">
        <f>C121/B121-1</f>
        <v>#DIV/0!</v>
      </c>
      <c r="D124" s="10" t="e">
        <f t="shared" si="8"/>
        <v>#DIV/0!</v>
      </c>
      <c r="E124" s="10" t="e">
        <f t="shared" si="8"/>
        <v>#DIV/0!</v>
      </c>
    </row>
    <row r="125" spans="1:5" ht="15.75" thickBot="1" x14ac:dyDescent="0.3">
      <c r="A125" s="13" t="s">
        <v>82</v>
      </c>
      <c r="B125" s="57" t="s">
        <v>80</v>
      </c>
      <c r="C125" s="10" t="e">
        <f>C122/B122-1</f>
        <v>#DIV/0!</v>
      </c>
      <c r="D125" s="10" t="e">
        <f t="shared" si="8"/>
        <v>#DIV/0!</v>
      </c>
      <c r="E125" s="10" t="e">
        <f t="shared" si="8"/>
        <v>#DIV/0!</v>
      </c>
    </row>
    <row r="126" spans="1:5" ht="15.75" customHeight="1" thickBot="1" x14ac:dyDescent="0.3">
      <c r="A126" s="522" t="s">
        <v>366</v>
      </c>
      <c r="B126" s="523"/>
      <c r="C126" s="523"/>
      <c r="D126" s="523"/>
      <c r="E126" s="524"/>
    </row>
    <row r="127" spans="1:5" x14ac:dyDescent="0.25">
      <c r="A127" s="549"/>
      <c r="B127" s="14">
        <v>2018</v>
      </c>
      <c r="C127" s="14">
        <v>2019</v>
      </c>
      <c r="D127" s="14">
        <v>2020</v>
      </c>
      <c r="E127" s="14">
        <v>2021</v>
      </c>
    </row>
    <row r="128" spans="1:5" ht="15.75" thickBot="1" x14ac:dyDescent="0.3">
      <c r="A128" s="550"/>
      <c r="B128" s="15" t="s">
        <v>41</v>
      </c>
      <c r="C128" s="15" t="s">
        <v>42</v>
      </c>
      <c r="D128" s="15" t="s">
        <v>42</v>
      </c>
      <c r="E128" s="15" t="s">
        <v>42</v>
      </c>
    </row>
    <row r="129" spans="1:5" ht="15.75" thickBot="1" x14ac:dyDescent="0.3">
      <c r="A129" s="17" t="s">
        <v>169</v>
      </c>
      <c r="B129" s="18"/>
      <c r="C129" s="18"/>
      <c r="D129" s="18"/>
      <c r="E129" s="18"/>
    </row>
    <row r="130" spans="1:5" ht="15.75" thickBot="1" x14ac:dyDescent="0.3">
      <c r="A130" s="17" t="s">
        <v>112</v>
      </c>
      <c r="B130" s="19"/>
      <c r="C130" s="18"/>
      <c r="D130" s="18"/>
      <c r="E130" s="18"/>
    </row>
    <row r="131" spans="1:5" ht="15.75" thickBot="1" x14ac:dyDescent="0.3">
      <c r="A131" s="20" t="s">
        <v>176</v>
      </c>
      <c r="B131" s="19">
        <f>B130+B129</f>
        <v>0</v>
      </c>
      <c r="C131" s="19">
        <f t="shared" ref="C131:E131" si="9">C130+C129</f>
        <v>0</v>
      </c>
      <c r="D131" s="19">
        <f t="shared" si="9"/>
        <v>0</v>
      </c>
      <c r="E131" s="19">
        <f t="shared" si="9"/>
        <v>0</v>
      </c>
    </row>
    <row r="132" spans="1:5" ht="15.75" thickBot="1" x14ac:dyDescent="0.3">
      <c r="A132" s="1137" t="s">
        <v>104</v>
      </c>
      <c r="B132" s="1138"/>
      <c r="C132" s="1138"/>
      <c r="D132" s="1138"/>
      <c r="E132" s="1139"/>
    </row>
    <row r="133" spans="1:5" ht="15.75" thickBot="1" x14ac:dyDescent="0.3">
      <c r="A133" s="1137" t="s">
        <v>170</v>
      </c>
      <c r="B133" s="1138"/>
      <c r="C133" s="1138"/>
      <c r="D133" s="1138"/>
      <c r="E133" s="1139"/>
    </row>
    <row r="134" spans="1:5" ht="15.75" thickBot="1" x14ac:dyDescent="0.3">
      <c r="A134" s="23" t="s">
        <v>257</v>
      </c>
      <c r="B134" s="566" t="s">
        <v>107</v>
      </c>
      <c r="C134" s="567"/>
      <c r="D134" s="567"/>
      <c r="E134" s="568"/>
    </row>
    <row r="135" spans="1:5" ht="15.75" thickBot="1" x14ac:dyDescent="0.3">
      <c r="A135" s="12" t="s">
        <v>108</v>
      </c>
      <c r="B135" s="569" t="s">
        <v>364</v>
      </c>
      <c r="C135" s="570"/>
      <c r="D135" s="570"/>
      <c r="E135" s="571"/>
    </row>
    <row r="136" spans="1:5" ht="15.75" thickBot="1" x14ac:dyDescent="0.3">
      <c r="A136" s="13" t="s">
        <v>72</v>
      </c>
      <c r="B136" s="560" t="s">
        <v>364</v>
      </c>
      <c r="C136" s="561"/>
      <c r="D136" s="561"/>
      <c r="E136" s="562"/>
    </row>
    <row r="137" spans="1:5" ht="15.75" thickBot="1" x14ac:dyDescent="0.3">
      <c r="A137" s="13" t="s">
        <v>74</v>
      </c>
      <c r="B137" s="572" t="s">
        <v>364</v>
      </c>
      <c r="C137" s="573"/>
      <c r="D137" s="573"/>
      <c r="E137" s="574"/>
    </row>
    <row r="138" spans="1:5" x14ac:dyDescent="0.25">
      <c r="A138" s="549"/>
      <c r="B138" s="14">
        <v>2018</v>
      </c>
      <c r="C138" s="14">
        <v>2019</v>
      </c>
      <c r="D138" s="14">
        <v>2020</v>
      </c>
      <c r="E138" s="14">
        <v>2021</v>
      </c>
    </row>
    <row r="139" spans="1:5" ht="15.75" thickBot="1" x14ac:dyDescent="0.3">
      <c r="A139" s="550"/>
      <c r="B139" s="15" t="s">
        <v>41</v>
      </c>
      <c r="C139" s="15" t="s">
        <v>42</v>
      </c>
      <c r="D139" s="15" t="s">
        <v>42</v>
      </c>
      <c r="E139" s="15" t="s">
        <v>42</v>
      </c>
    </row>
    <row r="140" spans="1:5" ht="15.75" thickBot="1" x14ac:dyDescent="0.3">
      <c r="A140" s="13" t="s">
        <v>76</v>
      </c>
      <c r="B140" s="16"/>
      <c r="C140" s="16"/>
      <c r="D140" s="16"/>
      <c r="E140" s="16"/>
    </row>
    <row r="141" spans="1:5" ht="15.75" thickBot="1" x14ac:dyDescent="0.3">
      <c r="A141" s="13" t="s">
        <v>77</v>
      </c>
      <c r="B141" s="16"/>
      <c r="C141" s="16"/>
      <c r="D141" s="16"/>
      <c r="E141" s="16"/>
    </row>
    <row r="142" spans="1:5" ht="15.75" thickBot="1" x14ac:dyDescent="0.3">
      <c r="A142" s="13" t="s">
        <v>78</v>
      </c>
      <c r="B142" s="16" t="e">
        <f>B141/B140</f>
        <v>#DIV/0!</v>
      </c>
      <c r="C142" s="16" t="e">
        <f t="shared" ref="C142:E142" si="10">C141/C140</f>
        <v>#DIV/0!</v>
      </c>
      <c r="D142" s="16" t="e">
        <f t="shared" si="10"/>
        <v>#DIV/0!</v>
      </c>
      <c r="E142" s="16" t="e">
        <f t="shared" si="10"/>
        <v>#DIV/0!</v>
      </c>
    </row>
    <row r="143" spans="1:5" ht="15.75" thickBot="1" x14ac:dyDescent="0.3">
      <c r="A143" s="13" t="s">
        <v>79</v>
      </c>
      <c r="B143" s="57" t="s">
        <v>80</v>
      </c>
      <c r="C143" s="10" t="e">
        <f>C140/B140-1</f>
        <v>#DIV/0!</v>
      </c>
      <c r="D143" s="10" t="e">
        <f t="shared" ref="D143:E145" si="11">D140/C140-1</f>
        <v>#DIV/0!</v>
      </c>
      <c r="E143" s="10" t="e">
        <f t="shared" si="11"/>
        <v>#DIV/0!</v>
      </c>
    </row>
    <row r="144" spans="1:5" ht="15.75" thickBot="1" x14ac:dyDescent="0.3">
      <c r="A144" s="13" t="s">
        <v>81</v>
      </c>
      <c r="B144" s="57" t="s">
        <v>80</v>
      </c>
      <c r="C144" s="10" t="e">
        <f>C141/B141-1</f>
        <v>#DIV/0!</v>
      </c>
      <c r="D144" s="10" t="e">
        <f t="shared" si="11"/>
        <v>#DIV/0!</v>
      </c>
      <c r="E144" s="10" t="e">
        <f t="shared" si="11"/>
        <v>#DIV/0!</v>
      </c>
    </row>
    <row r="145" spans="1:5" ht="15.75" thickBot="1" x14ac:dyDescent="0.3">
      <c r="A145" s="13" t="s">
        <v>82</v>
      </c>
      <c r="B145" s="57" t="s">
        <v>80</v>
      </c>
      <c r="C145" s="10" t="e">
        <f>C142/B142-1</f>
        <v>#DIV/0!</v>
      </c>
      <c r="D145" s="10" t="e">
        <f t="shared" si="11"/>
        <v>#DIV/0!</v>
      </c>
      <c r="E145" s="10" t="e">
        <f t="shared" si="11"/>
        <v>#DIV/0!</v>
      </c>
    </row>
    <row r="146" spans="1:5" ht="15.75" customHeight="1" thickBot="1" x14ac:dyDescent="0.3">
      <c r="A146" s="522" t="s">
        <v>83</v>
      </c>
      <c r="B146" s="523"/>
      <c r="C146" s="523"/>
      <c r="D146" s="523"/>
      <c r="E146" s="524"/>
    </row>
    <row r="147" spans="1:5" x14ac:dyDescent="0.25">
      <c r="A147" s="549"/>
      <c r="B147" s="14">
        <v>2018</v>
      </c>
      <c r="C147" s="14">
        <v>2019</v>
      </c>
      <c r="D147" s="14">
        <v>2020</v>
      </c>
      <c r="E147" s="14">
        <v>2021</v>
      </c>
    </row>
    <row r="148" spans="1:5" ht="15.75" thickBot="1" x14ac:dyDescent="0.3">
      <c r="A148" s="550"/>
      <c r="B148" s="15" t="s">
        <v>41</v>
      </c>
      <c r="C148" s="15" t="s">
        <v>42</v>
      </c>
      <c r="D148" s="15" t="s">
        <v>42</v>
      </c>
      <c r="E148" s="15" t="s">
        <v>42</v>
      </c>
    </row>
    <row r="149" spans="1:5" ht="15.75" thickBot="1" x14ac:dyDescent="0.3">
      <c r="A149" s="17" t="s">
        <v>169</v>
      </c>
      <c r="B149" s="18"/>
      <c r="C149" s="18"/>
      <c r="D149" s="18"/>
      <c r="E149" s="18"/>
    </row>
    <row r="150" spans="1:5" ht="15.75" thickBot="1" x14ac:dyDescent="0.3">
      <c r="A150" s="17" t="s">
        <v>112</v>
      </c>
      <c r="B150" s="19"/>
      <c r="C150" s="18"/>
      <c r="D150" s="18"/>
      <c r="E150" s="18"/>
    </row>
    <row r="151" spans="1:5" ht="15.75" thickBot="1" x14ac:dyDescent="0.3">
      <c r="A151" s="20" t="s">
        <v>91</v>
      </c>
      <c r="B151" s="19">
        <f>B150+B149</f>
        <v>0</v>
      </c>
      <c r="C151" s="19">
        <f t="shared" ref="C151:E151" si="12">C150+C149</f>
        <v>0</v>
      </c>
      <c r="D151" s="19">
        <f t="shared" si="12"/>
        <v>0</v>
      </c>
      <c r="E151" s="19">
        <f t="shared" si="12"/>
        <v>0</v>
      </c>
    </row>
    <row r="152" spans="1:5" ht="15.75" thickBot="1" x14ac:dyDescent="0.3">
      <c r="A152" s="50" t="s">
        <v>257</v>
      </c>
      <c r="B152" s="566" t="s">
        <v>107</v>
      </c>
      <c r="C152" s="567"/>
      <c r="D152" s="567"/>
      <c r="E152" s="568"/>
    </row>
    <row r="153" spans="1:5" ht="23.25" thickBot="1" x14ac:dyDescent="0.3">
      <c r="A153" s="12" t="s">
        <v>365</v>
      </c>
      <c r="B153" s="569" t="s">
        <v>364</v>
      </c>
      <c r="C153" s="570"/>
      <c r="D153" s="570"/>
      <c r="E153" s="571"/>
    </row>
    <row r="154" spans="1:5" ht="15.75" thickBot="1" x14ac:dyDescent="0.3">
      <c r="A154" s="13" t="s">
        <v>72</v>
      </c>
      <c r="B154" s="560" t="s">
        <v>364</v>
      </c>
      <c r="C154" s="561"/>
      <c r="D154" s="561"/>
      <c r="E154" s="562"/>
    </row>
    <row r="155" spans="1:5" ht="15.75" thickBot="1" x14ac:dyDescent="0.3">
      <c r="A155" s="13" t="s">
        <v>74</v>
      </c>
      <c r="B155" s="572" t="s">
        <v>364</v>
      </c>
      <c r="C155" s="573"/>
      <c r="D155" s="573"/>
      <c r="E155" s="574"/>
    </row>
    <row r="156" spans="1:5" x14ac:dyDescent="0.25">
      <c r="A156" s="549"/>
      <c r="B156" s="14">
        <v>2018</v>
      </c>
      <c r="C156" s="14">
        <v>2019</v>
      </c>
      <c r="D156" s="14">
        <v>2020</v>
      </c>
      <c r="E156" s="14">
        <v>2021</v>
      </c>
    </row>
    <row r="157" spans="1:5" ht="15.75" thickBot="1" x14ac:dyDescent="0.3">
      <c r="A157" s="550"/>
      <c r="B157" s="15" t="s">
        <v>41</v>
      </c>
      <c r="C157" s="15" t="s">
        <v>42</v>
      </c>
      <c r="D157" s="15" t="s">
        <v>42</v>
      </c>
      <c r="E157" s="15" t="s">
        <v>42</v>
      </c>
    </row>
    <row r="158" spans="1:5" ht="15.75" thickBot="1" x14ac:dyDescent="0.3">
      <c r="A158" s="13" t="s">
        <v>76</v>
      </c>
      <c r="B158" s="16"/>
      <c r="C158" s="16"/>
      <c r="D158" s="16"/>
      <c r="E158" s="16"/>
    </row>
    <row r="159" spans="1:5" ht="15.75" thickBot="1" x14ac:dyDescent="0.3">
      <c r="A159" s="13" t="s">
        <v>77</v>
      </c>
      <c r="B159" s="16"/>
      <c r="C159" s="16"/>
      <c r="D159" s="16"/>
      <c r="E159" s="16"/>
    </row>
    <row r="160" spans="1:5" ht="15.75" thickBot="1" x14ac:dyDescent="0.3">
      <c r="A160" s="13" t="s">
        <v>78</v>
      </c>
      <c r="B160" s="16" t="e">
        <f>B159/B158</f>
        <v>#DIV/0!</v>
      </c>
      <c r="C160" s="16" t="e">
        <f t="shared" ref="C160:E160" si="13">C159/C158</f>
        <v>#DIV/0!</v>
      </c>
      <c r="D160" s="16" t="e">
        <f t="shared" si="13"/>
        <v>#DIV/0!</v>
      </c>
      <c r="E160" s="16" t="e">
        <f t="shared" si="13"/>
        <v>#DIV/0!</v>
      </c>
    </row>
    <row r="161" spans="1:5" ht="15.75" thickBot="1" x14ac:dyDescent="0.3">
      <c r="A161" s="13" t="s">
        <v>79</v>
      </c>
      <c r="B161" s="57" t="s">
        <v>80</v>
      </c>
      <c r="C161" s="10" t="e">
        <f>C158/B158-1</f>
        <v>#DIV/0!</v>
      </c>
      <c r="D161" s="10" t="e">
        <f t="shared" ref="D161:E163" si="14">D158/C158-1</f>
        <v>#DIV/0!</v>
      </c>
      <c r="E161" s="10" t="e">
        <f t="shared" si="14"/>
        <v>#DIV/0!</v>
      </c>
    </row>
    <row r="162" spans="1:5" ht="15.75" thickBot="1" x14ac:dyDescent="0.3">
      <c r="A162" s="13" t="s">
        <v>81</v>
      </c>
      <c r="B162" s="57" t="s">
        <v>80</v>
      </c>
      <c r="C162" s="10" t="e">
        <f>C159/B159-1</f>
        <v>#DIV/0!</v>
      </c>
      <c r="D162" s="10" t="e">
        <f t="shared" si="14"/>
        <v>#DIV/0!</v>
      </c>
      <c r="E162" s="10" t="e">
        <f t="shared" si="14"/>
        <v>#DIV/0!</v>
      </c>
    </row>
    <row r="163" spans="1:5" ht="15.75" thickBot="1" x14ac:dyDescent="0.3">
      <c r="A163" s="13" t="s">
        <v>82</v>
      </c>
      <c r="B163" s="57" t="s">
        <v>80</v>
      </c>
      <c r="C163" s="10" t="e">
        <f>C160/B160-1</f>
        <v>#DIV/0!</v>
      </c>
      <c r="D163" s="10" t="e">
        <f t="shared" si="14"/>
        <v>#DIV/0!</v>
      </c>
      <c r="E163" s="10" t="e">
        <f t="shared" si="14"/>
        <v>#DIV/0!</v>
      </c>
    </row>
    <row r="164" spans="1:5" ht="15.75" customHeight="1" thickBot="1" x14ac:dyDescent="0.3">
      <c r="A164" s="522" t="s">
        <v>366</v>
      </c>
      <c r="B164" s="523"/>
      <c r="C164" s="523"/>
      <c r="D164" s="523"/>
      <c r="E164" s="524"/>
    </row>
    <row r="165" spans="1:5" x14ac:dyDescent="0.25">
      <c r="A165" s="549"/>
      <c r="B165" s="14">
        <v>2018</v>
      </c>
      <c r="C165" s="14">
        <v>2019</v>
      </c>
      <c r="D165" s="14">
        <v>2020</v>
      </c>
      <c r="E165" s="14">
        <v>2021</v>
      </c>
    </row>
    <row r="166" spans="1:5" ht="15.75" thickBot="1" x14ac:dyDescent="0.3">
      <c r="A166" s="550"/>
      <c r="B166" s="15" t="s">
        <v>41</v>
      </c>
      <c r="C166" s="15" t="s">
        <v>42</v>
      </c>
      <c r="D166" s="15" t="s">
        <v>42</v>
      </c>
      <c r="E166" s="15" t="s">
        <v>42</v>
      </c>
    </row>
    <row r="167" spans="1:5" ht="15.75" thickBot="1" x14ac:dyDescent="0.3">
      <c r="A167" s="17" t="s">
        <v>169</v>
      </c>
      <c r="B167" s="18"/>
      <c r="C167" s="18"/>
      <c r="D167" s="18"/>
      <c r="E167" s="18"/>
    </row>
    <row r="168" spans="1:5" ht="15.75" thickBot="1" x14ac:dyDescent="0.3">
      <c r="A168" s="17" t="s">
        <v>112</v>
      </c>
      <c r="B168" s="19"/>
      <c r="C168" s="18"/>
      <c r="D168" s="18"/>
      <c r="E168" s="18"/>
    </row>
    <row r="169" spans="1:5" ht="15.75" thickBot="1" x14ac:dyDescent="0.3">
      <c r="A169" s="20" t="s">
        <v>176</v>
      </c>
      <c r="B169" s="19">
        <f>B168+B167</f>
        <v>0</v>
      </c>
      <c r="C169" s="19">
        <f t="shared" ref="C169:E169" si="15">C168+C167</f>
        <v>0</v>
      </c>
      <c r="D169" s="19">
        <f t="shared" si="15"/>
        <v>0</v>
      </c>
      <c r="E169" s="19">
        <f t="shared" si="15"/>
        <v>0</v>
      </c>
    </row>
    <row r="170" spans="1:5" ht="24.75" thickBot="1" x14ac:dyDescent="0.3">
      <c r="A170" s="39" t="s">
        <v>181</v>
      </c>
      <c r="B170" s="1128" t="s">
        <v>549</v>
      </c>
      <c r="C170" s="1129"/>
      <c r="D170" s="1129"/>
      <c r="E170" s="1130"/>
    </row>
    <row r="171" spans="1:5" ht="15.75" customHeight="1" thickBot="1" x14ac:dyDescent="0.3">
      <c r="A171" s="560" t="s">
        <v>183</v>
      </c>
      <c r="B171" s="561"/>
      <c r="C171" s="561"/>
      <c r="D171" s="561"/>
      <c r="E171" s="562"/>
    </row>
    <row r="172" spans="1:5" ht="45.75" thickBot="1" x14ac:dyDescent="0.3">
      <c r="A172" s="58" t="s">
        <v>550</v>
      </c>
      <c r="B172" s="43">
        <v>10</v>
      </c>
      <c r="C172" s="43">
        <v>11</v>
      </c>
      <c r="D172" s="43">
        <v>12</v>
      </c>
      <c r="E172" s="43">
        <v>14</v>
      </c>
    </row>
    <row r="173" spans="1:5" ht="15.75" thickBot="1" x14ac:dyDescent="0.3">
      <c r="A173" s="13" t="s">
        <v>551</v>
      </c>
      <c r="B173" s="11">
        <v>0.7</v>
      </c>
      <c r="C173" s="11">
        <v>0.9</v>
      </c>
      <c r="D173" s="11">
        <v>1</v>
      </c>
      <c r="E173" s="11">
        <v>0.1</v>
      </c>
    </row>
    <row r="174" spans="1:5" ht="23.25" thickBot="1" x14ac:dyDescent="0.3">
      <c r="A174" s="13" t="s">
        <v>552</v>
      </c>
      <c r="B174" s="11">
        <v>0.3</v>
      </c>
      <c r="C174" s="11">
        <v>0.4</v>
      </c>
      <c r="D174" s="11">
        <v>0.45</v>
      </c>
      <c r="E174" s="11">
        <v>0.5</v>
      </c>
    </row>
    <row r="175" spans="1:5" ht="15.75" thickBot="1" x14ac:dyDescent="0.3">
      <c r="A175" s="13" t="s">
        <v>553</v>
      </c>
      <c r="B175" s="63">
        <v>0.3</v>
      </c>
      <c r="C175" s="63">
        <v>0.5</v>
      </c>
      <c r="D175" s="63">
        <v>0.75</v>
      </c>
      <c r="E175" s="63">
        <v>1</v>
      </c>
    </row>
    <row r="176" spans="1:5" ht="15.75" thickBot="1" x14ac:dyDescent="0.3">
      <c r="A176" s="13" t="s">
        <v>554</v>
      </c>
      <c r="B176" s="56">
        <v>0.1</v>
      </c>
      <c r="C176" s="64">
        <v>0.2</v>
      </c>
      <c r="D176" s="56">
        <v>0.3</v>
      </c>
      <c r="E176" s="56">
        <v>0.4</v>
      </c>
    </row>
    <row r="177" spans="1:5" ht="15.75" thickBot="1" x14ac:dyDescent="0.3">
      <c r="A177" s="1161" t="s">
        <v>196</v>
      </c>
      <c r="B177" s="1162"/>
      <c r="C177" s="1162"/>
      <c r="D177" s="1162"/>
      <c r="E177" s="1163"/>
    </row>
    <row r="178" spans="1:5" ht="15.75" thickBot="1" x14ac:dyDescent="0.3">
      <c r="A178" s="1149" t="s">
        <v>114</v>
      </c>
      <c r="B178" s="1150"/>
      <c r="C178" s="1150"/>
      <c r="D178" s="1150"/>
      <c r="E178" s="1151"/>
    </row>
    <row r="179" spans="1:5" x14ac:dyDescent="0.25">
      <c r="A179" s="549"/>
      <c r="B179" s="14">
        <v>2018</v>
      </c>
      <c r="C179" s="14">
        <v>2019</v>
      </c>
      <c r="D179" s="14">
        <v>2020</v>
      </c>
      <c r="E179" s="14">
        <v>2021</v>
      </c>
    </row>
    <row r="180" spans="1:5" ht="15.75" thickBot="1" x14ac:dyDescent="0.3">
      <c r="A180" s="550"/>
      <c r="B180" s="15" t="s">
        <v>41</v>
      </c>
      <c r="C180" s="15" t="s">
        <v>42</v>
      </c>
      <c r="D180" s="15" t="s">
        <v>42</v>
      </c>
      <c r="E180" s="15" t="s">
        <v>42</v>
      </c>
    </row>
    <row r="181" spans="1:5" ht="15.75" thickBot="1" x14ac:dyDescent="0.3">
      <c r="A181" s="12" t="s">
        <v>108</v>
      </c>
      <c r="B181" s="1152" t="s">
        <v>555</v>
      </c>
      <c r="C181" s="1153"/>
      <c r="D181" s="1153"/>
      <c r="E181" s="1154"/>
    </row>
    <row r="182" spans="1:5" ht="15.75" customHeight="1" thickBot="1" x14ac:dyDescent="0.3">
      <c r="A182" s="13" t="s">
        <v>72</v>
      </c>
      <c r="B182" s="1155" t="s">
        <v>556</v>
      </c>
      <c r="C182" s="1156"/>
      <c r="D182" s="1156"/>
      <c r="E182" s="1157"/>
    </row>
    <row r="183" spans="1:5" ht="15.75" thickBot="1" x14ac:dyDescent="0.3">
      <c r="A183" s="13" t="s">
        <v>74</v>
      </c>
      <c r="B183" s="1158" t="s">
        <v>539</v>
      </c>
      <c r="C183" s="1159"/>
      <c r="D183" s="1159"/>
      <c r="E183" s="1160"/>
    </row>
    <row r="184" spans="1:5" x14ac:dyDescent="0.25">
      <c r="A184" s="549"/>
      <c r="B184" s="14">
        <v>2018</v>
      </c>
      <c r="C184" s="14">
        <v>2019</v>
      </c>
      <c r="D184" s="14">
        <v>2020</v>
      </c>
      <c r="E184" s="14">
        <v>2021</v>
      </c>
    </row>
    <row r="185" spans="1:5" ht="15.75" thickBot="1" x14ac:dyDescent="0.3">
      <c r="A185" s="550"/>
      <c r="B185" s="15" t="s">
        <v>41</v>
      </c>
      <c r="C185" s="15" t="s">
        <v>42</v>
      </c>
      <c r="D185" s="15" t="s">
        <v>42</v>
      </c>
      <c r="E185" s="15" t="s">
        <v>42</v>
      </c>
    </row>
    <row r="186" spans="1:5" ht="15.75" thickBot="1" x14ac:dyDescent="0.3">
      <c r="A186" s="13" t="s">
        <v>76</v>
      </c>
      <c r="B186" s="16">
        <v>30</v>
      </c>
      <c r="C186" s="47">
        <v>32</v>
      </c>
      <c r="D186" s="47">
        <v>34</v>
      </c>
      <c r="E186" s="47">
        <v>36</v>
      </c>
    </row>
    <row r="187" spans="1:5" ht="15.75" thickBot="1" x14ac:dyDescent="0.3">
      <c r="A187" s="13" t="s">
        <v>77</v>
      </c>
      <c r="B187" s="16">
        <f>19348358.2/1000</f>
        <v>19348.358199999999</v>
      </c>
      <c r="C187" s="16">
        <f>24644935/1000</f>
        <v>24644.935000000001</v>
      </c>
      <c r="D187" s="16">
        <f>25487182/1000</f>
        <v>25487.182000000001</v>
      </c>
      <c r="E187" s="16">
        <f>26561541/1000</f>
        <v>26561.541000000001</v>
      </c>
    </row>
    <row r="188" spans="1:5" ht="15.75" thickBot="1" x14ac:dyDescent="0.3">
      <c r="A188" s="13" t="s">
        <v>78</v>
      </c>
      <c r="B188" s="16">
        <f>B187/B186</f>
        <v>644.94527333333326</v>
      </c>
      <c r="C188" s="16">
        <f t="shared" ref="C188:E188" si="16">C187/C186</f>
        <v>770.15421875000004</v>
      </c>
      <c r="D188" s="16">
        <f t="shared" si="16"/>
        <v>749.62300000000005</v>
      </c>
      <c r="E188" s="16">
        <f t="shared" si="16"/>
        <v>737.82058333333339</v>
      </c>
    </row>
    <row r="189" spans="1:5" ht="15.75" thickBot="1" x14ac:dyDescent="0.3">
      <c r="A189" s="13" t="s">
        <v>79</v>
      </c>
      <c r="B189" s="57"/>
      <c r="C189" s="10">
        <f>C186/B186-1</f>
        <v>6.6666666666666652E-2</v>
      </c>
      <c r="D189" s="10">
        <f t="shared" ref="D189:E191" si="17">D186/C186-1</f>
        <v>6.25E-2</v>
      </c>
      <c r="E189" s="10">
        <f t="shared" si="17"/>
        <v>5.8823529411764719E-2</v>
      </c>
    </row>
    <row r="190" spans="1:5" ht="15.75" thickBot="1" x14ac:dyDescent="0.3">
      <c r="A190" s="13" t="s">
        <v>81</v>
      </c>
      <c r="B190" s="57"/>
      <c r="C190" s="10">
        <f>C187/B187-1</f>
        <v>0.27374812608131283</v>
      </c>
      <c r="D190" s="10">
        <f t="shared" si="17"/>
        <v>3.4175257512344848E-2</v>
      </c>
      <c r="E190" s="10">
        <f t="shared" si="17"/>
        <v>4.2152914355145343E-2</v>
      </c>
    </row>
    <row r="191" spans="1:5" ht="15.75" thickBot="1" x14ac:dyDescent="0.3">
      <c r="A191" s="13" t="s">
        <v>82</v>
      </c>
      <c r="B191" s="57"/>
      <c r="C191" s="10">
        <f>C188/B188-1</f>
        <v>0.19413886820123083</v>
      </c>
      <c r="D191" s="10">
        <f t="shared" si="17"/>
        <v>-2.6658581164851869E-2</v>
      </c>
      <c r="E191" s="10">
        <f t="shared" si="17"/>
        <v>-1.5744469775696102E-2</v>
      </c>
    </row>
    <row r="192" spans="1:5" x14ac:dyDescent="0.25">
      <c r="A192" s="549"/>
      <c r="B192" s="14">
        <v>2018</v>
      </c>
      <c r="C192" s="14">
        <v>2019</v>
      </c>
      <c r="D192" s="14">
        <v>2020</v>
      </c>
      <c r="E192" s="14">
        <v>2021</v>
      </c>
    </row>
    <row r="193" spans="1:5" ht="15.75" thickBot="1" x14ac:dyDescent="0.3">
      <c r="A193" s="550"/>
      <c r="B193" s="15" t="s">
        <v>41</v>
      </c>
      <c r="C193" s="15" t="s">
        <v>42</v>
      </c>
      <c r="D193" s="15" t="s">
        <v>42</v>
      </c>
      <c r="E193" s="15" t="s">
        <v>42</v>
      </c>
    </row>
    <row r="194" spans="1:5" ht="15.75" customHeight="1" thickBot="1" x14ac:dyDescent="0.3">
      <c r="A194" s="522" t="s">
        <v>374</v>
      </c>
      <c r="B194" s="523"/>
      <c r="C194" s="523"/>
      <c r="D194" s="523"/>
      <c r="E194" s="524"/>
    </row>
    <row r="195" spans="1:5" x14ac:dyDescent="0.25">
      <c r="A195" s="549"/>
      <c r="B195" s="14">
        <v>2018</v>
      </c>
      <c r="C195" s="14">
        <v>2019</v>
      </c>
      <c r="D195" s="14">
        <v>2020</v>
      </c>
      <c r="E195" s="14">
        <v>2021</v>
      </c>
    </row>
    <row r="196" spans="1:5" ht="15.75" thickBot="1" x14ac:dyDescent="0.3">
      <c r="A196" s="550"/>
      <c r="B196" s="15" t="s">
        <v>41</v>
      </c>
      <c r="C196" s="15" t="s">
        <v>42</v>
      </c>
      <c r="D196" s="15" t="s">
        <v>42</v>
      </c>
      <c r="E196" s="15" t="s">
        <v>42</v>
      </c>
    </row>
    <row r="197" spans="1:5" ht="15.75" thickBot="1" x14ac:dyDescent="0.3">
      <c r="A197" s="17" t="s">
        <v>84</v>
      </c>
      <c r="B197" s="18">
        <f>5974600/1000</f>
        <v>5974.6</v>
      </c>
      <c r="C197" s="18">
        <f>11006800/1000</f>
        <v>11006.8</v>
      </c>
      <c r="D197" s="18">
        <f>11557140/1000</f>
        <v>11557.14</v>
      </c>
      <c r="E197" s="18">
        <f>12134997/1000</f>
        <v>12134.996999999999</v>
      </c>
    </row>
    <row r="198" spans="1:5" ht="24.75" thickBot="1" x14ac:dyDescent="0.3">
      <c r="A198" s="17" t="s">
        <v>85</v>
      </c>
      <c r="B198" s="18">
        <v>997</v>
      </c>
      <c r="C198" s="18">
        <f>1838135/1000</f>
        <v>1838.135</v>
      </c>
      <c r="D198" s="18">
        <f>1930042/1000</f>
        <v>1930.0419999999999</v>
      </c>
      <c r="E198" s="18">
        <f>2026544/1000</f>
        <v>2026.5440000000001</v>
      </c>
    </row>
    <row r="199" spans="1:5" ht="15.75" thickBot="1" x14ac:dyDescent="0.3">
      <c r="A199" s="17" t="s">
        <v>86</v>
      </c>
      <c r="B199" s="19">
        <f>12376000/1000</f>
        <v>12376</v>
      </c>
      <c r="C199" s="18">
        <f>11800000/1000</f>
        <v>11800</v>
      </c>
      <c r="D199" s="18">
        <f>12000000/1000</f>
        <v>12000</v>
      </c>
      <c r="E199" s="18">
        <f>12400000/1000</f>
        <v>12400</v>
      </c>
    </row>
    <row r="200" spans="1:5" ht="15.75" thickBot="1" x14ac:dyDescent="0.3">
      <c r="A200" s="17" t="s">
        <v>87</v>
      </c>
      <c r="B200" s="19"/>
      <c r="C200" s="18"/>
      <c r="D200" s="18"/>
      <c r="E200" s="18"/>
    </row>
    <row r="201" spans="1:5" ht="15.75" thickBot="1" x14ac:dyDescent="0.3">
      <c r="A201" s="17" t="s">
        <v>88</v>
      </c>
      <c r="B201" s="19"/>
      <c r="C201" s="18"/>
      <c r="D201" s="18"/>
      <c r="E201" s="18"/>
    </row>
    <row r="202" spans="1:5" ht="15.75" thickBot="1" x14ac:dyDescent="0.3">
      <c r="A202" s="17" t="s">
        <v>89</v>
      </c>
      <c r="B202" s="19"/>
      <c r="C202" s="18"/>
      <c r="D202" s="18"/>
      <c r="E202" s="18"/>
    </row>
    <row r="203" spans="1:5" ht="24.75" thickBot="1" x14ac:dyDescent="0.3">
      <c r="A203" s="17" t="s">
        <v>90</v>
      </c>
      <c r="B203" s="19"/>
      <c r="C203" s="18"/>
      <c r="D203" s="18"/>
      <c r="E203" s="18"/>
    </row>
    <row r="204" spans="1:5" ht="24.75" thickBot="1" x14ac:dyDescent="0.3">
      <c r="A204" s="24" t="s">
        <v>120</v>
      </c>
      <c r="B204" s="25">
        <f>B203+B202+B201+B200+B199+B198+B197</f>
        <v>19347.599999999999</v>
      </c>
      <c r="C204" s="25">
        <f>C203+C202+C201+C200+C199+C198+C197</f>
        <v>24644.934999999998</v>
      </c>
      <c r="D204" s="25">
        <f>D203+D202+D201+D200+D199+D198+D197</f>
        <v>25487.182000000001</v>
      </c>
      <c r="E204" s="25">
        <f>E203+E202+E201+E200+E199+E198+E197</f>
        <v>26561.540999999997</v>
      </c>
    </row>
    <row r="205" spans="1:5" ht="15.75" thickBot="1" x14ac:dyDescent="0.3">
      <c r="A205" s="21" t="s">
        <v>92</v>
      </c>
      <c r="B205" s="22" t="str">
        <f>IF(B204-B187=0,0,"Error")</f>
        <v>Error</v>
      </c>
      <c r="C205" s="22" t="str">
        <f>IF(C204-C187=0,0,"Error")</f>
        <v>Error</v>
      </c>
      <c r="D205" s="22">
        <f>IF(D204-D187=0,0,"Error")</f>
        <v>0</v>
      </c>
      <c r="E205" s="22" t="str">
        <f>IF(E204-E187=0,0,"Error")</f>
        <v>Error</v>
      </c>
    </row>
    <row r="206" spans="1:5" ht="15.75" thickBot="1" x14ac:dyDescent="0.3">
      <c r="A206" s="48" t="s">
        <v>557</v>
      </c>
      <c r="B206" s="572" t="s">
        <v>558</v>
      </c>
      <c r="C206" s="573"/>
      <c r="D206" s="573"/>
      <c r="E206" s="574"/>
    </row>
    <row r="207" spans="1:5" ht="36" customHeight="1" thickBot="1" x14ac:dyDescent="0.3">
      <c r="A207" s="13" t="s">
        <v>72</v>
      </c>
      <c r="B207" s="1146" t="s">
        <v>559</v>
      </c>
      <c r="C207" s="1147"/>
      <c r="D207" s="1147"/>
      <c r="E207" s="1148"/>
    </row>
    <row r="208" spans="1:5" ht="15.75" thickBot="1" x14ac:dyDescent="0.3">
      <c r="A208" s="13" t="s">
        <v>74</v>
      </c>
      <c r="B208" s="572" t="s">
        <v>560</v>
      </c>
      <c r="C208" s="573"/>
      <c r="D208" s="573"/>
      <c r="E208" s="574"/>
    </row>
    <row r="209" spans="1:5" x14ac:dyDescent="0.25">
      <c r="A209" s="549"/>
      <c r="B209" s="14">
        <v>2018</v>
      </c>
      <c r="C209" s="14">
        <v>2019</v>
      </c>
      <c r="D209" s="14">
        <v>2020</v>
      </c>
      <c r="E209" s="14">
        <v>2021</v>
      </c>
    </row>
    <row r="210" spans="1:5" ht="15.75" thickBot="1" x14ac:dyDescent="0.3">
      <c r="A210" s="550"/>
      <c r="B210" s="15" t="s">
        <v>41</v>
      </c>
      <c r="C210" s="15" t="s">
        <v>42</v>
      </c>
      <c r="D210" s="15" t="s">
        <v>42</v>
      </c>
      <c r="E210" s="15" t="s">
        <v>42</v>
      </c>
    </row>
    <row r="211" spans="1:5" ht="15.75" thickBot="1" x14ac:dyDescent="0.3">
      <c r="A211" s="13" t="s">
        <v>76</v>
      </c>
      <c r="B211" s="16">
        <v>25</v>
      </c>
      <c r="C211" s="16">
        <v>27</v>
      </c>
      <c r="D211" s="16">
        <v>28</v>
      </c>
      <c r="E211" s="16">
        <v>30</v>
      </c>
    </row>
    <row r="212" spans="1:5" ht="15.75" thickBot="1" x14ac:dyDescent="0.3">
      <c r="A212" s="13" t="s">
        <v>77</v>
      </c>
      <c r="B212" s="16">
        <f>17584342/1000</f>
        <v>17584.342000000001</v>
      </c>
      <c r="C212" s="16">
        <f>19883701.7/1000</f>
        <v>19883.701699999998</v>
      </c>
      <c r="D212" s="16">
        <f>21912640/1000</f>
        <v>21912.639999999999</v>
      </c>
      <c r="E212" s="16">
        <f>19921156/1000</f>
        <v>19921.155999999999</v>
      </c>
    </row>
    <row r="213" spans="1:5" ht="15.75" thickBot="1" x14ac:dyDescent="0.3">
      <c r="A213" s="13" t="s">
        <v>78</v>
      </c>
      <c r="B213" s="16">
        <f>B212/B211</f>
        <v>703.37368000000004</v>
      </c>
      <c r="C213" s="16">
        <f t="shared" ref="C213:E213" si="18">C212/C211</f>
        <v>736.43339629629622</v>
      </c>
      <c r="D213" s="16">
        <f t="shared" si="18"/>
        <v>782.59428571428566</v>
      </c>
      <c r="E213" s="16">
        <f t="shared" si="18"/>
        <v>664.03853333333325</v>
      </c>
    </row>
    <row r="214" spans="1:5" ht="15.75" thickBot="1" x14ac:dyDescent="0.3">
      <c r="A214" s="13" t="s">
        <v>79</v>
      </c>
      <c r="B214" s="57"/>
      <c r="C214" s="10">
        <f>C211/B211-1</f>
        <v>8.0000000000000071E-2</v>
      </c>
      <c r="D214" s="10">
        <f t="shared" ref="D214:E216" si="19">D211/C211-1</f>
        <v>3.7037037037036979E-2</v>
      </c>
      <c r="E214" s="10">
        <f t="shared" si="19"/>
        <v>7.1428571428571397E-2</v>
      </c>
    </row>
    <row r="215" spans="1:5" ht="15.75" thickBot="1" x14ac:dyDescent="0.3">
      <c r="A215" s="13" t="s">
        <v>81</v>
      </c>
      <c r="B215" s="57"/>
      <c r="C215" s="10">
        <f>C212/B212-1</f>
        <v>0.13076177089822272</v>
      </c>
      <c r="D215" s="10">
        <f t="shared" si="19"/>
        <v>0.10204027049953179</v>
      </c>
      <c r="E215" s="10">
        <f t="shared" si="19"/>
        <v>-9.0882887684916147E-2</v>
      </c>
    </row>
    <row r="216" spans="1:5" ht="15.75" thickBot="1" x14ac:dyDescent="0.3">
      <c r="A216" s="13" t="s">
        <v>82</v>
      </c>
      <c r="B216" s="57"/>
      <c r="C216" s="10">
        <f>C213/B213-1</f>
        <v>4.7001639720576582E-2</v>
      </c>
      <c r="D216" s="10">
        <f t="shared" si="19"/>
        <v>6.2681689410262864E-2</v>
      </c>
      <c r="E216" s="10">
        <f t="shared" si="19"/>
        <v>-0.1514906951725884</v>
      </c>
    </row>
    <row r="217" spans="1:5" ht="15.75" customHeight="1" thickBot="1" x14ac:dyDescent="0.3">
      <c r="A217" s="522" t="s">
        <v>561</v>
      </c>
      <c r="B217" s="523"/>
      <c r="C217" s="523"/>
      <c r="D217" s="523"/>
      <c r="E217" s="524"/>
    </row>
    <row r="218" spans="1:5" x14ac:dyDescent="0.25">
      <c r="A218" s="549"/>
      <c r="B218" s="14">
        <v>2018</v>
      </c>
      <c r="C218" s="14">
        <v>2019</v>
      </c>
      <c r="D218" s="14">
        <v>2020</v>
      </c>
      <c r="E218" s="14">
        <v>2021</v>
      </c>
    </row>
    <row r="219" spans="1:5" ht="15.75" thickBot="1" x14ac:dyDescent="0.3">
      <c r="A219" s="550"/>
      <c r="B219" s="15" t="s">
        <v>41</v>
      </c>
      <c r="C219" s="15" t="s">
        <v>42</v>
      </c>
      <c r="D219" s="15" t="s">
        <v>42</v>
      </c>
      <c r="E219" s="15" t="s">
        <v>42</v>
      </c>
    </row>
    <row r="220" spans="1:5" ht="15.75" thickBot="1" x14ac:dyDescent="0.3">
      <c r="A220" s="17" t="s">
        <v>84</v>
      </c>
      <c r="B220" s="18">
        <f>5987300/1000</f>
        <v>5987.3</v>
      </c>
      <c r="C220" s="18">
        <f>8255100/1000</f>
        <v>8255.1</v>
      </c>
      <c r="D220" s="18">
        <f>8667855/1000</f>
        <v>8667.8549999999996</v>
      </c>
      <c r="E220" s="18">
        <f>9101248/1000</f>
        <v>9101.2479999999996</v>
      </c>
    </row>
    <row r="221" spans="1:5" ht="24.75" thickBot="1" x14ac:dyDescent="0.3">
      <c r="A221" s="17" t="s">
        <v>85</v>
      </c>
      <c r="B221" s="18">
        <f>1065042/1000</f>
        <v>1065.0419999999999</v>
      </c>
      <c r="C221" s="18">
        <f>1378601.7/1000</f>
        <v>1378.6016999999999</v>
      </c>
      <c r="D221" s="18">
        <f>1447531/1000</f>
        <v>1447.5309999999999</v>
      </c>
      <c r="E221" s="18">
        <f>1519908/1000</f>
        <v>1519.9079999999999</v>
      </c>
    </row>
    <row r="222" spans="1:5" ht="15.75" thickBot="1" x14ac:dyDescent="0.3">
      <c r="A222" s="17" t="s">
        <v>86</v>
      </c>
      <c r="B222" s="19">
        <f>10532000/1000</f>
        <v>10532</v>
      </c>
      <c r="C222" s="18">
        <f>10250000/1000</f>
        <v>10250</v>
      </c>
      <c r="D222" s="18">
        <f>11797254/1000</f>
        <v>11797.254000000001</v>
      </c>
      <c r="E222" s="18">
        <f>9300000/1000</f>
        <v>9300</v>
      </c>
    </row>
    <row r="223" spans="1:5" ht="15.75" thickBot="1" x14ac:dyDescent="0.3">
      <c r="A223" s="17" t="s">
        <v>87</v>
      </c>
      <c r="B223" s="19"/>
      <c r="C223" s="18"/>
      <c r="D223" s="18"/>
      <c r="E223" s="18"/>
    </row>
    <row r="224" spans="1:5" ht="15.75" thickBot="1" x14ac:dyDescent="0.3">
      <c r="A224" s="17" t="s">
        <v>88</v>
      </c>
      <c r="B224" s="19"/>
      <c r="C224" s="18"/>
      <c r="D224" s="18"/>
      <c r="E224" s="18"/>
    </row>
    <row r="225" spans="1:5" ht="15.75" thickBot="1" x14ac:dyDescent="0.3">
      <c r="A225" s="17" t="s">
        <v>89</v>
      </c>
      <c r="B225" s="19"/>
      <c r="C225" s="18"/>
      <c r="D225" s="18"/>
      <c r="E225" s="18"/>
    </row>
    <row r="226" spans="1:5" ht="24.75" thickBot="1" x14ac:dyDescent="0.3">
      <c r="A226" s="17" t="s">
        <v>90</v>
      </c>
      <c r="B226" s="19"/>
      <c r="C226" s="18"/>
      <c r="D226" s="18"/>
      <c r="E226" s="18"/>
    </row>
    <row r="227" spans="1:5" ht="24.75" thickBot="1" x14ac:dyDescent="0.3">
      <c r="A227" s="24" t="s">
        <v>120</v>
      </c>
      <c r="B227" s="31">
        <f>B226+B224+B225+B223+B222+B221+B220</f>
        <v>17584.342000000001</v>
      </c>
      <c r="C227" s="31">
        <f>C226+C224+C225+C223+C222+C221+C220</f>
        <v>19883.701699999998</v>
      </c>
      <c r="D227" s="31">
        <f>D226+D224+D225+D223+D222+D221+D220</f>
        <v>21912.639999999999</v>
      </c>
      <c r="E227" s="31">
        <f>E226+E224+E225+E223+E222+E221+E220</f>
        <v>19921.155999999999</v>
      </c>
    </row>
    <row r="228" spans="1:5" ht="15.75" thickBot="1" x14ac:dyDescent="0.3">
      <c r="A228" s="21" t="s">
        <v>92</v>
      </c>
      <c r="B228" s="22">
        <f>IF(B227-B212=0,0,"Error")</f>
        <v>0</v>
      </c>
      <c r="C228" s="22">
        <f>IF(C227-C212=0,0,"Error")</f>
        <v>0</v>
      </c>
      <c r="D228" s="22">
        <f>IF(D227-D212=0,0,"Error")</f>
        <v>0</v>
      </c>
      <c r="E228" s="22">
        <f>IF(E227-E212=0,0,"Error")</f>
        <v>0</v>
      </c>
    </row>
    <row r="229" spans="1:5" ht="15.75" thickBot="1" x14ac:dyDescent="0.3">
      <c r="A229" s="48" t="s">
        <v>562</v>
      </c>
      <c r="B229" s="572" t="s">
        <v>563</v>
      </c>
      <c r="C229" s="573"/>
      <c r="D229" s="573"/>
      <c r="E229" s="574"/>
    </row>
    <row r="230" spans="1:5" ht="15.75" customHeight="1" thickBot="1" x14ac:dyDescent="0.3">
      <c r="A230" s="13" t="s">
        <v>72</v>
      </c>
      <c r="B230" s="560" t="s">
        <v>564</v>
      </c>
      <c r="C230" s="561"/>
      <c r="D230" s="561"/>
      <c r="E230" s="562"/>
    </row>
    <row r="231" spans="1:5" ht="15.75" thickBot="1" x14ac:dyDescent="0.3">
      <c r="A231" s="13" t="s">
        <v>74</v>
      </c>
      <c r="B231" s="572" t="s">
        <v>545</v>
      </c>
      <c r="C231" s="573"/>
      <c r="D231" s="573"/>
      <c r="E231" s="574"/>
    </row>
    <row r="232" spans="1:5" x14ac:dyDescent="0.25">
      <c r="A232" s="549"/>
      <c r="B232" s="14">
        <v>2018</v>
      </c>
      <c r="C232" s="14">
        <v>2019</v>
      </c>
      <c r="D232" s="14">
        <v>2020</v>
      </c>
      <c r="E232" s="14">
        <v>2021</v>
      </c>
    </row>
    <row r="233" spans="1:5" ht="15.75" thickBot="1" x14ac:dyDescent="0.3">
      <c r="A233" s="550"/>
      <c r="B233" s="15" t="s">
        <v>41</v>
      </c>
      <c r="C233" s="15" t="s">
        <v>42</v>
      </c>
      <c r="D233" s="15" t="s">
        <v>42</v>
      </c>
      <c r="E233" s="15" t="s">
        <v>42</v>
      </c>
    </row>
    <row r="234" spans="1:5" ht="15.75" thickBot="1" x14ac:dyDescent="0.3">
      <c r="A234" s="13" t="s">
        <v>76</v>
      </c>
      <c r="B234" s="16">
        <v>190</v>
      </c>
      <c r="C234" s="16">
        <v>220</v>
      </c>
      <c r="D234" s="16">
        <v>230</v>
      </c>
      <c r="E234" s="16">
        <v>240</v>
      </c>
    </row>
    <row r="235" spans="1:5" ht="15.75" thickBot="1" x14ac:dyDescent="0.3">
      <c r="A235" s="13" t="s">
        <v>77</v>
      </c>
      <c r="B235" s="16">
        <f>688000/1000</f>
        <v>688</v>
      </c>
      <c r="C235" s="16">
        <f>11458457.225/1000</f>
        <v>11458.457225</v>
      </c>
      <c r="D235" s="16">
        <f>13143591.19/1000</f>
        <v>13143.591189999999</v>
      </c>
      <c r="E235" s="16">
        <f>12378172/1000</f>
        <v>12378.172</v>
      </c>
    </row>
    <row r="236" spans="1:5" ht="15.75" thickBot="1" x14ac:dyDescent="0.3">
      <c r="A236" s="13" t="s">
        <v>78</v>
      </c>
      <c r="B236" s="16">
        <f>B235/B234</f>
        <v>3.6210526315789475</v>
      </c>
      <c r="C236" s="16">
        <f t="shared" ref="C236:E236" si="20">C235/C234</f>
        <v>52.083896477272731</v>
      </c>
      <c r="D236" s="16">
        <f t="shared" si="20"/>
        <v>57.14604865217391</v>
      </c>
      <c r="E236" s="16">
        <f t="shared" si="20"/>
        <v>51.575716666666672</v>
      </c>
    </row>
    <row r="237" spans="1:5" ht="15.75" thickBot="1" x14ac:dyDescent="0.3">
      <c r="A237" s="13" t="s">
        <v>79</v>
      </c>
      <c r="B237" s="57"/>
      <c r="C237" s="10">
        <f>C234/B234-1</f>
        <v>0.15789473684210531</v>
      </c>
      <c r="D237" s="10">
        <f t="shared" ref="D237:E239" si="21">D234/C234-1</f>
        <v>4.5454545454545414E-2</v>
      </c>
      <c r="E237" s="10">
        <f t="shared" si="21"/>
        <v>4.3478260869565188E-2</v>
      </c>
    </row>
    <row r="238" spans="1:5" ht="15.75" thickBot="1" x14ac:dyDescent="0.3">
      <c r="A238" s="13" t="s">
        <v>81</v>
      </c>
      <c r="B238" s="57"/>
      <c r="C238" s="10">
        <f>C235/B235-1</f>
        <v>15.654734338662792</v>
      </c>
      <c r="D238" s="10">
        <f t="shared" si="21"/>
        <v>0.14706464682901488</v>
      </c>
      <c r="E238" s="10">
        <f t="shared" si="21"/>
        <v>-5.8235164114230131E-2</v>
      </c>
    </row>
    <row r="239" spans="1:5" ht="15.75" thickBot="1" x14ac:dyDescent="0.3">
      <c r="A239" s="13" t="s">
        <v>82</v>
      </c>
      <c r="B239" s="57"/>
      <c r="C239" s="10">
        <f>C236/B236-1</f>
        <v>13.383634201572411</v>
      </c>
      <c r="D239" s="10">
        <f t="shared" si="21"/>
        <v>9.7192270879927323E-2</v>
      </c>
      <c r="E239" s="10">
        <f t="shared" si="21"/>
        <v>-9.7475365609470455E-2</v>
      </c>
    </row>
    <row r="240" spans="1:5" ht="15.75" customHeight="1" thickBot="1" x14ac:dyDescent="0.3">
      <c r="A240" s="522" t="s">
        <v>561</v>
      </c>
      <c r="B240" s="523"/>
      <c r="C240" s="523"/>
      <c r="D240" s="523"/>
      <c r="E240" s="524"/>
    </row>
    <row r="241" spans="1:5" x14ac:dyDescent="0.25">
      <c r="A241" s="549"/>
      <c r="B241" s="14">
        <v>2018</v>
      </c>
      <c r="C241" s="14">
        <v>2019</v>
      </c>
      <c r="D241" s="14">
        <v>2020</v>
      </c>
      <c r="E241" s="14">
        <v>2021</v>
      </c>
    </row>
    <row r="242" spans="1:5" ht="15.75" thickBot="1" x14ac:dyDescent="0.3">
      <c r="A242" s="550"/>
      <c r="B242" s="15" t="s">
        <v>41</v>
      </c>
      <c r="C242" s="15" t="s">
        <v>42</v>
      </c>
      <c r="D242" s="15" t="s">
        <v>42</v>
      </c>
      <c r="E242" s="15" t="s">
        <v>42</v>
      </c>
    </row>
    <row r="243" spans="1:5" ht="15.75" thickBot="1" x14ac:dyDescent="0.3">
      <c r="A243" s="17" t="s">
        <v>84</v>
      </c>
      <c r="B243" s="18">
        <v>0</v>
      </c>
      <c r="C243" s="18">
        <f>5503400/1000</f>
        <v>5503.4</v>
      </c>
      <c r="D243" s="18">
        <f>5778570/1000</f>
        <v>5778.57</v>
      </c>
      <c r="E243" s="18">
        <f>5995499/1000</f>
        <v>5995.4989999999998</v>
      </c>
    </row>
    <row r="244" spans="1:5" ht="24.75" thickBot="1" x14ac:dyDescent="0.3">
      <c r="A244" s="17" t="s">
        <v>85</v>
      </c>
      <c r="B244" s="18">
        <v>0</v>
      </c>
      <c r="C244" s="18">
        <f>102687.225/1000</f>
        <v>102.68722500000001</v>
      </c>
      <c r="D244" s="18">
        <f>SUM(D243)*16.7%</f>
        <v>965.02118999999982</v>
      </c>
      <c r="E244" s="18">
        <f>1001249/1000</f>
        <v>1001.249</v>
      </c>
    </row>
    <row r="245" spans="1:5" ht="15.75" thickBot="1" x14ac:dyDescent="0.3">
      <c r="A245" s="17" t="s">
        <v>86</v>
      </c>
      <c r="B245" s="19">
        <f>688000/1000</f>
        <v>688</v>
      </c>
      <c r="C245" s="18">
        <f>5852370/1000</f>
        <v>5852.37</v>
      </c>
      <c r="D245" s="18">
        <f>6400000/1000</f>
        <v>6400</v>
      </c>
      <c r="E245" s="18">
        <f>5381424/1000</f>
        <v>5381.424</v>
      </c>
    </row>
    <row r="246" spans="1:5" ht="15.75" thickBot="1" x14ac:dyDescent="0.3">
      <c r="A246" s="17" t="s">
        <v>87</v>
      </c>
      <c r="B246" s="19"/>
      <c r="C246" s="18"/>
      <c r="D246" s="18"/>
      <c r="E246" s="18"/>
    </row>
    <row r="247" spans="1:5" ht="15.75" thickBot="1" x14ac:dyDescent="0.3">
      <c r="A247" s="17" t="s">
        <v>88</v>
      </c>
      <c r="B247" s="19"/>
      <c r="C247" s="18"/>
      <c r="D247" s="18"/>
      <c r="E247" s="18"/>
    </row>
    <row r="248" spans="1:5" ht="15.75" thickBot="1" x14ac:dyDescent="0.3">
      <c r="A248" s="17" t="s">
        <v>89</v>
      </c>
      <c r="B248" s="19"/>
      <c r="C248" s="18"/>
      <c r="D248" s="18"/>
      <c r="E248" s="18"/>
    </row>
    <row r="249" spans="1:5" ht="24.75" thickBot="1" x14ac:dyDescent="0.3">
      <c r="A249" s="17" t="s">
        <v>90</v>
      </c>
      <c r="B249" s="19"/>
      <c r="C249" s="18"/>
      <c r="D249" s="18"/>
      <c r="E249" s="18"/>
    </row>
    <row r="250" spans="1:5" ht="24.75" thickBot="1" x14ac:dyDescent="0.3">
      <c r="A250" s="24" t="s">
        <v>120</v>
      </c>
      <c r="B250" s="31">
        <f>B249+B247+B248+B246+B245+B244+B243</f>
        <v>688</v>
      </c>
      <c r="C250" s="31">
        <f>C249+C247+C248+C246+C245+C244+C243</f>
        <v>11458.457224999998</v>
      </c>
      <c r="D250" s="31">
        <f>D249+D247+D248+D246+D245+D244+D243</f>
        <v>13143.591189999999</v>
      </c>
      <c r="E250" s="31">
        <f>E249+E247+E248+E246+E245+E244+E243</f>
        <v>12378.171999999999</v>
      </c>
    </row>
    <row r="251" spans="1:5" ht="15.75" thickBot="1" x14ac:dyDescent="0.3">
      <c r="A251" s="21" t="s">
        <v>92</v>
      </c>
      <c r="B251" s="22">
        <f>IF(B250-B235=0,0,"Error")</f>
        <v>0</v>
      </c>
      <c r="C251" s="22" t="str">
        <f>IF(C250-C235=0,0,"Error")</f>
        <v>Error</v>
      </c>
      <c r="D251" s="22">
        <f>IF(D250-D235=0,0,"Error")</f>
        <v>0</v>
      </c>
      <c r="E251" s="22" t="str">
        <f>IF(E250-E235=0,0,"Error")</f>
        <v>Error</v>
      </c>
    </row>
    <row r="252" spans="1:5" ht="15.75" thickBot="1" x14ac:dyDescent="0.3">
      <c r="A252" s="48" t="s">
        <v>562</v>
      </c>
      <c r="B252" s="569" t="s">
        <v>565</v>
      </c>
      <c r="C252" s="570"/>
      <c r="D252" s="570"/>
      <c r="E252" s="571"/>
    </row>
    <row r="253" spans="1:5" ht="26.25" customHeight="1" thickBot="1" x14ac:dyDescent="0.3">
      <c r="A253" s="13" t="s">
        <v>72</v>
      </c>
      <c r="B253" s="560" t="s">
        <v>566</v>
      </c>
      <c r="C253" s="561"/>
      <c r="D253" s="561"/>
      <c r="E253" s="562"/>
    </row>
    <row r="254" spans="1:5" ht="15.75" thickBot="1" x14ac:dyDescent="0.3">
      <c r="A254" s="13" t="s">
        <v>74</v>
      </c>
      <c r="B254" s="572" t="s">
        <v>545</v>
      </c>
      <c r="C254" s="573"/>
      <c r="D254" s="573"/>
      <c r="E254" s="574"/>
    </row>
    <row r="255" spans="1:5" x14ac:dyDescent="0.25">
      <c r="A255" s="549"/>
      <c r="B255" s="14">
        <v>2018</v>
      </c>
      <c r="C255" s="14">
        <v>2019</v>
      </c>
      <c r="D255" s="14">
        <v>2020</v>
      </c>
      <c r="E255" s="14">
        <v>2021</v>
      </c>
    </row>
    <row r="256" spans="1:5" ht="15.75" thickBot="1" x14ac:dyDescent="0.3">
      <c r="A256" s="550"/>
      <c r="B256" s="15" t="s">
        <v>41</v>
      </c>
      <c r="C256" s="15" t="s">
        <v>42</v>
      </c>
      <c r="D256" s="15" t="s">
        <v>42</v>
      </c>
      <c r="E256" s="15" t="s">
        <v>42</v>
      </c>
    </row>
    <row r="257" spans="1:5" ht="15.75" thickBot="1" x14ac:dyDescent="0.3">
      <c r="A257" s="13" t="s">
        <v>76</v>
      </c>
      <c r="B257" s="16">
        <v>1</v>
      </c>
      <c r="C257" s="16">
        <v>5</v>
      </c>
      <c r="D257" s="16">
        <v>10</v>
      </c>
      <c r="E257" s="16">
        <v>25</v>
      </c>
    </row>
    <row r="258" spans="1:5" ht="15.75" thickBot="1" x14ac:dyDescent="0.3">
      <c r="A258" s="13" t="s">
        <v>77</v>
      </c>
      <c r="B258" s="16">
        <f>6402300/1000</f>
        <v>6402.3</v>
      </c>
      <c r="C258" s="16">
        <f>6161233/1000</f>
        <v>6161.2330000000002</v>
      </c>
      <c r="D258" s="16">
        <f>6612796/1000</f>
        <v>6612.7960000000003</v>
      </c>
      <c r="E258" s="16">
        <f>6640385/1000</f>
        <v>6640.3850000000002</v>
      </c>
    </row>
    <row r="259" spans="1:5" ht="15.75" thickBot="1" x14ac:dyDescent="0.3">
      <c r="A259" s="13" t="s">
        <v>78</v>
      </c>
      <c r="B259" s="16">
        <f>B258/B257</f>
        <v>6402.3</v>
      </c>
      <c r="C259" s="16">
        <f t="shared" ref="C259:E259" si="22">C258/C257</f>
        <v>1232.2465999999999</v>
      </c>
      <c r="D259" s="16">
        <f t="shared" si="22"/>
        <v>661.27960000000007</v>
      </c>
      <c r="E259" s="16">
        <f t="shared" si="22"/>
        <v>265.61540000000002</v>
      </c>
    </row>
    <row r="260" spans="1:5" ht="15.75" thickBot="1" x14ac:dyDescent="0.3">
      <c r="A260" s="13" t="s">
        <v>79</v>
      </c>
      <c r="B260" s="57"/>
      <c r="C260" s="10">
        <f>C257/B257-1</f>
        <v>4</v>
      </c>
      <c r="D260" s="10">
        <f t="shared" ref="D260:E262" si="23">D257/C257-1</f>
        <v>1</v>
      </c>
      <c r="E260" s="10">
        <f t="shared" si="23"/>
        <v>1.5</v>
      </c>
    </row>
    <row r="261" spans="1:5" ht="15.75" thickBot="1" x14ac:dyDescent="0.3">
      <c r="A261" s="13" t="s">
        <v>81</v>
      </c>
      <c r="B261" s="57"/>
      <c r="C261" s="10">
        <f>C258/B258-1</f>
        <v>-3.7653187135873067E-2</v>
      </c>
      <c r="D261" s="10">
        <f t="shared" si="23"/>
        <v>7.329101171794683E-2</v>
      </c>
      <c r="E261" s="10">
        <f t="shared" si="23"/>
        <v>4.172062770422702E-3</v>
      </c>
    </row>
    <row r="262" spans="1:5" ht="15.75" thickBot="1" x14ac:dyDescent="0.3">
      <c r="A262" s="13" t="s">
        <v>82</v>
      </c>
      <c r="B262" s="57"/>
      <c r="C262" s="10">
        <f>C259/B259-1</f>
        <v>-0.80753063742717468</v>
      </c>
      <c r="D262" s="10">
        <f t="shared" si="23"/>
        <v>-0.46335449414102658</v>
      </c>
      <c r="E262" s="10">
        <f t="shared" si="23"/>
        <v>-0.59833117489183096</v>
      </c>
    </row>
    <row r="263" spans="1:5" ht="15.75" customHeight="1" thickBot="1" x14ac:dyDescent="0.3">
      <c r="A263" s="522" t="s">
        <v>561</v>
      </c>
      <c r="B263" s="523"/>
      <c r="C263" s="523"/>
      <c r="D263" s="523"/>
      <c r="E263" s="524"/>
    </row>
    <row r="264" spans="1:5" x14ac:dyDescent="0.25">
      <c r="A264" s="549"/>
      <c r="B264" s="14">
        <v>2018</v>
      </c>
      <c r="C264" s="14">
        <v>2019</v>
      </c>
      <c r="D264" s="14">
        <v>2020</v>
      </c>
      <c r="E264" s="14">
        <v>2021</v>
      </c>
    </row>
    <row r="265" spans="1:5" ht="15.75" thickBot="1" x14ac:dyDescent="0.3">
      <c r="A265" s="550"/>
      <c r="B265" s="15" t="s">
        <v>41</v>
      </c>
      <c r="C265" s="15" t="s">
        <v>42</v>
      </c>
      <c r="D265" s="15" t="s">
        <v>42</v>
      </c>
      <c r="E265" s="15" t="s">
        <v>42</v>
      </c>
    </row>
    <row r="266" spans="1:5" ht="15.75" thickBot="1" x14ac:dyDescent="0.3">
      <c r="A266" s="17" t="s">
        <v>84</v>
      </c>
      <c r="B266" s="18">
        <f>1329100/1000</f>
        <v>1329.1</v>
      </c>
      <c r="C266" s="18">
        <f>2751700/1000</f>
        <v>2751.7</v>
      </c>
      <c r="D266" s="18">
        <f>2889285/1000</f>
        <v>2889.2849999999999</v>
      </c>
      <c r="E266" s="18">
        <f>3033749/1000</f>
        <v>3033.7489999999998</v>
      </c>
    </row>
    <row r="267" spans="1:5" ht="24.75" thickBot="1" x14ac:dyDescent="0.3">
      <c r="A267" s="17" t="s">
        <v>85</v>
      </c>
      <c r="B267" s="18">
        <f>229200/1000</f>
        <v>229.2</v>
      </c>
      <c r="C267" s="18">
        <f>459533/1000</f>
        <v>459.53300000000002</v>
      </c>
      <c r="D267" s="18">
        <f>482511/1000</f>
        <v>482.51100000000002</v>
      </c>
      <c r="E267" s="18">
        <f>506636/1000</f>
        <v>506.63600000000002</v>
      </c>
    </row>
    <row r="268" spans="1:5" ht="15.75" thickBot="1" x14ac:dyDescent="0.3">
      <c r="A268" s="17" t="s">
        <v>86</v>
      </c>
      <c r="B268" s="19">
        <f>4844000/1000</f>
        <v>4844</v>
      </c>
      <c r="C268" s="18">
        <f>2950000/1000</f>
        <v>2950</v>
      </c>
      <c r="D268" s="18">
        <f>3241000/1000</f>
        <v>3241</v>
      </c>
      <c r="E268" s="18">
        <f>3100000/1000</f>
        <v>3100</v>
      </c>
    </row>
    <row r="269" spans="1:5" ht="15.75" thickBot="1" x14ac:dyDescent="0.3">
      <c r="A269" s="17" t="s">
        <v>87</v>
      </c>
      <c r="B269" s="19"/>
      <c r="C269" s="18"/>
      <c r="D269" s="18"/>
      <c r="E269" s="18"/>
    </row>
    <row r="270" spans="1:5" ht="15.75" thickBot="1" x14ac:dyDescent="0.3">
      <c r="A270" s="17" t="s">
        <v>88</v>
      </c>
      <c r="B270" s="19"/>
      <c r="C270" s="18"/>
      <c r="D270" s="18"/>
      <c r="E270" s="18"/>
    </row>
    <row r="271" spans="1:5" ht="15.75" thickBot="1" x14ac:dyDescent="0.3">
      <c r="A271" s="17" t="s">
        <v>89</v>
      </c>
      <c r="B271" s="19"/>
      <c r="C271" s="18"/>
      <c r="D271" s="18"/>
      <c r="E271" s="18"/>
    </row>
    <row r="272" spans="1:5" ht="24.75" thickBot="1" x14ac:dyDescent="0.3">
      <c r="A272" s="17" t="s">
        <v>90</v>
      </c>
      <c r="B272" s="19"/>
      <c r="C272" s="18"/>
      <c r="D272" s="18"/>
      <c r="E272" s="18"/>
    </row>
    <row r="273" spans="1:5" ht="24.75" thickBot="1" x14ac:dyDescent="0.3">
      <c r="A273" s="24" t="s">
        <v>120</v>
      </c>
      <c r="B273" s="31">
        <f>B272+B270+B271+B269+B268+B267+B266</f>
        <v>6402.2999999999993</v>
      </c>
      <c r="C273" s="31">
        <f>C272+C270+C271+C269+C268+C267+C266</f>
        <v>6161.2330000000002</v>
      </c>
      <c r="D273" s="31">
        <f>D272+D270+D271+D269+D268+D267+D266</f>
        <v>6612.7960000000003</v>
      </c>
      <c r="E273" s="31">
        <f>E272+E270+E271+E269+E268+E267+E266</f>
        <v>6640.3850000000002</v>
      </c>
    </row>
    <row r="274" spans="1:5" ht="15.75" thickBot="1" x14ac:dyDescent="0.3">
      <c r="A274" s="21" t="s">
        <v>92</v>
      </c>
      <c r="B274" s="22" t="str">
        <f>IF(B273-B258=0,0,"Error")</f>
        <v>Error</v>
      </c>
      <c r="C274" s="22">
        <f>IF(C273-C258=0,0,"Error")</f>
        <v>0</v>
      </c>
      <c r="D274" s="22">
        <f>IF(D273-D258=0,0,"Error")</f>
        <v>0</v>
      </c>
      <c r="E274" s="22">
        <f>IF(E273-E258=0,0,"Error")</f>
        <v>0</v>
      </c>
    </row>
    <row r="275" spans="1:5" ht="15.75" thickBot="1" x14ac:dyDescent="0.3">
      <c r="A275" s="48" t="s">
        <v>562</v>
      </c>
      <c r="B275" s="569" t="s">
        <v>567</v>
      </c>
      <c r="C275" s="570"/>
      <c r="D275" s="570"/>
      <c r="E275" s="571"/>
    </row>
    <row r="276" spans="1:5" ht="15.75" customHeight="1" thickBot="1" x14ac:dyDescent="0.3">
      <c r="A276" s="13" t="s">
        <v>72</v>
      </c>
      <c r="B276" s="560" t="s">
        <v>568</v>
      </c>
      <c r="C276" s="561"/>
      <c r="D276" s="561"/>
      <c r="E276" s="562"/>
    </row>
    <row r="277" spans="1:5" ht="15.75" thickBot="1" x14ac:dyDescent="0.3">
      <c r="A277" s="13" t="s">
        <v>74</v>
      </c>
      <c r="B277" s="572" t="s">
        <v>545</v>
      </c>
      <c r="C277" s="573"/>
      <c r="D277" s="573"/>
      <c r="E277" s="574"/>
    </row>
    <row r="278" spans="1:5" x14ac:dyDescent="0.25">
      <c r="A278" s="549"/>
      <c r="B278" s="14">
        <v>2018</v>
      </c>
      <c r="C278" s="14">
        <v>2019</v>
      </c>
      <c r="D278" s="14">
        <v>2020</v>
      </c>
      <c r="E278" s="14">
        <v>2021</v>
      </c>
    </row>
    <row r="279" spans="1:5" ht="15.75" thickBot="1" x14ac:dyDescent="0.3">
      <c r="A279" s="550"/>
      <c r="B279" s="15" t="s">
        <v>41</v>
      </c>
      <c r="C279" s="15" t="s">
        <v>42</v>
      </c>
      <c r="D279" s="15" t="s">
        <v>42</v>
      </c>
      <c r="E279" s="15" t="s">
        <v>42</v>
      </c>
    </row>
    <row r="280" spans="1:5" ht="15.75" thickBot="1" x14ac:dyDescent="0.3">
      <c r="A280" s="13" t="s">
        <v>76</v>
      </c>
      <c r="B280" s="16">
        <v>10</v>
      </c>
      <c r="C280" s="16">
        <v>15</v>
      </c>
      <c r="D280" s="16">
        <v>10</v>
      </c>
      <c r="E280" s="16">
        <v>10</v>
      </c>
    </row>
    <row r="281" spans="1:5" ht="15.75" thickBot="1" x14ac:dyDescent="0.3">
      <c r="A281" s="13" t="s">
        <v>77</v>
      </c>
      <c r="B281" s="16">
        <f>47227904/1000</f>
        <v>47227.904000000002</v>
      </c>
      <c r="C281" s="16">
        <f>51053166.54795/1000</f>
        <v>51053.166547950001</v>
      </c>
      <c r="D281" s="16">
        <f>58596001/1000</f>
        <v>58596.000999999997</v>
      </c>
      <c r="E281" s="16">
        <f>40747844/1000</f>
        <v>40747.843999999997</v>
      </c>
    </row>
    <row r="282" spans="1:5" ht="15.75" thickBot="1" x14ac:dyDescent="0.3">
      <c r="A282" s="13" t="s">
        <v>78</v>
      </c>
      <c r="B282" s="16">
        <f>B281/B280</f>
        <v>4722.7903999999999</v>
      </c>
      <c r="C282" s="16">
        <f t="shared" ref="C282:E282" si="24">C281/C280</f>
        <v>3403.54443653</v>
      </c>
      <c r="D282" s="16">
        <f t="shared" si="24"/>
        <v>5859.6000999999997</v>
      </c>
      <c r="E282" s="16">
        <f t="shared" si="24"/>
        <v>4074.7843999999996</v>
      </c>
    </row>
    <row r="283" spans="1:5" ht="15.75" thickBot="1" x14ac:dyDescent="0.3">
      <c r="A283" s="13" t="s">
        <v>79</v>
      </c>
      <c r="B283" s="57"/>
      <c r="C283" s="10">
        <f>C280/B280-1</f>
        <v>0.5</v>
      </c>
      <c r="D283" s="10">
        <f t="shared" ref="D283:E285" si="25">D280/C280-1</f>
        <v>-0.33333333333333337</v>
      </c>
      <c r="E283" s="10">
        <f t="shared" si="25"/>
        <v>0</v>
      </c>
    </row>
    <row r="284" spans="1:5" ht="15.75" thickBot="1" x14ac:dyDescent="0.3">
      <c r="A284" s="13" t="s">
        <v>81</v>
      </c>
      <c r="B284" s="57"/>
      <c r="C284" s="10">
        <f>C281/B281-1</f>
        <v>8.0995814422549772E-2</v>
      </c>
      <c r="D284" s="10">
        <f t="shared" si="25"/>
        <v>0.14774469366098253</v>
      </c>
      <c r="E284" s="10">
        <f t="shared" si="25"/>
        <v>-0.30459684441605495</v>
      </c>
    </row>
    <row r="285" spans="1:5" ht="15.75" thickBot="1" x14ac:dyDescent="0.3">
      <c r="A285" s="13" t="s">
        <v>82</v>
      </c>
      <c r="B285" s="57"/>
      <c r="C285" s="10">
        <f>C282/B282-1</f>
        <v>-0.27933612371830008</v>
      </c>
      <c r="D285" s="10">
        <f t="shared" si="25"/>
        <v>0.7216170404914739</v>
      </c>
      <c r="E285" s="10">
        <f t="shared" si="25"/>
        <v>-0.30459684441605495</v>
      </c>
    </row>
    <row r="286" spans="1:5" ht="15.75" customHeight="1" thickBot="1" x14ac:dyDescent="0.3">
      <c r="A286" s="522" t="s">
        <v>561</v>
      </c>
      <c r="B286" s="523"/>
      <c r="C286" s="523"/>
      <c r="D286" s="523"/>
      <c r="E286" s="524"/>
    </row>
    <row r="287" spans="1:5" x14ac:dyDescent="0.25">
      <c r="A287" s="549"/>
      <c r="B287" s="14">
        <v>2018</v>
      </c>
      <c r="C287" s="14">
        <v>2019</v>
      </c>
      <c r="D287" s="14">
        <v>2020</v>
      </c>
      <c r="E287" s="14">
        <v>2021</v>
      </c>
    </row>
    <row r="288" spans="1:5" ht="15.75" thickBot="1" x14ac:dyDescent="0.3">
      <c r="A288" s="550"/>
      <c r="B288" s="15" t="s">
        <v>41</v>
      </c>
      <c r="C288" s="15" t="s">
        <v>42</v>
      </c>
      <c r="D288" s="15" t="s">
        <v>42</v>
      </c>
      <c r="E288" s="15" t="s">
        <v>42</v>
      </c>
    </row>
    <row r="289" spans="1:5" ht="15.75" thickBot="1" x14ac:dyDescent="0.3">
      <c r="A289" s="17" t="s">
        <v>84</v>
      </c>
      <c r="B289" s="18">
        <f>3960637/1000</f>
        <v>3960.6370000000002</v>
      </c>
      <c r="C289" s="18">
        <f>4158668.85/1000</f>
        <v>4158.66885</v>
      </c>
      <c r="D289" s="18">
        <f>4366602/1000</f>
        <v>4366.6019999999999</v>
      </c>
      <c r="E289" s="52">
        <f>4582525/1000</f>
        <v>4582.5249999999996</v>
      </c>
    </row>
    <row r="290" spans="1:5" ht="24.75" thickBot="1" x14ac:dyDescent="0.3">
      <c r="A290" s="17" t="s">
        <v>85</v>
      </c>
      <c r="B290" s="18">
        <f>1157267/1000</f>
        <v>1157.2670000000001</v>
      </c>
      <c r="C290" s="18">
        <f>SUM(C289)*16.7%</f>
        <v>694.49769794999997</v>
      </c>
      <c r="D290" s="18">
        <f>729222/1000</f>
        <v>729.22199999999998</v>
      </c>
      <c r="E290" s="40">
        <f>765319/1000</f>
        <v>765.31899999999996</v>
      </c>
    </row>
    <row r="291" spans="1:5" ht="15.75" thickBot="1" x14ac:dyDescent="0.3">
      <c r="A291" s="17" t="s">
        <v>86</v>
      </c>
      <c r="B291" s="19">
        <f>42110000/1000</f>
        <v>42110</v>
      </c>
      <c r="C291" s="18">
        <f>46200000/1000</f>
        <v>46200</v>
      </c>
      <c r="D291" s="18">
        <f>53500177/1000</f>
        <v>53500.177000000003</v>
      </c>
      <c r="E291" s="18">
        <f>35400000/1000</f>
        <v>35400</v>
      </c>
    </row>
    <row r="292" spans="1:5" ht="15.75" thickBot="1" x14ac:dyDescent="0.3">
      <c r="A292" s="17" t="s">
        <v>87</v>
      </c>
      <c r="B292" s="19"/>
      <c r="C292" s="18"/>
      <c r="D292" s="18"/>
      <c r="E292" s="18"/>
    </row>
    <row r="293" spans="1:5" ht="15.75" thickBot="1" x14ac:dyDescent="0.3">
      <c r="A293" s="17" t="s">
        <v>88</v>
      </c>
      <c r="B293" s="19"/>
      <c r="C293" s="18"/>
      <c r="D293" s="18"/>
      <c r="E293" s="18"/>
    </row>
    <row r="294" spans="1:5" ht="15.75" thickBot="1" x14ac:dyDescent="0.3">
      <c r="A294" s="17" t="s">
        <v>89</v>
      </c>
      <c r="B294" s="19"/>
      <c r="C294" s="18"/>
      <c r="D294" s="18"/>
      <c r="E294" s="18"/>
    </row>
    <row r="295" spans="1:5" ht="24.75" thickBot="1" x14ac:dyDescent="0.3">
      <c r="A295" s="17" t="s">
        <v>90</v>
      </c>
      <c r="B295" s="19"/>
      <c r="C295" s="18"/>
      <c r="D295" s="18"/>
      <c r="E295" s="18"/>
    </row>
    <row r="296" spans="1:5" ht="24.75" thickBot="1" x14ac:dyDescent="0.3">
      <c r="A296" s="24" t="s">
        <v>120</v>
      </c>
      <c r="B296" s="31">
        <f>B295+B293+B294+B292+B291+B290+B289</f>
        <v>47227.904000000002</v>
      </c>
      <c r="C296" s="31">
        <f>C295+C293+C294+C292+C291+C290+C289</f>
        <v>51053.166547950001</v>
      </c>
      <c r="D296" s="31">
        <f>D295+D293+D294+D292+D291+D290+D289</f>
        <v>58596.001000000004</v>
      </c>
      <c r="E296" s="31">
        <f>E295+E293+E294+E292+E291+E290+E289</f>
        <v>40747.844000000005</v>
      </c>
    </row>
    <row r="297" spans="1:5" ht="15.75" thickBot="1" x14ac:dyDescent="0.3">
      <c r="A297" s="21" t="s">
        <v>92</v>
      </c>
      <c r="B297" s="22">
        <f>IF(B296-B281=0,0,"Error")</f>
        <v>0</v>
      </c>
      <c r="C297" s="22">
        <f t="shared" ref="C297:E297" si="26">IF(C296-C281=0,0,"Error")</f>
        <v>0</v>
      </c>
      <c r="D297" s="22" t="str">
        <f t="shared" si="26"/>
        <v>Error</v>
      </c>
      <c r="E297" s="22" t="str">
        <f t="shared" si="26"/>
        <v>Error</v>
      </c>
    </row>
    <row r="298" spans="1:5" ht="15.75" thickBot="1" x14ac:dyDescent="0.3">
      <c r="A298" s="1137" t="s">
        <v>104</v>
      </c>
      <c r="B298" s="1138"/>
      <c r="C298" s="1138"/>
      <c r="D298" s="1138"/>
      <c r="E298" s="1139"/>
    </row>
    <row r="299" spans="1:5" ht="15.75" thickBot="1" x14ac:dyDescent="0.3">
      <c r="A299" s="1137" t="s">
        <v>105</v>
      </c>
      <c r="B299" s="1138"/>
      <c r="C299" s="1138"/>
      <c r="D299" s="1138"/>
      <c r="E299" s="1139"/>
    </row>
    <row r="300" spans="1:5" ht="16.5" customHeight="1" thickBot="1" x14ac:dyDescent="0.3">
      <c r="A300" s="65" t="s">
        <v>257</v>
      </c>
      <c r="B300" s="1143" t="s">
        <v>258</v>
      </c>
      <c r="C300" s="1144"/>
      <c r="D300" s="1144"/>
      <c r="E300" s="1145"/>
    </row>
    <row r="301" spans="1:5" ht="16.5" thickBot="1" x14ac:dyDescent="0.3">
      <c r="A301" s="66" t="s">
        <v>569</v>
      </c>
      <c r="B301" s="1140" t="s">
        <v>258</v>
      </c>
      <c r="C301" s="1141"/>
      <c r="D301" s="1141"/>
      <c r="E301" s="1142"/>
    </row>
    <row r="302" spans="1:5" ht="16.5" customHeight="1" thickBot="1" x14ac:dyDescent="0.3">
      <c r="A302" s="65" t="s">
        <v>72</v>
      </c>
      <c r="B302" s="514" t="s">
        <v>570</v>
      </c>
      <c r="C302" s="515"/>
      <c r="D302" s="515"/>
      <c r="E302" s="516"/>
    </row>
    <row r="303" spans="1:5" ht="16.5" thickBot="1" x14ac:dyDescent="0.3">
      <c r="A303" s="65" t="s">
        <v>74</v>
      </c>
      <c r="B303" s="1140" t="s">
        <v>545</v>
      </c>
      <c r="C303" s="1141"/>
      <c r="D303" s="1141"/>
      <c r="E303" s="1142"/>
    </row>
    <row r="304" spans="1:5" x14ac:dyDescent="0.25">
      <c r="A304" s="549"/>
      <c r="B304" s="14">
        <v>2018</v>
      </c>
      <c r="C304" s="14">
        <v>2019</v>
      </c>
      <c r="D304" s="14">
        <v>2020</v>
      </c>
      <c r="E304" s="14">
        <v>2021</v>
      </c>
    </row>
    <row r="305" spans="1:5" ht="15.75" thickBot="1" x14ac:dyDescent="0.3">
      <c r="A305" s="550"/>
      <c r="B305" s="15" t="s">
        <v>41</v>
      </c>
      <c r="C305" s="15" t="s">
        <v>42</v>
      </c>
      <c r="D305" s="15" t="s">
        <v>42</v>
      </c>
      <c r="E305" s="15" t="s">
        <v>42</v>
      </c>
    </row>
    <row r="306" spans="1:5" ht="15.75" thickBot="1" x14ac:dyDescent="0.3">
      <c r="A306" s="13" t="s">
        <v>76</v>
      </c>
      <c r="B306" s="16">
        <v>20</v>
      </c>
      <c r="C306" s="16">
        <v>30</v>
      </c>
      <c r="D306" s="16">
        <v>35</v>
      </c>
      <c r="E306" s="16">
        <v>40</v>
      </c>
    </row>
    <row r="307" spans="1:5" ht="15.75" thickBot="1" x14ac:dyDescent="0.3">
      <c r="A307" s="13" t="s">
        <v>77</v>
      </c>
      <c r="B307" s="16">
        <f>4000000/1000</f>
        <v>4000</v>
      </c>
      <c r="C307" s="16">
        <f>5000000/1000</f>
        <v>5000</v>
      </c>
      <c r="D307" s="16">
        <f>5500000/1000</f>
        <v>5500</v>
      </c>
      <c r="E307" s="16">
        <f>6500000/1000</f>
        <v>6500</v>
      </c>
    </row>
    <row r="308" spans="1:5" ht="15.75" thickBot="1" x14ac:dyDescent="0.3">
      <c r="A308" s="13" t="s">
        <v>78</v>
      </c>
      <c r="B308" s="16">
        <f>B307/B306</f>
        <v>200</v>
      </c>
      <c r="C308" s="16">
        <f t="shared" ref="C308:E308" si="27">C307/C306</f>
        <v>166.66666666666666</v>
      </c>
      <c r="D308" s="16">
        <f t="shared" si="27"/>
        <v>157.14285714285714</v>
      </c>
      <c r="E308" s="16">
        <f t="shared" si="27"/>
        <v>162.5</v>
      </c>
    </row>
    <row r="309" spans="1:5" ht="15.75" thickBot="1" x14ac:dyDescent="0.3">
      <c r="A309" s="13" t="s">
        <v>79</v>
      </c>
      <c r="B309" s="57" t="s">
        <v>80</v>
      </c>
      <c r="C309" s="10">
        <f>C306/B306-1</f>
        <v>0.5</v>
      </c>
      <c r="D309" s="10">
        <f t="shared" ref="D309:E311" si="28">D306/C306-1</f>
        <v>0.16666666666666674</v>
      </c>
      <c r="E309" s="10">
        <f t="shared" si="28"/>
        <v>0.14285714285714279</v>
      </c>
    </row>
    <row r="310" spans="1:5" ht="15.75" thickBot="1" x14ac:dyDescent="0.3">
      <c r="A310" s="13" t="s">
        <v>81</v>
      </c>
      <c r="B310" s="57" t="s">
        <v>80</v>
      </c>
      <c r="C310" s="10">
        <f>C307/B307-1</f>
        <v>0.25</v>
      </c>
      <c r="D310" s="10">
        <f t="shared" si="28"/>
        <v>0.10000000000000009</v>
      </c>
      <c r="E310" s="10">
        <f t="shared" si="28"/>
        <v>0.18181818181818188</v>
      </c>
    </row>
    <row r="311" spans="1:5" ht="15.75" thickBot="1" x14ac:dyDescent="0.3">
      <c r="A311" s="13" t="s">
        <v>82</v>
      </c>
      <c r="B311" s="57" t="s">
        <v>80</v>
      </c>
      <c r="C311" s="10">
        <f>C308/B308-1</f>
        <v>-0.16666666666666674</v>
      </c>
      <c r="D311" s="10">
        <f t="shared" si="28"/>
        <v>-5.7142857142857162E-2</v>
      </c>
      <c r="E311" s="10">
        <f t="shared" si="28"/>
        <v>3.4090909090909172E-2</v>
      </c>
    </row>
    <row r="312" spans="1:5" ht="15.75" customHeight="1" thickBot="1" x14ac:dyDescent="0.3">
      <c r="A312" s="522" t="s">
        <v>83</v>
      </c>
      <c r="B312" s="523"/>
      <c r="C312" s="523"/>
      <c r="D312" s="523"/>
      <c r="E312" s="524"/>
    </row>
    <row r="313" spans="1:5" x14ac:dyDescent="0.25">
      <c r="A313" s="549"/>
      <c r="B313" s="14">
        <v>2018</v>
      </c>
      <c r="C313" s="14">
        <v>2019</v>
      </c>
      <c r="D313" s="14">
        <v>2020</v>
      </c>
      <c r="E313" s="14">
        <v>2021</v>
      </c>
    </row>
    <row r="314" spans="1:5" ht="15.75" thickBot="1" x14ac:dyDescent="0.3">
      <c r="A314" s="550"/>
      <c r="B314" s="15" t="s">
        <v>41</v>
      </c>
      <c r="C314" s="15" t="s">
        <v>42</v>
      </c>
      <c r="D314" s="15" t="s">
        <v>42</v>
      </c>
      <c r="E314" s="15" t="s">
        <v>42</v>
      </c>
    </row>
    <row r="315" spans="1:5" ht="15.75" thickBot="1" x14ac:dyDescent="0.3">
      <c r="A315" s="17" t="s">
        <v>169</v>
      </c>
      <c r="B315" s="18"/>
      <c r="C315" s="18"/>
      <c r="D315" s="18"/>
      <c r="E315" s="18"/>
    </row>
    <row r="316" spans="1:5" ht="15.75" thickBot="1" x14ac:dyDescent="0.3">
      <c r="A316" s="17" t="s">
        <v>112</v>
      </c>
      <c r="B316" s="16">
        <f>4000000/1000</f>
        <v>4000</v>
      </c>
      <c r="C316" s="16">
        <f>5000000/1000</f>
        <v>5000</v>
      </c>
      <c r="D316" s="16">
        <f>5500000/1000</f>
        <v>5500</v>
      </c>
      <c r="E316" s="16">
        <f>6500000/1000</f>
        <v>6500</v>
      </c>
    </row>
    <row r="317" spans="1:5" ht="15.75" thickBot="1" x14ac:dyDescent="0.3">
      <c r="A317" s="20" t="s">
        <v>91</v>
      </c>
      <c r="B317" s="19">
        <f>B316+B315</f>
        <v>4000</v>
      </c>
      <c r="C317" s="19">
        <f t="shared" ref="C317:E317" si="29">C316+C315</f>
        <v>5000</v>
      </c>
      <c r="D317" s="19">
        <f t="shared" si="29"/>
        <v>5500</v>
      </c>
      <c r="E317" s="19">
        <f t="shared" si="29"/>
        <v>6500</v>
      </c>
    </row>
    <row r="318" spans="1:5" ht="15.75" thickBot="1" x14ac:dyDescent="0.3">
      <c r="A318" s="23" t="s">
        <v>257</v>
      </c>
      <c r="B318" s="566" t="s">
        <v>107</v>
      </c>
      <c r="C318" s="567"/>
      <c r="D318" s="567"/>
      <c r="E318" s="568"/>
    </row>
    <row r="319" spans="1:5" ht="23.25" thickBot="1" x14ac:dyDescent="0.3">
      <c r="A319" s="12" t="s">
        <v>365</v>
      </c>
      <c r="B319" s="569" t="s">
        <v>364</v>
      </c>
      <c r="C319" s="570"/>
      <c r="D319" s="570"/>
      <c r="E319" s="571"/>
    </row>
    <row r="320" spans="1:5" ht="15.75" thickBot="1" x14ac:dyDescent="0.3">
      <c r="A320" s="13" t="s">
        <v>72</v>
      </c>
      <c r="B320" s="560" t="s">
        <v>364</v>
      </c>
      <c r="C320" s="561"/>
      <c r="D320" s="561"/>
      <c r="E320" s="562"/>
    </row>
    <row r="321" spans="1:5" ht="15.75" thickBot="1" x14ac:dyDescent="0.3">
      <c r="A321" s="13" t="s">
        <v>74</v>
      </c>
      <c r="B321" s="572" t="s">
        <v>364</v>
      </c>
      <c r="C321" s="573"/>
      <c r="D321" s="573"/>
      <c r="E321" s="574"/>
    </row>
    <row r="322" spans="1:5" x14ac:dyDescent="0.25">
      <c r="A322" s="549"/>
      <c r="B322" s="14">
        <v>2018</v>
      </c>
      <c r="C322" s="14">
        <v>2019</v>
      </c>
      <c r="D322" s="14">
        <v>2020</v>
      </c>
      <c r="E322" s="14">
        <v>2021</v>
      </c>
    </row>
    <row r="323" spans="1:5" ht="15.75" thickBot="1" x14ac:dyDescent="0.3">
      <c r="A323" s="550"/>
      <c r="B323" s="15" t="s">
        <v>41</v>
      </c>
      <c r="C323" s="15" t="s">
        <v>42</v>
      </c>
      <c r="D323" s="15" t="s">
        <v>42</v>
      </c>
      <c r="E323" s="15" t="s">
        <v>42</v>
      </c>
    </row>
    <row r="324" spans="1:5" ht="15.75" thickBot="1" x14ac:dyDescent="0.3">
      <c r="A324" s="13" t="s">
        <v>76</v>
      </c>
      <c r="B324" s="16"/>
      <c r="C324" s="16"/>
      <c r="D324" s="16"/>
      <c r="E324" s="16"/>
    </row>
    <row r="325" spans="1:5" ht="15.75" thickBot="1" x14ac:dyDescent="0.3">
      <c r="A325" s="13" t="s">
        <v>77</v>
      </c>
      <c r="B325" s="16"/>
      <c r="C325" s="16"/>
      <c r="D325" s="16"/>
      <c r="E325" s="16"/>
    </row>
    <row r="326" spans="1:5" ht="15.75" thickBot="1" x14ac:dyDescent="0.3">
      <c r="A326" s="13" t="s">
        <v>78</v>
      </c>
      <c r="B326" s="16" t="e">
        <f>B325/B324</f>
        <v>#DIV/0!</v>
      </c>
      <c r="C326" s="16" t="e">
        <f t="shared" ref="C326:E326" si="30">C325/C324</f>
        <v>#DIV/0!</v>
      </c>
      <c r="D326" s="16" t="e">
        <f t="shared" si="30"/>
        <v>#DIV/0!</v>
      </c>
      <c r="E326" s="16" t="e">
        <f t="shared" si="30"/>
        <v>#DIV/0!</v>
      </c>
    </row>
    <row r="327" spans="1:5" ht="15.75" thickBot="1" x14ac:dyDescent="0.3">
      <c r="A327" s="13" t="s">
        <v>79</v>
      </c>
      <c r="B327" s="57" t="s">
        <v>80</v>
      </c>
      <c r="C327" s="10" t="e">
        <f>C324/B324-1</f>
        <v>#DIV/0!</v>
      </c>
      <c r="D327" s="10" t="e">
        <f t="shared" ref="D327:E329" si="31">D324/C324-1</f>
        <v>#DIV/0!</v>
      </c>
      <c r="E327" s="10" t="e">
        <f t="shared" si="31"/>
        <v>#DIV/0!</v>
      </c>
    </row>
    <row r="328" spans="1:5" ht="15.75" thickBot="1" x14ac:dyDescent="0.3">
      <c r="A328" s="13" t="s">
        <v>81</v>
      </c>
      <c r="B328" s="57" t="s">
        <v>80</v>
      </c>
      <c r="C328" s="10" t="e">
        <f>C325/B325-1</f>
        <v>#DIV/0!</v>
      </c>
      <c r="D328" s="10" t="e">
        <f t="shared" si="31"/>
        <v>#DIV/0!</v>
      </c>
      <c r="E328" s="10" t="e">
        <f t="shared" si="31"/>
        <v>#DIV/0!</v>
      </c>
    </row>
    <row r="329" spans="1:5" ht="15.75" thickBot="1" x14ac:dyDescent="0.3">
      <c r="A329" s="13" t="s">
        <v>82</v>
      </c>
      <c r="B329" s="57" t="s">
        <v>80</v>
      </c>
      <c r="C329" s="10" t="e">
        <f>C326/B326-1</f>
        <v>#DIV/0!</v>
      </c>
      <c r="D329" s="10" t="e">
        <f t="shared" si="31"/>
        <v>#DIV/0!</v>
      </c>
      <c r="E329" s="10" t="e">
        <f t="shared" si="31"/>
        <v>#DIV/0!</v>
      </c>
    </row>
    <row r="330" spans="1:5" ht="15.75" customHeight="1" thickBot="1" x14ac:dyDescent="0.3">
      <c r="A330" s="522" t="s">
        <v>366</v>
      </c>
      <c r="B330" s="523"/>
      <c r="C330" s="523"/>
      <c r="D330" s="523"/>
      <c r="E330" s="524"/>
    </row>
    <row r="331" spans="1:5" x14ac:dyDescent="0.25">
      <c r="A331" s="549"/>
      <c r="B331" s="14">
        <v>2018</v>
      </c>
      <c r="C331" s="14">
        <v>2019</v>
      </c>
      <c r="D331" s="14">
        <v>2020</v>
      </c>
      <c r="E331" s="14">
        <v>2021</v>
      </c>
    </row>
    <row r="332" spans="1:5" ht="15.75" thickBot="1" x14ac:dyDescent="0.3">
      <c r="A332" s="550"/>
      <c r="B332" s="15" t="s">
        <v>41</v>
      </c>
      <c r="C332" s="15" t="s">
        <v>42</v>
      </c>
      <c r="D332" s="15" t="s">
        <v>42</v>
      </c>
      <c r="E332" s="15" t="s">
        <v>42</v>
      </c>
    </row>
    <row r="333" spans="1:5" ht="15.75" thickBot="1" x14ac:dyDescent="0.3">
      <c r="A333" s="17" t="s">
        <v>169</v>
      </c>
      <c r="B333" s="18"/>
      <c r="C333" s="18"/>
      <c r="D333" s="18"/>
      <c r="E333" s="18"/>
    </row>
    <row r="334" spans="1:5" ht="15.75" thickBot="1" x14ac:dyDescent="0.3">
      <c r="A334" s="17" t="s">
        <v>112</v>
      </c>
      <c r="B334" s="19"/>
      <c r="C334" s="18"/>
      <c r="D334" s="18"/>
      <c r="E334" s="18"/>
    </row>
    <row r="335" spans="1:5" ht="15.75" thickBot="1" x14ac:dyDescent="0.3">
      <c r="A335" s="20" t="s">
        <v>176</v>
      </c>
      <c r="B335" s="19">
        <f>B334+B333</f>
        <v>0</v>
      </c>
      <c r="C335" s="19">
        <f t="shared" ref="C335:E335" si="32">C334+C333</f>
        <v>0</v>
      </c>
      <c r="D335" s="19">
        <f t="shared" si="32"/>
        <v>0</v>
      </c>
      <c r="E335" s="19">
        <f t="shared" si="32"/>
        <v>0</v>
      </c>
    </row>
    <row r="336" spans="1:5" ht="15.75" thickBot="1" x14ac:dyDescent="0.3">
      <c r="A336" s="1137" t="s">
        <v>104</v>
      </c>
      <c r="B336" s="1138"/>
      <c r="C336" s="1138"/>
      <c r="D336" s="1138"/>
      <c r="E336" s="1139"/>
    </row>
    <row r="337" spans="1:5" ht="15.75" thickBot="1" x14ac:dyDescent="0.3">
      <c r="A337" s="1137" t="s">
        <v>170</v>
      </c>
      <c r="B337" s="1138"/>
      <c r="C337" s="1138"/>
      <c r="D337" s="1138"/>
      <c r="E337" s="1139"/>
    </row>
    <row r="338" spans="1:5" ht="15.75" thickBot="1" x14ac:dyDescent="0.3">
      <c r="A338" s="53" t="s">
        <v>257</v>
      </c>
      <c r="B338" s="1131" t="s">
        <v>107</v>
      </c>
      <c r="C338" s="1132"/>
      <c r="D338" s="1132"/>
      <c r="E338" s="1133"/>
    </row>
    <row r="339" spans="1:5" ht="23.25" customHeight="1" thickBot="1" x14ac:dyDescent="0.3">
      <c r="A339" s="67" t="s">
        <v>569</v>
      </c>
      <c r="B339" s="1128" t="s">
        <v>571</v>
      </c>
      <c r="C339" s="1129"/>
      <c r="D339" s="1129"/>
      <c r="E339" s="1130"/>
    </row>
    <row r="340" spans="1:5" ht="25.5" customHeight="1" thickBot="1" x14ac:dyDescent="0.3">
      <c r="A340" s="53" t="s">
        <v>72</v>
      </c>
      <c r="B340" s="1134" t="s">
        <v>572</v>
      </c>
      <c r="C340" s="1135"/>
      <c r="D340" s="1135"/>
      <c r="E340" s="1136"/>
    </row>
    <row r="341" spans="1:5" ht="15.75" thickBot="1" x14ac:dyDescent="0.3">
      <c r="A341" s="53" t="s">
        <v>74</v>
      </c>
      <c r="B341" s="1128" t="s">
        <v>573</v>
      </c>
      <c r="C341" s="1129"/>
      <c r="D341" s="1129"/>
      <c r="E341" s="1130"/>
    </row>
    <row r="342" spans="1:5" x14ac:dyDescent="0.25">
      <c r="A342" s="549"/>
      <c r="B342" s="14">
        <v>2018</v>
      </c>
      <c r="C342" s="14">
        <v>2019</v>
      </c>
      <c r="D342" s="14">
        <v>2020</v>
      </c>
      <c r="E342" s="14">
        <v>2021</v>
      </c>
    </row>
    <row r="343" spans="1:5" ht="15.75" thickBot="1" x14ac:dyDescent="0.3">
      <c r="A343" s="550"/>
      <c r="B343" s="15" t="s">
        <v>41</v>
      </c>
      <c r="C343" s="15" t="s">
        <v>42</v>
      </c>
      <c r="D343" s="15" t="s">
        <v>42</v>
      </c>
      <c r="E343" s="15" t="s">
        <v>42</v>
      </c>
    </row>
    <row r="344" spans="1:5" ht="15.75" thickBot="1" x14ac:dyDescent="0.3">
      <c r="A344" s="13" t="s">
        <v>76</v>
      </c>
      <c r="B344" s="16">
        <v>10</v>
      </c>
      <c r="C344" s="54">
        <v>10</v>
      </c>
      <c r="D344" s="16">
        <v>8</v>
      </c>
      <c r="E344" s="16">
        <v>6</v>
      </c>
    </row>
    <row r="345" spans="1:5" ht="15.75" thickBot="1" x14ac:dyDescent="0.3">
      <c r="A345" s="13" t="s">
        <v>77</v>
      </c>
      <c r="B345" s="16">
        <f>480200000/1000</f>
        <v>480200</v>
      </c>
      <c r="C345" s="18">
        <f>515700000/1000</f>
        <v>515700</v>
      </c>
      <c r="D345" s="16">
        <f>397969000/1000</f>
        <v>397969</v>
      </c>
      <c r="E345" s="16">
        <f>291969000/1000</f>
        <v>291969</v>
      </c>
    </row>
    <row r="346" spans="1:5" ht="15.75" thickBot="1" x14ac:dyDescent="0.3">
      <c r="A346" s="13" t="s">
        <v>78</v>
      </c>
      <c r="B346" s="16">
        <f>B345/B344</f>
        <v>48020</v>
      </c>
      <c r="C346" s="16">
        <f t="shared" ref="C346:E346" si="33">C345/C344</f>
        <v>51570</v>
      </c>
      <c r="D346" s="16">
        <f t="shared" si="33"/>
        <v>49746.125</v>
      </c>
      <c r="E346" s="16">
        <f t="shared" si="33"/>
        <v>48661.5</v>
      </c>
    </row>
    <row r="347" spans="1:5" ht="15.75" thickBot="1" x14ac:dyDescent="0.3">
      <c r="A347" s="13" t="s">
        <v>79</v>
      </c>
      <c r="B347" s="57" t="s">
        <v>80</v>
      </c>
      <c r="C347" s="10">
        <f>C344/B344-1</f>
        <v>0</v>
      </c>
      <c r="D347" s="10">
        <f t="shared" ref="D347:E349" si="34">D344/C344-1</f>
        <v>-0.19999999999999996</v>
      </c>
      <c r="E347" s="10">
        <f t="shared" si="34"/>
        <v>-0.25</v>
      </c>
    </row>
    <row r="348" spans="1:5" ht="15.75" thickBot="1" x14ac:dyDescent="0.3">
      <c r="A348" s="13" t="s">
        <v>81</v>
      </c>
      <c r="B348" s="57" t="s">
        <v>80</v>
      </c>
      <c r="C348" s="10">
        <f>C345/B345-1</f>
        <v>7.3927530195751823E-2</v>
      </c>
      <c r="D348" s="10">
        <f t="shared" si="34"/>
        <v>-0.22829358153965484</v>
      </c>
      <c r="E348" s="10">
        <f t="shared" si="34"/>
        <v>-0.26635240433300078</v>
      </c>
    </row>
    <row r="349" spans="1:5" ht="15.75" thickBot="1" x14ac:dyDescent="0.3">
      <c r="A349" s="13" t="s">
        <v>82</v>
      </c>
      <c r="B349" s="57" t="s">
        <v>80</v>
      </c>
      <c r="C349" s="10">
        <f>C346/B346-1</f>
        <v>7.3927530195751823E-2</v>
      </c>
      <c r="D349" s="10">
        <f t="shared" si="34"/>
        <v>-3.5366976924568583E-2</v>
      </c>
      <c r="E349" s="10">
        <f t="shared" si="34"/>
        <v>-2.1803205777334411E-2</v>
      </c>
    </row>
    <row r="350" spans="1:5" ht="15.75" customHeight="1" thickBot="1" x14ac:dyDescent="0.3">
      <c r="A350" s="522" t="s">
        <v>83</v>
      </c>
      <c r="B350" s="523"/>
      <c r="C350" s="523"/>
      <c r="D350" s="523"/>
      <c r="E350" s="524"/>
    </row>
    <row r="351" spans="1:5" x14ac:dyDescent="0.25">
      <c r="A351" s="549"/>
      <c r="B351" s="14">
        <v>2018</v>
      </c>
      <c r="C351" s="14">
        <v>2019</v>
      </c>
      <c r="D351" s="14">
        <v>2020</v>
      </c>
      <c r="E351" s="14">
        <v>2021</v>
      </c>
    </row>
    <row r="352" spans="1:5" ht="15.75" thickBot="1" x14ac:dyDescent="0.3">
      <c r="A352" s="550"/>
      <c r="B352" s="15" t="s">
        <v>41</v>
      </c>
      <c r="C352" s="15" t="s">
        <v>42</v>
      </c>
      <c r="D352" s="15" t="s">
        <v>42</v>
      </c>
      <c r="E352" s="15" t="s">
        <v>42</v>
      </c>
    </row>
    <row r="353" spans="1:5" ht="15.75" thickBot="1" x14ac:dyDescent="0.3">
      <c r="A353" s="30" t="s">
        <v>169</v>
      </c>
      <c r="B353" s="18"/>
      <c r="C353" s="18"/>
      <c r="D353" s="18"/>
      <c r="E353" s="18"/>
    </row>
    <row r="354" spans="1:5" ht="15.75" thickBot="1" x14ac:dyDescent="0.3">
      <c r="A354" s="55" t="s">
        <v>112</v>
      </c>
      <c r="B354" s="16">
        <f>480200000/1000</f>
        <v>480200</v>
      </c>
      <c r="C354" s="18">
        <f>515700000/1000</f>
        <v>515700</v>
      </c>
      <c r="D354" s="16">
        <f>397969000/1000</f>
        <v>397969</v>
      </c>
      <c r="E354" s="16">
        <f>291969000/1000</f>
        <v>291969</v>
      </c>
    </row>
    <row r="355" spans="1:5" ht="15.75" thickBot="1" x14ac:dyDescent="0.3">
      <c r="A355" s="41" t="s">
        <v>91</v>
      </c>
      <c r="B355" s="19">
        <f>B354+B353</f>
        <v>480200</v>
      </c>
      <c r="C355" s="19">
        <f t="shared" ref="C355:D355" si="35">C354+C353</f>
        <v>515700</v>
      </c>
      <c r="D355" s="19">
        <f t="shared" si="35"/>
        <v>397969</v>
      </c>
      <c r="E355" s="19">
        <f>E354+E353</f>
        <v>291969</v>
      </c>
    </row>
    <row r="356" spans="1:5" ht="15.75" thickBot="1" x14ac:dyDescent="0.3">
      <c r="A356" s="42" t="s">
        <v>257</v>
      </c>
      <c r="B356" s="1131" t="s">
        <v>107</v>
      </c>
      <c r="C356" s="1132"/>
      <c r="D356" s="1132"/>
      <c r="E356" s="1133"/>
    </row>
    <row r="357" spans="1:5" ht="15" customHeight="1" thickBot="1" x14ac:dyDescent="0.3">
      <c r="A357" s="12" t="s">
        <v>365</v>
      </c>
      <c r="B357" s="1128" t="s">
        <v>574</v>
      </c>
      <c r="C357" s="1129"/>
      <c r="D357" s="1129"/>
      <c r="E357" s="1130"/>
    </row>
    <row r="358" spans="1:5" ht="24" customHeight="1" thickBot="1" x14ac:dyDescent="0.3">
      <c r="A358" s="13" t="s">
        <v>72</v>
      </c>
      <c r="B358" s="1134" t="s">
        <v>575</v>
      </c>
      <c r="C358" s="1135"/>
      <c r="D358" s="1135"/>
      <c r="E358" s="1136"/>
    </row>
    <row r="359" spans="1:5" ht="15.75" thickBot="1" x14ac:dyDescent="0.3">
      <c r="A359" s="13" t="s">
        <v>74</v>
      </c>
      <c r="B359" s="1128" t="s">
        <v>560</v>
      </c>
      <c r="C359" s="1129"/>
      <c r="D359" s="1129"/>
      <c r="E359" s="1130"/>
    </row>
    <row r="360" spans="1:5" x14ac:dyDescent="0.25">
      <c r="A360" s="549"/>
      <c r="B360" s="14">
        <v>2018</v>
      </c>
      <c r="C360" s="14">
        <v>2019</v>
      </c>
      <c r="D360" s="14">
        <v>2020</v>
      </c>
      <c r="E360" s="14">
        <v>2021</v>
      </c>
    </row>
    <row r="361" spans="1:5" ht="15.75" thickBot="1" x14ac:dyDescent="0.3">
      <c r="A361" s="550"/>
      <c r="B361" s="15" t="s">
        <v>41</v>
      </c>
      <c r="C361" s="15" t="s">
        <v>42</v>
      </c>
      <c r="D361" s="15" t="s">
        <v>42</v>
      </c>
      <c r="E361" s="15" t="s">
        <v>42</v>
      </c>
    </row>
    <row r="362" spans="1:5" ht="15.75" thickBot="1" x14ac:dyDescent="0.3">
      <c r="A362" s="13" t="s">
        <v>76</v>
      </c>
      <c r="B362" s="16">
        <v>0</v>
      </c>
      <c r="C362" s="16">
        <v>35</v>
      </c>
      <c r="D362" s="16">
        <v>38</v>
      </c>
      <c r="E362" s="16">
        <v>40</v>
      </c>
    </row>
    <row r="363" spans="1:5" ht="15.75" thickBot="1" x14ac:dyDescent="0.3">
      <c r="A363" s="13" t="s">
        <v>77</v>
      </c>
      <c r="B363" s="16">
        <v>0</v>
      </c>
      <c r="C363" s="16">
        <f>150000000/1000</f>
        <v>150000</v>
      </c>
      <c r="D363" s="16">
        <f>160000000/1000</f>
        <v>160000</v>
      </c>
      <c r="E363" s="16">
        <f>170000000/1000</f>
        <v>170000</v>
      </c>
    </row>
    <row r="364" spans="1:5" ht="15.75" thickBot="1" x14ac:dyDescent="0.3">
      <c r="A364" s="13" t="s">
        <v>78</v>
      </c>
      <c r="B364" s="16" t="e">
        <f>B363/B362</f>
        <v>#DIV/0!</v>
      </c>
      <c r="C364" s="16">
        <f t="shared" ref="C364:E364" si="36">C363/C362</f>
        <v>4285.7142857142853</v>
      </c>
      <c r="D364" s="16">
        <f t="shared" si="36"/>
        <v>4210.5263157894733</v>
      </c>
      <c r="E364" s="16">
        <f t="shared" si="36"/>
        <v>4250</v>
      </c>
    </row>
    <row r="365" spans="1:5" ht="15.75" thickBot="1" x14ac:dyDescent="0.3">
      <c r="A365" s="13" t="s">
        <v>79</v>
      </c>
      <c r="B365" s="57" t="s">
        <v>80</v>
      </c>
      <c r="C365" s="10" t="e">
        <f>C362/B362-1</f>
        <v>#DIV/0!</v>
      </c>
      <c r="D365" s="10">
        <f t="shared" ref="D365:E367" si="37">D362/C362-1</f>
        <v>8.5714285714285632E-2</v>
      </c>
      <c r="E365" s="10">
        <f t="shared" si="37"/>
        <v>5.2631578947368363E-2</v>
      </c>
    </row>
    <row r="366" spans="1:5" ht="15.75" thickBot="1" x14ac:dyDescent="0.3">
      <c r="A366" s="13" t="s">
        <v>81</v>
      </c>
      <c r="B366" s="57" t="s">
        <v>80</v>
      </c>
      <c r="C366" s="10" t="e">
        <f>C363/B363-1</f>
        <v>#DIV/0!</v>
      </c>
      <c r="D366" s="10">
        <f t="shared" si="37"/>
        <v>6.6666666666666652E-2</v>
      </c>
      <c r="E366" s="10">
        <f t="shared" si="37"/>
        <v>6.25E-2</v>
      </c>
    </row>
    <row r="367" spans="1:5" ht="15.75" thickBot="1" x14ac:dyDescent="0.3">
      <c r="A367" s="13" t="s">
        <v>82</v>
      </c>
      <c r="B367" s="57" t="s">
        <v>80</v>
      </c>
      <c r="C367" s="10" t="e">
        <f>C364/B364-1</f>
        <v>#DIV/0!</v>
      </c>
      <c r="D367" s="10">
        <f t="shared" si="37"/>
        <v>-1.7543859649122862E-2</v>
      </c>
      <c r="E367" s="10">
        <f t="shared" si="37"/>
        <v>9.3750000000001332E-3</v>
      </c>
    </row>
    <row r="368" spans="1:5" ht="15.75" customHeight="1" thickBot="1" x14ac:dyDescent="0.3">
      <c r="A368" s="522" t="s">
        <v>366</v>
      </c>
      <c r="B368" s="523"/>
      <c r="C368" s="523"/>
      <c r="D368" s="523"/>
      <c r="E368" s="524"/>
    </row>
    <row r="369" spans="1:6" x14ac:dyDescent="0.25">
      <c r="A369" s="549"/>
      <c r="B369" s="14">
        <v>2018</v>
      </c>
      <c r="C369" s="14">
        <v>2019</v>
      </c>
      <c r="D369" s="14">
        <v>2020</v>
      </c>
      <c r="E369" s="14">
        <v>2021</v>
      </c>
    </row>
    <row r="370" spans="1:6" ht="15.75" thickBot="1" x14ac:dyDescent="0.3">
      <c r="A370" s="550"/>
      <c r="B370" s="15" t="s">
        <v>41</v>
      </c>
      <c r="C370" s="15" t="s">
        <v>42</v>
      </c>
      <c r="D370" s="15" t="s">
        <v>42</v>
      </c>
      <c r="E370" s="15" t="s">
        <v>42</v>
      </c>
    </row>
    <row r="371" spans="1:6" ht="15.75" thickBot="1" x14ac:dyDescent="0.3">
      <c r="A371" s="17" t="s">
        <v>169</v>
      </c>
      <c r="B371" s="18"/>
      <c r="C371" s="18"/>
      <c r="D371" s="18"/>
      <c r="E371" s="18"/>
    </row>
    <row r="372" spans="1:6" ht="15.75" thickBot="1" x14ac:dyDescent="0.3">
      <c r="A372" s="17" t="s">
        <v>112</v>
      </c>
      <c r="B372" s="19"/>
      <c r="C372" s="16">
        <f>150000000/1000</f>
        <v>150000</v>
      </c>
      <c r="D372" s="16">
        <f>160000000/1000</f>
        <v>160000</v>
      </c>
      <c r="E372" s="16">
        <f>170000000/1000</f>
        <v>170000</v>
      </c>
    </row>
    <row r="373" spans="1:6" ht="15.75" thickBot="1" x14ac:dyDescent="0.3">
      <c r="A373" s="20" t="s">
        <v>176</v>
      </c>
      <c r="B373" s="19">
        <f>B372+B371</f>
        <v>0</v>
      </c>
      <c r="C373" s="19">
        <f t="shared" ref="C373:E373" si="38">C372+C371</f>
        <v>150000</v>
      </c>
      <c r="D373" s="19">
        <f t="shared" si="38"/>
        <v>160000</v>
      </c>
      <c r="E373" s="19">
        <f t="shared" si="38"/>
        <v>170000</v>
      </c>
    </row>
    <row r="374" spans="1:6" ht="15.75" thickBot="1" x14ac:dyDescent="0.3">
      <c r="A374" s="26"/>
      <c r="B374" s="27"/>
      <c r="C374" s="27"/>
      <c r="D374" s="27"/>
      <c r="E374" s="27"/>
    </row>
    <row r="375" spans="1:6" ht="36.75" thickBot="1" x14ac:dyDescent="0.3">
      <c r="A375" s="29" t="s">
        <v>121</v>
      </c>
      <c r="B375" s="32">
        <f>B28+B51+B74+B187+B212+B235+B258+B281+B100+B363+B345+B307</f>
        <v>2204799.9998209998</v>
      </c>
      <c r="C375" s="32">
        <f>SUM(C28+C51+C74+C100+C187+C212+C235+C258+C281+C307+C345+C363)</f>
        <v>2670700.0002729502</v>
      </c>
      <c r="D375" s="32">
        <f>SUM(D28+D51+D74+D100+D187+D212+D235+D258+D281+D307+D345+D363)</f>
        <v>2678468.99969</v>
      </c>
      <c r="E375" s="32">
        <f>SUM(E28+E51+E74+E100+E187+E212+E235+E258+E281+E307+E345+E363)</f>
        <v>2628469.0001999997</v>
      </c>
    </row>
    <row r="376" spans="1:6" ht="24.75" thickBot="1" x14ac:dyDescent="0.3">
      <c r="A376" s="29" t="s">
        <v>122</v>
      </c>
      <c r="B376" s="32">
        <f>B378+B380+B382+B384+B386+B388+B390+B392+B394</f>
        <v>2204799.2416209998</v>
      </c>
      <c r="C376" s="32">
        <f>SUM(C43+C67+C89+C110+C204+C227+C250+C273+C296+C317+C355+C373)</f>
        <v>2670700.0002729502</v>
      </c>
      <c r="D376" s="32">
        <f>SUM(D43+D67+D89+D110+D204+D227+D250+D273+D296+D317+D355+D373)</f>
        <v>2678468.99969</v>
      </c>
      <c r="E376" s="32">
        <f>SUM(E43+E67+E89+E110+E204+E227+E250+E273+E296+E317+E355+E373)</f>
        <v>2628469.0001999997</v>
      </c>
      <c r="F376" s="68"/>
    </row>
    <row r="377" spans="1:6" ht="24.75" thickBot="1" x14ac:dyDescent="0.3">
      <c r="A377" s="33" t="s">
        <v>123</v>
      </c>
      <c r="B377" s="34"/>
      <c r="C377" s="35">
        <f>C376/B376-1</f>
        <v>0.21131210037491366</v>
      </c>
      <c r="D377" s="35">
        <f t="shared" ref="D377:E377" si="39">D376/C376-1</f>
        <v>2.9089749564743528E-3</v>
      </c>
      <c r="E377" s="35">
        <f t="shared" si="39"/>
        <v>-1.8667380319050575E-2</v>
      </c>
    </row>
    <row r="378" spans="1:6" ht="15.75" thickBot="1" x14ac:dyDescent="0.3">
      <c r="A378" s="17" t="s">
        <v>84</v>
      </c>
      <c r="B378" s="18">
        <f>B220+B197+B82+B36+B60+B243+B289+B266</f>
        <v>1061000</v>
      </c>
      <c r="C378" s="18">
        <f>C36+C60+C197+C220+C243+C266+C289</f>
        <v>1194820.06085</v>
      </c>
      <c r="D378" s="18">
        <f>D36+D60+D197+D220+D243+D266+D289</f>
        <v>1255560.3429999999</v>
      </c>
      <c r="E378" s="18">
        <f>E36+E60+E197+E220+E243+E266+E289</f>
        <v>1318263.2285499999</v>
      </c>
    </row>
    <row r="379" spans="1:6" ht="15.75" thickBot="1" x14ac:dyDescent="0.3">
      <c r="A379" s="36" t="s">
        <v>124</v>
      </c>
      <c r="B379" s="19"/>
      <c r="C379" s="37">
        <f>C378/B378-1</f>
        <v>0.12612635329877464</v>
      </c>
      <c r="D379" s="37">
        <f t="shared" ref="D379:E379" si="40">D378/C378-1</f>
        <v>5.0836342760087971E-2</v>
      </c>
      <c r="E379" s="37">
        <f t="shared" si="40"/>
        <v>4.9940160900733499E-2</v>
      </c>
    </row>
    <row r="380" spans="1:6" ht="24.75" thickBot="1" x14ac:dyDescent="0.3">
      <c r="A380" s="17" t="s">
        <v>85</v>
      </c>
      <c r="B380" s="18">
        <f>B37+B61+B198+B221+B267+B290</f>
        <v>178599.24162099999</v>
      </c>
      <c r="C380" s="18">
        <f>C37+C61+C198+C221+C267+C290</f>
        <v>198615.88219794998</v>
      </c>
      <c r="D380" s="18">
        <f>D37+D61+D198+D221+D267+D290</f>
        <v>208792.55449999997</v>
      </c>
      <c r="E380" s="18">
        <v>219974647.73999998</v>
      </c>
    </row>
    <row r="381" spans="1:6" ht="24.75" thickBot="1" x14ac:dyDescent="0.3">
      <c r="A381" s="36" t="s">
        <v>125</v>
      </c>
      <c r="B381" s="19"/>
      <c r="C381" s="37">
        <f>C380/B380-1</f>
        <v>0.11207573109087821</v>
      </c>
      <c r="D381" s="37">
        <f t="shared" ref="D381:E381" si="41">D380/C380-1</f>
        <v>5.1237958361796343E-2</v>
      </c>
      <c r="E381" s="37">
        <f t="shared" si="41"/>
        <v>1052.5559961262891</v>
      </c>
    </row>
    <row r="382" spans="1:6" ht="15.75" thickBot="1" x14ac:dyDescent="0.3">
      <c r="A382" s="17" t="s">
        <v>86</v>
      </c>
      <c r="B382" s="18">
        <f>B38+B199+B222+B245+B268+B291</f>
        <v>223000</v>
      </c>
      <c r="C382" s="18">
        <f>C38+C199+C222+C245+C268+C291</f>
        <v>317461.37</v>
      </c>
      <c r="D382" s="18">
        <f>D38+D199+D222+D245+D268+D291</f>
        <v>344682.08100000006</v>
      </c>
      <c r="E382" s="18">
        <f>E38+E199+E222+E245+E268+E291</f>
        <v>318562.12390999997</v>
      </c>
    </row>
    <row r="383" spans="1:6" ht="24.75" thickBot="1" x14ac:dyDescent="0.3">
      <c r="A383" s="36" t="s">
        <v>126</v>
      </c>
      <c r="B383" s="19"/>
      <c r="C383" s="37">
        <f>C382/B382-1</f>
        <v>0.42359358744394626</v>
      </c>
      <c r="D383" s="37">
        <f t="shared" ref="D383:E383" si="42">D382/C382-1</f>
        <v>8.5744955362600628E-2</v>
      </c>
      <c r="E383" s="37">
        <f t="shared" si="42"/>
        <v>-7.5779852013833304E-2</v>
      </c>
    </row>
    <row r="384" spans="1:6" ht="15.75" thickBot="1" x14ac:dyDescent="0.3">
      <c r="A384" s="17" t="s">
        <v>87</v>
      </c>
      <c r="B384" s="18">
        <f>B223+B200+B85+B39</f>
        <v>0</v>
      </c>
      <c r="C384" s="18">
        <f>C223+C200+C85+C39</f>
        <v>0</v>
      </c>
      <c r="D384" s="18">
        <f>D223+D200+D85+D39</f>
        <v>0</v>
      </c>
      <c r="E384" s="18">
        <f>E223+E200+E85+E39</f>
        <v>0</v>
      </c>
    </row>
    <row r="385" spans="1:5" ht="15.75" thickBot="1" x14ac:dyDescent="0.3">
      <c r="A385" s="36" t="s">
        <v>228</v>
      </c>
      <c r="B385" s="19"/>
      <c r="C385" s="37" t="e">
        <f>C384/B384-1</f>
        <v>#DIV/0!</v>
      </c>
      <c r="D385" s="37" t="e">
        <f t="shared" ref="D385:E385" si="43">D384/C384-1</f>
        <v>#DIV/0!</v>
      </c>
      <c r="E385" s="37" t="e">
        <f t="shared" si="43"/>
        <v>#DIV/0!</v>
      </c>
    </row>
    <row r="386" spans="1:5" ht="15.75" thickBot="1" x14ac:dyDescent="0.3">
      <c r="A386" s="17" t="s">
        <v>88</v>
      </c>
      <c r="B386" s="18">
        <f>B224+B201+B86+B40</f>
        <v>0</v>
      </c>
      <c r="C386" s="18">
        <f>C224+C201+C86+C40</f>
        <v>0</v>
      </c>
      <c r="D386" s="18">
        <f>D224+D201+D86+D40</f>
        <v>0</v>
      </c>
      <c r="E386" s="18">
        <f>E224+E201+E86+E40</f>
        <v>0</v>
      </c>
    </row>
    <row r="387" spans="1:5" ht="24.75" thickBot="1" x14ac:dyDescent="0.3">
      <c r="A387" s="36" t="s">
        <v>229</v>
      </c>
      <c r="B387" s="19"/>
      <c r="C387" s="37" t="e">
        <f>C386/B386-1</f>
        <v>#DIV/0!</v>
      </c>
      <c r="D387" s="37" t="e">
        <f t="shared" ref="D387:E387" si="44">D386/C386-1</f>
        <v>#DIV/0!</v>
      </c>
      <c r="E387" s="37" t="e">
        <f t="shared" si="44"/>
        <v>#DIV/0!</v>
      </c>
    </row>
    <row r="388" spans="1:5" ht="15.75" thickBot="1" x14ac:dyDescent="0.3">
      <c r="A388" s="17" t="s">
        <v>89</v>
      </c>
      <c r="B388" s="18">
        <f>B225+B202+B87+B41</f>
        <v>0</v>
      </c>
      <c r="C388" s="18">
        <f>C225+C202+C87+C41</f>
        <v>0</v>
      </c>
      <c r="D388" s="18">
        <f>D225+D202+D87+D41</f>
        <v>0</v>
      </c>
      <c r="E388" s="18">
        <f>E225+E202+E87+E41</f>
        <v>0</v>
      </c>
    </row>
    <row r="389" spans="1:5" ht="24.75" thickBot="1" x14ac:dyDescent="0.3">
      <c r="A389" s="36" t="s">
        <v>230</v>
      </c>
      <c r="B389" s="19"/>
      <c r="C389" s="37" t="e">
        <f>C388/B388-1</f>
        <v>#DIV/0!</v>
      </c>
      <c r="D389" s="37" t="e">
        <f t="shared" ref="D389:E389" si="45">D388/C388-1</f>
        <v>#DIV/0!</v>
      </c>
      <c r="E389" s="37" t="e">
        <f t="shared" si="45"/>
        <v>#DIV/0!</v>
      </c>
    </row>
    <row r="390" spans="1:5" ht="24.75" thickBot="1" x14ac:dyDescent="0.3">
      <c r="A390" s="17" t="s">
        <v>90</v>
      </c>
      <c r="B390" s="18">
        <f>B226+B203+B88+B42+B66</f>
        <v>218000</v>
      </c>
      <c r="C390" s="18">
        <f>C226+C203+C88+C42+C66</f>
        <v>239000</v>
      </c>
      <c r="D390" s="18">
        <f>D226+D203+D88+D42+D66</f>
        <v>250000</v>
      </c>
      <c r="E390" s="18">
        <f>E226+E203+E88+E42+E66</f>
        <v>253200</v>
      </c>
    </row>
    <row r="391" spans="1:5" ht="24.75" thickBot="1" x14ac:dyDescent="0.3">
      <c r="A391" s="36" t="s">
        <v>231</v>
      </c>
      <c r="B391" s="19"/>
      <c r="C391" s="37">
        <f>C390/B390-1</f>
        <v>9.6330275229357776E-2</v>
      </c>
      <c r="D391" s="37">
        <f t="shared" ref="D391:E391" si="46">D390/C390-1</f>
        <v>4.6025104602510414E-2</v>
      </c>
      <c r="E391" s="37">
        <f t="shared" si="46"/>
        <v>1.2799999999999923E-2</v>
      </c>
    </row>
    <row r="392" spans="1:5" ht="15.75" thickBot="1" x14ac:dyDescent="0.3">
      <c r="A392" s="17" t="s">
        <v>127</v>
      </c>
      <c r="B392" s="18">
        <f>B108+B129+B149+B167+B315+B333+B353+B371</f>
        <v>0</v>
      </c>
      <c r="C392" s="18">
        <f>C108+C129+C149+C167+C315+C333+C353+C371</f>
        <v>0</v>
      </c>
      <c r="D392" s="18">
        <f>D108+D129+D149+D167+D315+D333+D353+D371</f>
        <v>0</v>
      </c>
      <c r="E392" s="18">
        <f>E108+E129+E149+E167+E315+E333+E353+E371</f>
        <v>0</v>
      </c>
    </row>
    <row r="393" spans="1:5" ht="24.75" thickBot="1" x14ac:dyDescent="0.3">
      <c r="A393" s="36" t="s">
        <v>128</v>
      </c>
      <c r="B393" s="19"/>
      <c r="C393" s="37" t="e">
        <f>C392/B392-1</f>
        <v>#DIV/0!</v>
      </c>
      <c r="D393" s="37" t="e">
        <f t="shared" ref="D393:E393" si="47">D392/C392-1</f>
        <v>#DIV/0!</v>
      </c>
      <c r="E393" s="37" t="e">
        <f t="shared" si="47"/>
        <v>#DIV/0!</v>
      </c>
    </row>
    <row r="394" spans="1:5" ht="15.75" thickBot="1" x14ac:dyDescent="0.3">
      <c r="A394" s="17" t="s">
        <v>232</v>
      </c>
      <c r="B394" s="18">
        <f>B109+B130+B150+B168+B316+B334+B354+B372</f>
        <v>524200</v>
      </c>
      <c r="C394" s="18">
        <f>C109+C130+C150+C168+C316+C334+C354+C372</f>
        <v>720700</v>
      </c>
      <c r="D394" s="18">
        <f>D110+D317+D355+D373</f>
        <v>618469</v>
      </c>
      <c r="E394" s="18">
        <f>E109+E130+E150+E168+E316+E334+E354+E372</f>
        <v>518469</v>
      </c>
    </row>
    <row r="395" spans="1:5" ht="24.75" thickBot="1" x14ac:dyDescent="0.3">
      <c r="A395" s="36" t="s">
        <v>233</v>
      </c>
      <c r="B395" s="19"/>
      <c r="C395" s="37">
        <f>C394/B394-1</f>
        <v>0.37485692483784816</v>
      </c>
      <c r="D395" s="37">
        <f t="shared" ref="D395:E395" si="48">D394/C394-1</f>
        <v>-0.14184959067573188</v>
      </c>
      <c r="E395" s="37">
        <f t="shared" si="48"/>
        <v>-0.16168959155592277</v>
      </c>
    </row>
    <row r="396" spans="1:5" ht="15.75" thickBot="1" x14ac:dyDescent="0.3">
      <c r="A396" s="21" t="s">
        <v>92</v>
      </c>
      <c r="B396" s="22" t="str">
        <f>IF(B376-B375=0,0,"Error")</f>
        <v>Error</v>
      </c>
      <c r="C396" s="22">
        <f t="shared" ref="C396:E396" si="49">IF(C376-C375=0,0,"Error")</f>
        <v>0</v>
      </c>
      <c r="D396" s="22">
        <f t="shared" si="49"/>
        <v>0</v>
      </c>
      <c r="E396" s="22">
        <f t="shared" si="49"/>
        <v>0</v>
      </c>
    </row>
    <row r="397" spans="1:5" ht="43.5" customHeight="1" thickBot="1" x14ac:dyDescent="0.3">
      <c r="A397" s="28" t="s">
        <v>129</v>
      </c>
      <c r="B397" s="18">
        <v>1545</v>
      </c>
      <c r="C397" s="18">
        <v>1600</v>
      </c>
      <c r="D397" s="18">
        <v>1628</v>
      </c>
      <c r="E397" s="18">
        <v>1635</v>
      </c>
    </row>
    <row r="398" spans="1:5" ht="36.75" thickBot="1" x14ac:dyDescent="0.3">
      <c r="A398" s="28" t="s">
        <v>130</v>
      </c>
      <c r="B398" s="18">
        <v>100</v>
      </c>
      <c r="C398" s="18">
        <v>105</v>
      </c>
      <c r="D398" s="18">
        <v>110</v>
      </c>
      <c r="E398" s="18">
        <v>115</v>
      </c>
    </row>
  </sheetData>
  <mergeCells count="131">
    <mergeCell ref="A165:A166"/>
    <mergeCell ref="A164:E164"/>
    <mergeCell ref="A156:A157"/>
    <mergeCell ref="B206:E206"/>
    <mergeCell ref="B9:E9"/>
    <mergeCell ref="A10:A11"/>
    <mergeCell ref="B15:E15"/>
    <mergeCell ref="A16:E16"/>
    <mergeCell ref="A21:E21"/>
    <mergeCell ref="B22:E22"/>
    <mergeCell ref="B56:E56"/>
    <mergeCell ref="A57:E57"/>
    <mergeCell ref="A58:A59"/>
    <mergeCell ref="A92:E92"/>
    <mergeCell ref="B93:E93"/>
    <mergeCell ref="B94:E94"/>
    <mergeCell ref="B95:E95"/>
    <mergeCell ref="B96:E96"/>
    <mergeCell ref="A97:A98"/>
    <mergeCell ref="B69:E69"/>
    <mergeCell ref="B70:E70"/>
    <mergeCell ref="A72:A73"/>
    <mergeCell ref="A79:E79"/>
    <mergeCell ref="A80:A81"/>
    <mergeCell ref="A2:E2"/>
    <mergeCell ref="B4:E4"/>
    <mergeCell ref="B5:E5"/>
    <mergeCell ref="B6:E6"/>
    <mergeCell ref="A7:E7"/>
    <mergeCell ref="A8:E8"/>
    <mergeCell ref="B46:E46"/>
    <mergeCell ref="B47:E47"/>
    <mergeCell ref="A48:A49"/>
    <mergeCell ref="B23:E23"/>
    <mergeCell ref="B24:E24"/>
    <mergeCell ref="A25:A26"/>
    <mergeCell ref="A33:E33"/>
    <mergeCell ref="A34:A35"/>
    <mergeCell ref="B45:E45"/>
    <mergeCell ref="A91:E91"/>
    <mergeCell ref="B116:E116"/>
    <mergeCell ref="B117:E117"/>
    <mergeCell ref="A118:A119"/>
    <mergeCell ref="A126:E126"/>
    <mergeCell ref="A127:A128"/>
    <mergeCell ref="A132:E132"/>
    <mergeCell ref="A105:E105"/>
    <mergeCell ref="A106:A107"/>
    <mergeCell ref="A111:A113"/>
    <mergeCell ref="B111:E113"/>
    <mergeCell ref="B114:E114"/>
    <mergeCell ref="B115:E115"/>
    <mergeCell ref="A146:E146"/>
    <mergeCell ref="A147:A148"/>
    <mergeCell ref="B152:E152"/>
    <mergeCell ref="B153:E153"/>
    <mergeCell ref="B154:E154"/>
    <mergeCell ref="B155:E155"/>
    <mergeCell ref="A133:E133"/>
    <mergeCell ref="B134:E134"/>
    <mergeCell ref="B135:E135"/>
    <mergeCell ref="B136:E136"/>
    <mergeCell ref="B137:E137"/>
    <mergeCell ref="A138:A139"/>
    <mergeCell ref="A178:E178"/>
    <mergeCell ref="A179:A180"/>
    <mergeCell ref="B181:E181"/>
    <mergeCell ref="B182:E182"/>
    <mergeCell ref="B183:E183"/>
    <mergeCell ref="A184:A185"/>
    <mergeCell ref="B170:E170"/>
    <mergeCell ref="A171:E171"/>
    <mergeCell ref="A177:E177"/>
    <mergeCell ref="A217:E217"/>
    <mergeCell ref="A218:A219"/>
    <mergeCell ref="B229:E229"/>
    <mergeCell ref="B230:E230"/>
    <mergeCell ref="B231:E231"/>
    <mergeCell ref="A232:A233"/>
    <mergeCell ref="A192:A193"/>
    <mergeCell ref="A194:E194"/>
    <mergeCell ref="A195:A196"/>
    <mergeCell ref="B207:E207"/>
    <mergeCell ref="B208:E208"/>
    <mergeCell ref="A209:A210"/>
    <mergeCell ref="A263:E263"/>
    <mergeCell ref="A264:A265"/>
    <mergeCell ref="B275:E275"/>
    <mergeCell ref="B276:E276"/>
    <mergeCell ref="B277:E277"/>
    <mergeCell ref="A278:A279"/>
    <mergeCell ref="A240:E240"/>
    <mergeCell ref="A241:A242"/>
    <mergeCell ref="B252:E252"/>
    <mergeCell ref="B253:E253"/>
    <mergeCell ref="B254:E254"/>
    <mergeCell ref="A255:A256"/>
    <mergeCell ref="B302:E302"/>
    <mergeCell ref="B303:E303"/>
    <mergeCell ref="A304:A305"/>
    <mergeCell ref="A312:E312"/>
    <mergeCell ref="A313:A314"/>
    <mergeCell ref="B318:E318"/>
    <mergeCell ref="A286:E286"/>
    <mergeCell ref="A287:A288"/>
    <mergeCell ref="A298:E298"/>
    <mergeCell ref="A299:E299"/>
    <mergeCell ref="B300:E300"/>
    <mergeCell ref="B301:E301"/>
    <mergeCell ref="A336:E336"/>
    <mergeCell ref="A337:E337"/>
    <mergeCell ref="B338:E338"/>
    <mergeCell ref="B339:E339"/>
    <mergeCell ref="B340:E340"/>
    <mergeCell ref="B341:E341"/>
    <mergeCell ref="B319:E319"/>
    <mergeCell ref="B320:E320"/>
    <mergeCell ref="B321:E321"/>
    <mergeCell ref="A322:A323"/>
    <mergeCell ref="A330:E330"/>
    <mergeCell ref="A331:A332"/>
    <mergeCell ref="B359:E359"/>
    <mergeCell ref="A360:A361"/>
    <mergeCell ref="A368:E368"/>
    <mergeCell ref="A369:A370"/>
    <mergeCell ref="A342:A343"/>
    <mergeCell ref="A350:E350"/>
    <mergeCell ref="A351:A352"/>
    <mergeCell ref="B356:E356"/>
    <mergeCell ref="B357:E357"/>
    <mergeCell ref="B358:E358"/>
  </mergeCells>
  <hyperlinks>
    <hyperlink ref="B9:E9" r:id="rId1" display="xxxxx"/>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F185"/>
  <sheetViews>
    <sheetView view="pageBreakPreview" zoomScale="60" zoomScaleNormal="100" workbookViewId="0">
      <selection activeCell="O29" sqref="O29"/>
    </sheetView>
  </sheetViews>
  <sheetFormatPr defaultRowHeight="15" x14ac:dyDescent="0.25"/>
  <cols>
    <col min="1" max="1" width="44.28515625" style="1193" customWidth="1"/>
    <col min="2" max="5" width="13" style="1193" customWidth="1"/>
    <col min="6" max="16384" width="9.140625" style="1193"/>
  </cols>
  <sheetData>
    <row r="2" spans="1:6" ht="18" customHeight="1" x14ac:dyDescent="0.25">
      <c r="A2" s="1194" t="s">
        <v>32</v>
      </c>
      <c r="B2" s="1194"/>
      <c r="C2" s="1194"/>
      <c r="D2" s="1194"/>
      <c r="E2" s="1194"/>
      <c r="F2" s="1195"/>
    </row>
    <row r="3" spans="1:6" ht="18" customHeight="1" x14ac:dyDescent="0.25">
      <c r="A3" s="1196" t="s">
        <v>618</v>
      </c>
      <c r="B3" s="1196"/>
      <c r="C3" s="1196"/>
      <c r="D3" s="1196"/>
      <c r="E3" s="1196"/>
      <c r="F3" s="1197"/>
    </row>
    <row r="4" spans="1:6" ht="15.75" thickBot="1" x14ac:dyDescent="0.3"/>
    <row r="5" spans="1:6" ht="17.25" customHeight="1" thickBot="1" x14ac:dyDescent="0.3">
      <c r="A5" s="1198" t="s">
        <v>33</v>
      </c>
      <c r="B5" s="1199" t="s">
        <v>26</v>
      </c>
      <c r="C5" s="1199"/>
      <c r="D5" s="1199"/>
      <c r="E5" s="1199"/>
    </row>
    <row r="6" spans="1:6" ht="15.75" thickBot="1" x14ac:dyDescent="0.3">
      <c r="A6" s="1198" t="s">
        <v>5</v>
      </c>
      <c r="B6" s="1200" t="s">
        <v>30</v>
      </c>
      <c r="C6" s="1201"/>
      <c r="D6" s="1201"/>
      <c r="E6" s="1202"/>
    </row>
    <row r="7" spans="1:6" ht="45.75" customHeight="1" thickBot="1" x14ac:dyDescent="0.3">
      <c r="A7" s="1198" t="s">
        <v>35</v>
      </c>
      <c r="B7" s="1203" t="s">
        <v>36</v>
      </c>
      <c r="C7" s="1204"/>
      <c r="D7" s="1204"/>
      <c r="E7" s="1205"/>
    </row>
    <row r="8" spans="1:6" ht="15.75" customHeight="1" thickBot="1" x14ac:dyDescent="0.3">
      <c r="A8" s="1206" t="s">
        <v>6</v>
      </c>
      <c r="B8" s="1207"/>
      <c r="C8" s="1207"/>
      <c r="D8" s="1207"/>
      <c r="E8" s="1208"/>
    </row>
    <row r="9" spans="1:6" ht="15.75" customHeight="1" x14ac:dyDescent="0.25">
      <c r="A9" s="1209" t="s">
        <v>576</v>
      </c>
      <c r="B9" s="1210"/>
      <c r="C9" s="1210"/>
      <c r="D9" s="1210"/>
      <c r="E9" s="1211"/>
    </row>
    <row r="10" spans="1:6" ht="36.75" customHeight="1" x14ac:dyDescent="0.25">
      <c r="A10" s="1212"/>
      <c r="B10" s="1213"/>
      <c r="C10" s="1213"/>
      <c r="D10" s="1213"/>
      <c r="E10" s="1214"/>
    </row>
    <row r="11" spans="1:6" ht="15.75" customHeight="1" thickBot="1" x14ac:dyDescent="0.3">
      <c r="A11" s="1215"/>
      <c r="B11" s="1216"/>
      <c r="C11" s="1216"/>
      <c r="D11" s="1216"/>
      <c r="E11" s="1217"/>
    </row>
    <row r="12" spans="1:6" ht="50.25" customHeight="1" thickBot="1" x14ac:dyDescent="0.3">
      <c r="A12" s="1218" t="s">
        <v>38</v>
      </c>
      <c r="B12" s="1219" t="s">
        <v>577</v>
      </c>
      <c r="C12" s="1220"/>
      <c r="D12" s="1220"/>
      <c r="E12" s="1221"/>
    </row>
    <row r="13" spans="1:6" ht="23.25" customHeight="1" x14ac:dyDescent="0.25">
      <c r="A13" s="1222" t="s">
        <v>138</v>
      </c>
      <c r="B13" s="1223">
        <v>2018</v>
      </c>
      <c r="C13" s="1223">
        <v>2019</v>
      </c>
      <c r="D13" s="1223">
        <v>2020</v>
      </c>
      <c r="E13" s="1223">
        <v>2021</v>
      </c>
    </row>
    <row r="14" spans="1:6" ht="15.75" thickBot="1" x14ac:dyDescent="0.3">
      <c r="A14" s="1224"/>
      <c r="B14" s="1225" t="s">
        <v>41</v>
      </c>
      <c r="C14" s="1225" t="s">
        <v>42</v>
      </c>
      <c r="D14" s="1225" t="s">
        <v>42</v>
      </c>
      <c r="E14" s="1225" t="s">
        <v>42</v>
      </c>
    </row>
    <row r="15" spans="1:6" ht="42.75" customHeight="1" thickBot="1" x14ac:dyDescent="0.3">
      <c r="A15" s="1226" t="s">
        <v>578</v>
      </c>
      <c r="B15" s="1227">
        <v>-0.04</v>
      </c>
      <c r="C15" s="1228">
        <v>-5.0588756427876524E-2</v>
      </c>
      <c r="D15" s="1228">
        <v>-8.9352489702377552E-2</v>
      </c>
      <c r="E15" s="1228">
        <v>0.12371092273076133</v>
      </c>
    </row>
    <row r="16" spans="1:6" ht="48" customHeight="1" thickBot="1" x14ac:dyDescent="0.3">
      <c r="A16" s="1229" t="s">
        <v>579</v>
      </c>
      <c r="B16" s="1230">
        <v>-5.0000000000000001E-3</v>
      </c>
      <c r="C16" s="1228">
        <v>-2.6332605381688787E-2</v>
      </c>
      <c r="D16" s="1228">
        <v>-3.2848079633035765E-2</v>
      </c>
      <c r="E16" s="1228">
        <v>-6.6085628570621432E-2</v>
      </c>
    </row>
    <row r="17" spans="1:5" ht="49.5" customHeight="1" thickBot="1" x14ac:dyDescent="0.3">
      <c r="A17" s="1229" t="s">
        <v>580</v>
      </c>
      <c r="B17" s="1230">
        <v>7.2307692307692307E-4</v>
      </c>
      <c r="C17" s="1231">
        <v>7.2307692307692307E-4</v>
      </c>
      <c r="D17" s="1231">
        <v>1E-3</v>
      </c>
      <c r="E17" s="1231">
        <v>1E-3</v>
      </c>
    </row>
    <row r="18" spans="1:5" ht="38.25" customHeight="1" thickBot="1" x14ac:dyDescent="0.3">
      <c r="A18" s="1232" t="s">
        <v>45</v>
      </c>
      <c r="B18" s="1233" t="s">
        <v>581</v>
      </c>
      <c r="C18" s="1234"/>
      <c r="D18" s="1234"/>
      <c r="E18" s="1235"/>
    </row>
    <row r="19" spans="1:5" ht="15.75" thickBot="1" x14ac:dyDescent="0.3">
      <c r="A19" s="1236" t="s">
        <v>153</v>
      </c>
      <c r="B19" s="1237"/>
      <c r="C19" s="1237"/>
      <c r="D19" s="1237"/>
      <c r="E19" s="1238"/>
    </row>
    <row r="20" spans="1:5" ht="45" customHeight="1" thickBot="1" x14ac:dyDescent="0.3">
      <c r="A20" s="1226" t="s">
        <v>582</v>
      </c>
      <c r="B20" s="1239">
        <v>8.6337462746218369E-2</v>
      </c>
      <c r="C20" s="1240">
        <v>0.13008219963232079</v>
      </c>
      <c r="D20" s="1240">
        <v>0.17516188325997825</v>
      </c>
      <c r="E20" s="1240">
        <v>0.21758920923519021</v>
      </c>
    </row>
    <row r="21" spans="1:5" ht="41.25" customHeight="1" thickBot="1" x14ac:dyDescent="0.3">
      <c r="A21" s="1241" t="s">
        <v>583</v>
      </c>
      <c r="B21" s="1242" t="s">
        <v>584</v>
      </c>
      <c r="C21" s="1243">
        <v>40</v>
      </c>
      <c r="D21" s="1243">
        <v>60</v>
      </c>
      <c r="E21" s="1243">
        <v>80</v>
      </c>
    </row>
    <row r="22" spans="1:5" ht="15.75" thickBot="1" x14ac:dyDescent="0.3">
      <c r="A22" s="1241"/>
      <c r="B22" s="1240" t="s">
        <v>60</v>
      </c>
      <c r="C22" s="1240" t="s">
        <v>61</v>
      </c>
      <c r="D22" s="1240" t="s">
        <v>61</v>
      </c>
      <c r="E22" s="1240" t="s">
        <v>61</v>
      </c>
    </row>
    <row r="23" spans="1:5" ht="15.75" thickBot="1" x14ac:dyDescent="0.3">
      <c r="A23" s="1244" t="s">
        <v>68</v>
      </c>
      <c r="B23" s="1245"/>
      <c r="C23" s="1245"/>
      <c r="D23" s="1245"/>
      <c r="E23" s="1246"/>
    </row>
    <row r="24" spans="1:5" ht="15.75" thickBot="1" x14ac:dyDescent="0.3">
      <c r="A24" s="1244" t="s">
        <v>69</v>
      </c>
      <c r="B24" s="1245"/>
      <c r="C24" s="1245"/>
      <c r="D24" s="1245"/>
      <c r="E24" s="1246"/>
    </row>
    <row r="25" spans="1:5" ht="15.75" thickBot="1" x14ac:dyDescent="0.3">
      <c r="A25" s="1247" t="s">
        <v>70</v>
      </c>
      <c r="B25" s="1248" t="s">
        <v>585</v>
      </c>
      <c r="C25" s="1249"/>
      <c r="D25" s="1249"/>
      <c r="E25" s="1250"/>
    </row>
    <row r="26" spans="1:5" ht="15.75" thickBot="1" x14ac:dyDescent="0.3">
      <c r="A26" s="1241" t="s">
        <v>72</v>
      </c>
      <c r="B26" s="1251" t="s">
        <v>586</v>
      </c>
      <c r="C26" s="1252"/>
      <c r="D26" s="1252"/>
      <c r="E26" s="1253"/>
    </row>
    <row r="27" spans="1:5" ht="15.75" thickBot="1" x14ac:dyDescent="0.3">
      <c r="A27" s="1241" t="s">
        <v>74</v>
      </c>
      <c r="B27" s="1254" t="s">
        <v>587</v>
      </c>
      <c r="C27" s="1255"/>
      <c r="D27" s="1255"/>
      <c r="E27" s="1256"/>
    </row>
    <row r="28" spans="1:5" x14ac:dyDescent="0.25">
      <c r="A28" s="1257"/>
      <c r="B28" s="1258">
        <v>2018</v>
      </c>
      <c r="C28" s="1258">
        <v>2019</v>
      </c>
      <c r="D28" s="1258">
        <v>2020</v>
      </c>
      <c r="E28" s="1258">
        <v>2021</v>
      </c>
    </row>
    <row r="29" spans="1:5" ht="15.75" thickBot="1" x14ac:dyDescent="0.3">
      <c r="A29" s="1259"/>
      <c r="B29" s="1260" t="s">
        <v>41</v>
      </c>
      <c r="C29" s="1260" t="s">
        <v>42</v>
      </c>
      <c r="D29" s="1260" t="s">
        <v>42</v>
      </c>
      <c r="E29" s="1260" t="s">
        <v>42</v>
      </c>
    </row>
    <row r="30" spans="1:5" ht="15.75" thickBot="1" x14ac:dyDescent="0.3">
      <c r="A30" s="1241" t="s">
        <v>76</v>
      </c>
      <c r="B30" s="1261">
        <v>4086</v>
      </c>
      <c r="C30" s="1261">
        <v>4163.4365686554593</v>
      </c>
      <c r="D30" s="1261">
        <v>4230.1032353221262</v>
      </c>
      <c r="E30" s="1261">
        <v>4570.1915405411919</v>
      </c>
    </row>
    <row r="31" spans="1:5" ht="15.75" thickBot="1" x14ac:dyDescent="0.3">
      <c r="A31" s="1241" t="s">
        <v>77</v>
      </c>
      <c r="B31" s="1261">
        <v>259285048.33000031</v>
      </c>
      <c r="C31" s="1261">
        <v>243185980.10999966</v>
      </c>
      <c r="D31" s="1261">
        <v>236098821.30339965</v>
      </c>
      <c r="E31" s="1261">
        <v>248230892.02519566</v>
      </c>
    </row>
    <row r="32" spans="1:5" ht="15.75" thickBot="1" x14ac:dyDescent="0.3">
      <c r="A32" s="1241" t="s">
        <v>78</v>
      </c>
      <c r="B32" s="1261">
        <f>B31/B30</f>
        <v>63456.937917278585</v>
      </c>
      <c r="C32" s="1261">
        <f>C31/C30</f>
        <v>58409.915967216039</v>
      </c>
      <c r="D32" s="1261">
        <f>D31/D30</f>
        <v>55813.962016797093</v>
      </c>
      <c r="E32" s="1261">
        <f>E31/E30</f>
        <v>54315.205352596822</v>
      </c>
    </row>
    <row r="33" spans="1:5" ht="15.75" thickBot="1" x14ac:dyDescent="0.3">
      <c r="A33" s="1241" t="s">
        <v>79</v>
      </c>
      <c r="B33" s="1262" t="s">
        <v>80</v>
      </c>
      <c r="C33" s="1263">
        <f t="shared" ref="C33:E34" si="0">C30/B30-1</f>
        <v>1.8951681021894151E-2</v>
      </c>
      <c r="D33" s="1263">
        <f t="shared" si="0"/>
        <v>1.6012413199367304E-2</v>
      </c>
      <c r="E33" s="1263">
        <f t="shared" si="0"/>
        <v>8.0397164395248577E-2</v>
      </c>
    </row>
    <row r="34" spans="1:5" ht="15.75" thickBot="1" x14ac:dyDescent="0.3">
      <c r="A34" s="1241" t="s">
        <v>81</v>
      </c>
      <c r="B34" s="1262" t="s">
        <v>80</v>
      </c>
      <c r="C34" s="1263">
        <f t="shared" si="0"/>
        <v>-6.2090229744026226E-2</v>
      </c>
      <c r="D34" s="1263">
        <f t="shared" si="0"/>
        <v>-2.9142958008493314E-2</v>
      </c>
      <c r="E34" s="1263">
        <f t="shared" si="0"/>
        <v>5.138556243025727E-2</v>
      </c>
    </row>
    <row r="35" spans="1:5" ht="15.75" thickBot="1" x14ac:dyDescent="0.3">
      <c r="A35" s="1241" t="s">
        <v>82</v>
      </c>
      <c r="B35" s="1262" t="s">
        <v>80</v>
      </c>
      <c r="C35" s="1263">
        <f>C32/B32-1</f>
        <v>-7.9534596463538221E-2</v>
      </c>
      <c r="D35" s="1263">
        <f>D32/C32-1</f>
        <v>-4.444371999911767E-2</v>
      </c>
      <c r="E35" s="1263">
        <f>E32/D32-1</f>
        <v>-2.6852719463800523E-2</v>
      </c>
    </row>
    <row r="36" spans="1:5" ht="15.75" thickBot="1" x14ac:dyDescent="0.3">
      <c r="A36" s="1264" t="s">
        <v>588</v>
      </c>
      <c r="B36" s="1265"/>
      <c r="C36" s="1265"/>
      <c r="D36" s="1265"/>
      <c r="E36" s="1266"/>
    </row>
    <row r="37" spans="1:5" x14ac:dyDescent="0.25">
      <c r="A37" s="1222"/>
      <c r="B37" s="1258">
        <v>2018</v>
      </c>
      <c r="C37" s="1258">
        <v>2019</v>
      </c>
      <c r="D37" s="1258">
        <v>2020</v>
      </c>
      <c r="E37" s="1258">
        <v>2021</v>
      </c>
    </row>
    <row r="38" spans="1:5" ht="15.75" thickBot="1" x14ac:dyDescent="0.3">
      <c r="A38" s="1224"/>
      <c r="B38" s="1260" t="s">
        <v>41</v>
      </c>
      <c r="C38" s="1260" t="s">
        <v>42</v>
      </c>
      <c r="D38" s="1260" t="s">
        <v>42</v>
      </c>
      <c r="E38" s="1260" t="s">
        <v>42</v>
      </c>
    </row>
    <row r="39" spans="1:5" ht="15.75" thickBot="1" x14ac:dyDescent="0.3">
      <c r="A39" s="1267" t="s">
        <v>84</v>
      </c>
      <c r="B39" s="1268"/>
      <c r="C39" s="1268"/>
      <c r="D39" s="1268"/>
      <c r="E39" s="1268"/>
    </row>
    <row r="40" spans="1:5" ht="15.75" thickBot="1" x14ac:dyDescent="0.3">
      <c r="A40" s="1267" t="s">
        <v>85</v>
      </c>
      <c r="B40" s="1268"/>
      <c r="C40" s="1268"/>
      <c r="D40" s="1268"/>
      <c r="E40" s="1268"/>
    </row>
    <row r="41" spans="1:5" ht="15.75" thickBot="1" x14ac:dyDescent="0.3">
      <c r="A41" s="1267" t="s">
        <v>86</v>
      </c>
      <c r="B41" s="1269"/>
      <c r="C41" s="1268"/>
      <c r="D41" s="1268"/>
      <c r="E41" s="1268"/>
    </row>
    <row r="42" spans="1:5" ht="15.75" thickBot="1" x14ac:dyDescent="0.3">
      <c r="A42" s="1267" t="s">
        <v>87</v>
      </c>
      <c r="B42" s="1269"/>
      <c r="C42" s="1268"/>
      <c r="D42" s="1268"/>
      <c r="E42" s="1268"/>
    </row>
    <row r="43" spans="1:5" ht="15.75" thickBot="1" x14ac:dyDescent="0.3">
      <c r="A43" s="1267" t="s">
        <v>88</v>
      </c>
      <c r="B43" s="1269"/>
      <c r="C43" s="1268"/>
      <c r="D43" s="1268"/>
      <c r="E43" s="1268"/>
    </row>
    <row r="44" spans="1:5" ht="15.75" thickBot="1" x14ac:dyDescent="0.3">
      <c r="A44" s="1267" t="s">
        <v>89</v>
      </c>
      <c r="B44" s="1269"/>
      <c r="C44" s="1268"/>
      <c r="D44" s="1268"/>
      <c r="E44" s="1268"/>
    </row>
    <row r="45" spans="1:5" ht="15.75" thickBot="1" x14ac:dyDescent="0.3">
      <c r="A45" s="1267" t="s">
        <v>90</v>
      </c>
      <c r="B45" s="1269">
        <f>B31</f>
        <v>259285048.33000031</v>
      </c>
      <c r="C45" s="1269">
        <f>C31</f>
        <v>243185980.10999966</v>
      </c>
      <c r="D45" s="1269">
        <f>D31</f>
        <v>236098821.30339965</v>
      </c>
      <c r="E45" s="1269">
        <f>E31</f>
        <v>248230892.02519566</v>
      </c>
    </row>
    <row r="46" spans="1:5" ht="15.75" thickBot="1" x14ac:dyDescent="0.3">
      <c r="A46" s="1270" t="s">
        <v>91</v>
      </c>
      <c r="B46" s="1269">
        <f>B45+B44+B43+B42+B41+B40+B39</f>
        <v>259285048.33000031</v>
      </c>
      <c r="C46" s="1269">
        <f>C45+C44+C43+C42+C41+C40+C39</f>
        <v>243185980.10999966</v>
      </c>
      <c r="D46" s="1269">
        <f>D45+D44+D43+D42+D41+D40+D39</f>
        <v>236098821.30339965</v>
      </c>
      <c r="E46" s="1269">
        <f>E45+E44+E43+E42+E41+E40+E39</f>
        <v>248230892.02519566</v>
      </c>
    </row>
    <row r="47" spans="1:5" ht="15.75" thickBot="1" x14ac:dyDescent="0.3">
      <c r="A47" s="1271" t="s">
        <v>92</v>
      </c>
      <c r="B47" s="1272">
        <f>IF(B46-B31=0,0,"Error")</f>
        <v>0</v>
      </c>
      <c r="C47" s="1272">
        <f>IF(C46-C31=0,0,"Error")</f>
        <v>0</v>
      </c>
      <c r="D47" s="1272">
        <f>IF(D46-D31=0,0,"Error")</f>
        <v>0</v>
      </c>
      <c r="E47" s="1272">
        <f>IF(E46-E31=0,0,"Error")</f>
        <v>0</v>
      </c>
    </row>
    <row r="48" spans="1:5" ht="15.75" thickBot="1" x14ac:dyDescent="0.3">
      <c r="A48" s="1232" t="s">
        <v>589</v>
      </c>
      <c r="B48" s="1248" t="s">
        <v>590</v>
      </c>
      <c r="C48" s="1249"/>
      <c r="D48" s="1249"/>
      <c r="E48" s="1250"/>
    </row>
    <row r="49" spans="1:5" ht="15.75" thickBot="1" x14ac:dyDescent="0.3">
      <c r="A49" s="1241" t="s">
        <v>72</v>
      </c>
      <c r="B49" s="1251" t="s">
        <v>591</v>
      </c>
      <c r="C49" s="1252"/>
      <c r="D49" s="1252"/>
      <c r="E49" s="1253"/>
    </row>
    <row r="50" spans="1:5" ht="15.75" thickBot="1" x14ac:dyDescent="0.3">
      <c r="A50" s="1241" t="s">
        <v>74</v>
      </c>
      <c r="B50" s="1254" t="s">
        <v>587</v>
      </c>
      <c r="C50" s="1255"/>
      <c r="D50" s="1255"/>
      <c r="E50" s="1256"/>
    </row>
    <row r="51" spans="1:5" ht="15.75" thickBot="1" x14ac:dyDescent="0.3">
      <c r="A51" s="1241" t="s">
        <v>76</v>
      </c>
      <c r="B51" s="1261">
        <v>77.436568655459268</v>
      </c>
      <c r="C51" s="1261">
        <v>66.66666666666697</v>
      </c>
      <c r="D51" s="1261">
        <v>340.08830521906566</v>
      </c>
      <c r="E51" s="1261">
        <v>363.20695890410934</v>
      </c>
    </row>
    <row r="52" spans="1:5" x14ac:dyDescent="0.25">
      <c r="A52" s="1222"/>
      <c r="B52" s="1258">
        <v>2018</v>
      </c>
      <c r="C52" s="1258">
        <v>2019</v>
      </c>
      <c r="D52" s="1258">
        <v>2020</v>
      </c>
      <c r="E52" s="1258">
        <v>2021</v>
      </c>
    </row>
    <row r="53" spans="1:5" ht="15.75" thickBot="1" x14ac:dyDescent="0.3">
      <c r="A53" s="1224"/>
      <c r="B53" s="1260" t="s">
        <v>41</v>
      </c>
      <c r="C53" s="1260" t="s">
        <v>42</v>
      </c>
      <c r="D53" s="1260" t="s">
        <v>42</v>
      </c>
      <c r="E53" s="1260" t="s">
        <v>42</v>
      </c>
    </row>
    <row r="54" spans="1:5" ht="15.75" thickBot="1" x14ac:dyDescent="0.3">
      <c r="A54" s="1241" t="s">
        <v>77</v>
      </c>
      <c r="B54" s="1261">
        <v>9214951.6699996889</v>
      </c>
      <c r="C54" s="1261">
        <v>8000000</v>
      </c>
      <c r="D54" s="1261">
        <v>28000000</v>
      </c>
      <c r="E54" s="1261">
        <v>29769108</v>
      </c>
    </row>
    <row r="55" spans="1:5" ht="15.75" thickBot="1" x14ac:dyDescent="0.3">
      <c r="A55" s="1241" t="s">
        <v>78</v>
      </c>
      <c r="B55" s="1261">
        <f>B54/B51</f>
        <v>119000.00000000047</v>
      </c>
      <c r="C55" s="1261">
        <f>C54/C51</f>
        <v>119999.99999999945</v>
      </c>
      <c r="D55" s="1261">
        <f>D54/D51</f>
        <v>82331.557922769454</v>
      </c>
      <c r="E55" s="1261">
        <f>E54/E51</f>
        <v>81961.832696766622</v>
      </c>
    </row>
    <row r="56" spans="1:5" ht="15.75" thickBot="1" x14ac:dyDescent="0.3">
      <c r="A56" s="1241" t="s">
        <v>79</v>
      </c>
      <c r="B56" s="1262"/>
      <c r="C56" s="1263">
        <f>C51/B51-1</f>
        <v>-0.13908031019183109</v>
      </c>
      <c r="D56" s="1263">
        <f>D51/C51-1</f>
        <v>4.1013245782859613</v>
      </c>
      <c r="E56" s="1263">
        <f>E51/D51-1</f>
        <v>6.7978384820236437E-2</v>
      </c>
    </row>
    <row r="57" spans="1:5" ht="15.75" thickBot="1" x14ac:dyDescent="0.3">
      <c r="A57" s="1241" t="s">
        <v>81</v>
      </c>
      <c r="B57" s="1262"/>
      <c r="C57" s="1263">
        <f t="shared" ref="C57:E58" si="1">C54/B54-1</f>
        <v>-0.13184569094975296</v>
      </c>
      <c r="D57" s="1263">
        <f t="shared" si="1"/>
        <v>2.5</v>
      </c>
      <c r="E57" s="1263">
        <f t="shared" si="1"/>
        <v>6.3182428571428639E-2</v>
      </c>
    </row>
    <row r="58" spans="1:5" ht="15.75" thickBot="1" x14ac:dyDescent="0.3">
      <c r="A58" s="1241" t="s">
        <v>82</v>
      </c>
      <c r="B58" s="1262"/>
      <c r="C58" s="1263">
        <f t="shared" si="1"/>
        <v>8.4033613445291255E-3</v>
      </c>
      <c r="D58" s="1263">
        <f t="shared" si="1"/>
        <v>-0.31390368397691804</v>
      </c>
      <c r="E58" s="1263">
        <f t="shared" si="1"/>
        <v>-4.4906866252870659E-3</v>
      </c>
    </row>
    <row r="59" spans="1:5" ht="15.75" thickBot="1" x14ac:dyDescent="0.3">
      <c r="A59" s="1264" t="s">
        <v>592</v>
      </c>
      <c r="B59" s="1265"/>
      <c r="C59" s="1265"/>
      <c r="D59" s="1265"/>
      <c r="E59" s="1266"/>
    </row>
    <row r="60" spans="1:5" x14ac:dyDescent="0.25">
      <c r="A60" s="1222"/>
      <c r="B60" s="1258">
        <v>2018</v>
      </c>
      <c r="C60" s="1258">
        <v>2019</v>
      </c>
      <c r="D60" s="1258">
        <v>2020</v>
      </c>
      <c r="E60" s="1258">
        <v>2021</v>
      </c>
    </row>
    <row r="61" spans="1:5" ht="15.75" thickBot="1" x14ac:dyDescent="0.3">
      <c r="A61" s="1224"/>
      <c r="B61" s="1260" t="s">
        <v>41</v>
      </c>
      <c r="C61" s="1260" t="s">
        <v>42</v>
      </c>
      <c r="D61" s="1260" t="s">
        <v>42</v>
      </c>
      <c r="E61" s="1260" t="s">
        <v>42</v>
      </c>
    </row>
    <row r="62" spans="1:5" ht="15.75" thickBot="1" x14ac:dyDescent="0.3">
      <c r="A62" s="1267" t="s">
        <v>84</v>
      </c>
      <c r="B62" s="1268"/>
      <c r="C62" s="1268"/>
      <c r="D62" s="1268"/>
      <c r="E62" s="1268"/>
    </row>
    <row r="63" spans="1:5" ht="15.75" thickBot="1" x14ac:dyDescent="0.3">
      <c r="A63" s="1267" t="s">
        <v>85</v>
      </c>
      <c r="B63" s="1268"/>
      <c r="C63" s="1268"/>
      <c r="D63" s="1268"/>
      <c r="E63" s="1268"/>
    </row>
    <row r="64" spans="1:5" ht="15.75" thickBot="1" x14ac:dyDescent="0.3">
      <c r="A64" s="1267" t="s">
        <v>86</v>
      </c>
      <c r="B64" s="1269"/>
      <c r="C64" s="1268"/>
      <c r="D64" s="1268"/>
      <c r="E64" s="1268"/>
    </row>
    <row r="65" spans="1:5" ht="15.75" thickBot="1" x14ac:dyDescent="0.3">
      <c r="A65" s="1267" t="s">
        <v>87</v>
      </c>
      <c r="B65" s="1269"/>
      <c r="C65" s="1268"/>
      <c r="D65" s="1268"/>
      <c r="E65" s="1268"/>
    </row>
    <row r="66" spans="1:5" ht="15.75" thickBot="1" x14ac:dyDescent="0.3">
      <c r="A66" s="1267" t="s">
        <v>88</v>
      </c>
      <c r="B66" s="1269"/>
      <c r="C66" s="1268"/>
      <c r="D66" s="1268"/>
      <c r="E66" s="1268"/>
    </row>
    <row r="67" spans="1:5" ht="15.75" thickBot="1" x14ac:dyDescent="0.3">
      <c r="A67" s="1267" t="s">
        <v>89</v>
      </c>
      <c r="B67" s="1269"/>
      <c r="C67" s="1268"/>
      <c r="D67" s="1268"/>
      <c r="E67" s="1268"/>
    </row>
    <row r="68" spans="1:5" ht="15.75" thickBot="1" x14ac:dyDescent="0.3">
      <c r="A68" s="1267" t="s">
        <v>90</v>
      </c>
      <c r="B68" s="1269">
        <f>B54</f>
        <v>9214951.6699996889</v>
      </c>
      <c r="C68" s="1269">
        <f>C54</f>
        <v>8000000</v>
      </c>
      <c r="D68" s="1269">
        <f>D54</f>
        <v>28000000</v>
      </c>
      <c r="E68" s="1269">
        <f>E54</f>
        <v>29769108</v>
      </c>
    </row>
    <row r="69" spans="1:5" ht="15.75" thickBot="1" x14ac:dyDescent="0.3">
      <c r="A69" s="1273" t="s">
        <v>98</v>
      </c>
      <c r="B69" s="1269">
        <f>B68+B67+B66+B65+B64+B63+B62</f>
        <v>9214951.6699996889</v>
      </c>
      <c r="C69" s="1269">
        <f>C68+C67+C66+C65+C64+C63+C62</f>
        <v>8000000</v>
      </c>
      <c r="D69" s="1269">
        <f>D68+D67+D66+D65+D64+D63+D62</f>
        <v>28000000</v>
      </c>
      <c r="E69" s="1269">
        <f>E68+E67+E66+E65+E64+E63+E62</f>
        <v>29769108</v>
      </c>
    </row>
    <row r="70" spans="1:5" ht="15.75" thickBot="1" x14ac:dyDescent="0.3">
      <c r="A70" s="1271" t="s">
        <v>92</v>
      </c>
      <c r="B70" s="1272">
        <f>IF(B69-B54=0,0,"Error")</f>
        <v>0</v>
      </c>
      <c r="C70" s="1272">
        <f>IF(C69-C54=0,0,"Error")</f>
        <v>0</v>
      </c>
      <c r="D70" s="1272">
        <f>IF(D69-D54=0,0,"Error")</f>
        <v>0</v>
      </c>
      <c r="E70" s="1272">
        <f>IF(E69-E54=0,0,"Error")</f>
        <v>0</v>
      </c>
    </row>
    <row r="71" spans="1:5" ht="15.75" thickBot="1" x14ac:dyDescent="0.3">
      <c r="A71" s="1274" t="s">
        <v>593</v>
      </c>
      <c r="B71" s="1254" t="s">
        <v>594</v>
      </c>
      <c r="C71" s="1255"/>
      <c r="D71" s="1255"/>
      <c r="E71" s="1256"/>
    </row>
    <row r="72" spans="1:5" ht="15.75" thickBot="1" x14ac:dyDescent="0.3">
      <c r="A72" s="1241" t="s">
        <v>72</v>
      </c>
      <c r="B72" s="1254" t="s">
        <v>595</v>
      </c>
      <c r="C72" s="1255"/>
      <c r="D72" s="1255"/>
      <c r="E72" s="1256"/>
    </row>
    <row r="73" spans="1:5" ht="15.75" thickBot="1" x14ac:dyDescent="0.3">
      <c r="A73" s="1241" t="s">
        <v>74</v>
      </c>
      <c r="B73" s="1254" t="s">
        <v>596</v>
      </c>
      <c r="C73" s="1255"/>
      <c r="D73" s="1255"/>
      <c r="E73" s="1256"/>
    </row>
    <row r="74" spans="1:5" ht="15.75" thickBot="1" x14ac:dyDescent="0.3">
      <c r="A74" s="1241" t="s">
        <v>76</v>
      </c>
      <c r="B74" s="1261">
        <v>381</v>
      </c>
      <c r="C74" s="1261">
        <v>691.72448275862064</v>
      </c>
      <c r="D74" s="1261">
        <v>455.35298333333333</v>
      </c>
      <c r="E74" s="1261">
        <v>390.33333333333331</v>
      </c>
    </row>
    <row r="75" spans="1:5" x14ac:dyDescent="0.25">
      <c r="A75" s="1222"/>
      <c r="B75" s="1258">
        <v>2018</v>
      </c>
      <c r="C75" s="1258">
        <v>2019</v>
      </c>
      <c r="D75" s="1258">
        <v>2020</v>
      </c>
      <c r="E75" s="1258">
        <v>2021</v>
      </c>
    </row>
    <row r="76" spans="1:5" ht="15.75" thickBot="1" x14ac:dyDescent="0.3">
      <c r="A76" s="1224"/>
      <c r="B76" s="1260" t="s">
        <v>41</v>
      </c>
      <c r="C76" s="1260" t="s">
        <v>42</v>
      </c>
      <c r="D76" s="1260" t="s">
        <v>42</v>
      </c>
      <c r="E76" s="1260" t="s">
        <v>42</v>
      </c>
    </row>
    <row r="77" spans="1:5" ht="15.75" thickBot="1" x14ac:dyDescent="0.3">
      <c r="A77" s="1241" t="s">
        <v>77</v>
      </c>
      <c r="B77" s="1261">
        <v>31500000</v>
      </c>
      <c r="C77" s="1261">
        <v>48814020</v>
      </c>
      <c r="D77" s="1261">
        <v>35901179</v>
      </c>
      <c r="E77" s="1261">
        <v>32000000</v>
      </c>
    </row>
    <row r="78" spans="1:5" ht="15.75" thickBot="1" x14ac:dyDescent="0.3">
      <c r="A78" s="1241" t="s">
        <v>78</v>
      </c>
      <c r="B78" s="1261">
        <f>B77/B74</f>
        <v>82677.165354330704</v>
      </c>
      <c r="C78" s="1261">
        <f>C77/C74</f>
        <v>70568.587951850481</v>
      </c>
      <c r="D78" s="1261">
        <f>D77/D74</f>
        <v>78842.525060869448</v>
      </c>
      <c r="E78" s="1261">
        <f>E77/E74</f>
        <v>81981.212638770288</v>
      </c>
    </row>
    <row r="79" spans="1:5" ht="15.75" thickBot="1" x14ac:dyDescent="0.3">
      <c r="A79" s="1241" t="s">
        <v>79</v>
      </c>
      <c r="B79" s="1262"/>
      <c r="C79" s="1263">
        <f>C74/B74-1</f>
        <v>0.81554982351343996</v>
      </c>
      <c r="D79" s="1263">
        <f>D74/C74-1</f>
        <v>-0.34171336322032408</v>
      </c>
      <c r="E79" s="1263">
        <f>E74/D74-1</f>
        <v>-0.14278955531165038</v>
      </c>
    </row>
    <row r="80" spans="1:5" ht="15.75" thickBot="1" x14ac:dyDescent="0.3">
      <c r="A80" s="1241" t="s">
        <v>81</v>
      </c>
      <c r="B80" s="1262"/>
      <c r="C80" s="1263">
        <f t="shared" ref="C80:E81" si="2">C77/B77-1</f>
        <v>0.54965142857142868</v>
      </c>
      <c r="D80" s="1263">
        <f t="shared" si="2"/>
        <v>-0.26453139897103328</v>
      </c>
      <c r="E80" s="1263">
        <f t="shared" si="2"/>
        <v>-0.10866437004756868</v>
      </c>
    </row>
    <row r="81" spans="1:5" ht="15.75" thickBot="1" x14ac:dyDescent="0.3">
      <c r="A81" s="1241" t="s">
        <v>82</v>
      </c>
      <c r="B81" s="1262"/>
      <c r="C81" s="1263">
        <f t="shared" si="2"/>
        <v>-0.14645612667761798</v>
      </c>
      <c r="D81" s="1263">
        <f t="shared" si="2"/>
        <v>0.11724674319208916</v>
      </c>
      <c r="E81" s="1263">
        <f t="shared" si="2"/>
        <v>3.9809577071227231E-2</v>
      </c>
    </row>
    <row r="82" spans="1:5" ht="15.75" thickBot="1" x14ac:dyDescent="0.3">
      <c r="A82" s="1275"/>
      <c r="B82" s="1276"/>
      <c r="C82" s="1277"/>
      <c r="D82" s="1277"/>
      <c r="E82" s="1263"/>
    </row>
    <row r="83" spans="1:5" ht="15.75" thickBot="1" x14ac:dyDescent="0.3">
      <c r="A83" s="1264" t="s">
        <v>597</v>
      </c>
      <c r="B83" s="1265"/>
      <c r="C83" s="1265"/>
      <c r="D83" s="1265"/>
      <c r="E83" s="1266"/>
    </row>
    <row r="84" spans="1:5" x14ac:dyDescent="0.25">
      <c r="A84" s="1222"/>
      <c r="B84" s="1258">
        <v>2018</v>
      </c>
      <c r="C84" s="1258">
        <v>2019</v>
      </c>
      <c r="D84" s="1258">
        <v>2020</v>
      </c>
      <c r="E84" s="1258">
        <v>2021</v>
      </c>
    </row>
    <row r="85" spans="1:5" ht="15.75" thickBot="1" x14ac:dyDescent="0.3">
      <c r="A85" s="1224"/>
      <c r="B85" s="1260" t="s">
        <v>41</v>
      </c>
      <c r="C85" s="1260" t="s">
        <v>42</v>
      </c>
      <c r="D85" s="1260" t="s">
        <v>42</v>
      </c>
      <c r="E85" s="1260" t="s">
        <v>42</v>
      </c>
    </row>
    <row r="86" spans="1:5" ht="15.75" thickBot="1" x14ac:dyDescent="0.3">
      <c r="A86" s="1267" t="s">
        <v>84</v>
      </c>
      <c r="B86" s="1268"/>
      <c r="C86" s="1268"/>
      <c r="D86" s="1268"/>
      <c r="E86" s="1268"/>
    </row>
    <row r="87" spans="1:5" ht="15.75" thickBot="1" x14ac:dyDescent="0.3">
      <c r="A87" s="1267" t="s">
        <v>85</v>
      </c>
      <c r="B87" s="1268"/>
      <c r="C87" s="1268"/>
      <c r="D87" s="1268"/>
      <c r="E87" s="1268"/>
    </row>
    <row r="88" spans="1:5" ht="15.75" thickBot="1" x14ac:dyDescent="0.3">
      <c r="A88" s="1267" t="s">
        <v>86</v>
      </c>
      <c r="B88" s="1269"/>
      <c r="C88" s="1268"/>
      <c r="D88" s="1268"/>
      <c r="E88" s="1268"/>
    </row>
    <row r="89" spans="1:5" ht="15.75" thickBot="1" x14ac:dyDescent="0.3">
      <c r="A89" s="1267" t="s">
        <v>87</v>
      </c>
      <c r="B89" s="1269"/>
      <c r="C89" s="1268"/>
      <c r="D89" s="1268"/>
      <c r="E89" s="1268"/>
    </row>
    <row r="90" spans="1:5" ht="15.75" thickBot="1" x14ac:dyDescent="0.3">
      <c r="A90" s="1267" t="s">
        <v>88</v>
      </c>
      <c r="B90" s="1269"/>
      <c r="C90" s="1268"/>
      <c r="D90" s="1268"/>
      <c r="E90" s="1268"/>
    </row>
    <row r="91" spans="1:5" ht="15.75" thickBot="1" x14ac:dyDescent="0.3">
      <c r="A91" s="1267" t="s">
        <v>89</v>
      </c>
      <c r="B91" s="1269"/>
      <c r="C91" s="1268"/>
      <c r="D91" s="1268"/>
      <c r="E91" s="1268"/>
    </row>
    <row r="92" spans="1:5" ht="15.75" thickBot="1" x14ac:dyDescent="0.3">
      <c r="A92" s="1267" t="s">
        <v>90</v>
      </c>
      <c r="B92" s="1269">
        <f>B77</f>
        <v>31500000</v>
      </c>
      <c r="C92" s="1269">
        <f>C77</f>
        <v>48814020</v>
      </c>
      <c r="D92" s="1269">
        <f>D77</f>
        <v>35901179</v>
      </c>
      <c r="E92" s="1269">
        <f>E77</f>
        <v>32000000</v>
      </c>
    </row>
    <row r="93" spans="1:5" ht="15.75" thickBot="1" x14ac:dyDescent="0.3">
      <c r="A93" s="1273" t="s">
        <v>103</v>
      </c>
      <c r="B93" s="1269">
        <f>B92+B91+B90+B89+B88+B87+B86</f>
        <v>31500000</v>
      </c>
      <c r="C93" s="1269">
        <f>C92+C91+C90+C89+C88+C87+C86</f>
        <v>48814020</v>
      </c>
      <c r="D93" s="1269">
        <f>D92+D91+D90+D89+D88+D87+D86</f>
        <v>35901179</v>
      </c>
      <c r="E93" s="1269">
        <f>E92+E91+E90+E89+E88+E87+E86</f>
        <v>32000000</v>
      </c>
    </row>
    <row r="94" spans="1:5" ht="15.75" thickBot="1" x14ac:dyDescent="0.3">
      <c r="A94" s="1278" t="s">
        <v>92</v>
      </c>
      <c r="B94" s="1272">
        <f>IF(B93-B77=0,0,"Error")</f>
        <v>0</v>
      </c>
      <c r="C94" s="1272">
        <f>IF(C93-C77=0,0,"Error")</f>
        <v>0</v>
      </c>
      <c r="D94" s="1272">
        <f>IF(D93-D77=0,0,"Error")</f>
        <v>0</v>
      </c>
      <c r="E94" s="1272">
        <f>IF(E93-E77=0,0,"Error")</f>
        <v>0</v>
      </c>
    </row>
    <row r="95" spans="1:5" ht="15.75" thickBot="1" x14ac:dyDescent="0.3">
      <c r="A95" s="1244" t="s">
        <v>104</v>
      </c>
      <c r="B95" s="1245"/>
      <c r="C95" s="1245"/>
      <c r="D95" s="1245"/>
      <c r="E95" s="1246"/>
    </row>
    <row r="96" spans="1:5" ht="15.75" thickBot="1" x14ac:dyDescent="0.3">
      <c r="A96" s="1244" t="s">
        <v>104</v>
      </c>
      <c r="B96" s="1245"/>
      <c r="C96" s="1245"/>
      <c r="D96" s="1245"/>
      <c r="E96" s="1246"/>
    </row>
    <row r="97" spans="1:5" ht="15.75" thickBot="1" x14ac:dyDescent="0.3">
      <c r="A97" s="1244" t="s">
        <v>170</v>
      </c>
      <c r="B97" s="1245"/>
      <c r="C97" s="1245"/>
      <c r="D97" s="1245"/>
      <c r="E97" s="1246"/>
    </row>
    <row r="98" spans="1:5" ht="15.75" thickBot="1" x14ac:dyDescent="0.3">
      <c r="A98" s="1279" t="s">
        <v>257</v>
      </c>
      <c r="B98" s="1280" t="s">
        <v>598</v>
      </c>
      <c r="C98" s="1281"/>
      <c r="D98" s="1281"/>
      <c r="E98" s="1282"/>
    </row>
    <row r="99" spans="1:5" ht="15.75" thickBot="1" x14ac:dyDescent="0.3">
      <c r="A99" s="1247" t="s">
        <v>115</v>
      </c>
      <c r="B99" s="1254" t="s">
        <v>599</v>
      </c>
      <c r="C99" s="1255"/>
      <c r="D99" s="1255"/>
      <c r="E99" s="1256"/>
    </row>
    <row r="100" spans="1:5" ht="15.75" thickBot="1" x14ac:dyDescent="0.3">
      <c r="A100" s="1241" t="s">
        <v>72</v>
      </c>
      <c r="B100" s="1251" t="s">
        <v>600</v>
      </c>
      <c r="C100" s="1252"/>
      <c r="D100" s="1252"/>
      <c r="E100" s="1253"/>
    </row>
    <row r="101" spans="1:5" ht="15.75" thickBot="1" x14ac:dyDescent="0.3">
      <c r="A101" s="1241" t="s">
        <v>74</v>
      </c>
      <c r="B101" s="1254" t="s">
        <v>596</v>
      </c>
      <c r="C101" s="1255"/>
      <c r="D101" s="1255"/>
      <c r="E101" s="1256"/>
    </row>
    <row r="102" spans="1:5" x14ac:dyDescent="0.25">
      <c r="A102" s="1222"/>
      <c r="B102" s="1258">
        <v>2018</v>
      </c>
      <c r="C102" s="1258">
        <v>2019</v>
      </c>
      <c r="D102" s="1258">
        <v>2020</v>
      </c>
      <c r="E102" s="1258">
        <v>2021</v>
      </c>
    </row>
    <row r="103" spans="1:5" ht="15.75" thickBot="1" x14ac:dyDescent="0.3">
      <c r="A103" s="1224"/>
      <c r="B103" s="1260" t="s">
        <v>41</v>
      </c>
      <c r="C103" s="1260" t="s">
        <v>42</v>
      </c>
      <c r="D103" s="1260" t="s">
        <v>42</v>
      </c>
      <c r="E103" s="1260" t="s">
        <v>42</v>
      </c>
    </row>
    <row r="104" spans="1:5" ht="15.75" thickBot="1" x14ac:dyDescent="0.3">
      <c r="A104" s="1241" t="s">
        <v>76</v>
      </c>
      <c r="B104" s="1261">
        <v>57</v>
      </c>
      <c r="C104" s="1261">
        <v>62.5</v>
      </c>
      <c r="D104" s="1261">
        <v>58.823529411764703</v>
      </c>
      <c r="E104" s="1261">
        <v>57.142857142857146</v>
      </c>
    </row>
    <row r="105" spans="1:5" ht="15.75" thickBot="1" x14ac:dyDescent="0.3">
      <c r="A105" s="1241" t="s">
        <v>77</v>
      </c>
      <c r="B105" s="1261">
        <v>100000000</v>
      </c>
      <c r="C105" s="1261">
        <v>100000000</v>
      </c>
      <c r="D105" s="1261">
        <v>100000000</v>
      </c>
      <c r="E105" s="1261">
        <v>100000000</v>
      </c>
    </row>
    <row r="106" spans="1:5" ht="15.75" thickBot="1" x14ac:dyDescent="0.3">
      <c r="A106" s="1241" t="s">
        <v>78</v>
      </c>
      <c r="B106" s="1261">
        <f>B105/B104</f>
        <v>1754385.9649122807</v>
      </c>
      <c r="C106" s="1261">
        <f>C105/C104</f>
        <v>1600000</v>
      </c>
      <c r="D106" s="1261">
        <f>D105/D104</f>
        <v>1700000</v>
      </c>
      <c r="E106" s="1261">
        <f>E105/E104</f>
        <v>1750000</v>
      </c>
    </row>
    <row r="107" spans="1:5" ht="15.75" thickBot="1" x14ac:dyDescent="0.3">
      <c r="A107" s="1241" t="s">
        <v>79</v>
      </c>
      <c r="B107" s="1262" t="s">
        <v>80</v>
      </c>
      <c r="C107" s="1263">
        <f t="shared" ref="C107:E109" si="3">C104/B104-1</f>
        <v>9.6491228070175517E-2</v>
      </c>
      <c r="D107" s="1263">
        <f t="shared" si="3"/>
        <v>-5.8823529411764719E-2</v>
      </c>
      <c r="E107" s="1263">
        <f t="shared" si="3"/>
        <v>-2.857142857142847E-2</v>
      </c>
    </row>
    <row r="108" spans="1:5" ht="15.75" thickBot="1" x14ac:dyDescent="0.3">
      <c r="A108" s="1241" t="s">
        <v>81</v>
      </c>
      <c r="B108" s="1262" t="s">
        <v>80</v>
      </c>
      <c r="C108" s="1263">
        <f t="shared" si="3"/>
        <v>0</v>
      </c>
      <c r="D108" s="1263">
        <f t="shared" si="3"/>
        <v>0</v>
      </c>
      <c r="E108" s="1263">
        <f t="shared" si="3"/>
        <v>0</v>
      </c>
    </row>
    <row r="109" spans="1:5" ht="15.75" thickBot="1" x14ac:dyDescent="0.3">
      <c r="A109" s="1241" t="s">
        <v>82</v>
      </c>
      <c r="B109" s="1262" t="s">
        <v>80</v>
      </c>
      <c r="C109" s="1263">
        <f t="shared" si="3"/>
        <v>-8.7999999999999967E-2</v>
      </c>
      <c r="D109" s="1263">
        <f t="shared" si="3"/>
        <v>6.25E-2</v>
      </c>
      <c r="E109" s="1263">
        <f t="shared" si="3"/>
        <v>2.9411764705882248E-2</v>
      </c>
    </row>
    <row r="110" spans="1:5" ht="15.75" thickBot="1" x14ac:dyDescent="0.3">
      <c r="A110" s="1264" t="s">
        <v>601</v>
      </c>
      <c r="B110" s="1265"/>
      <c r="C110" s="1265"/>
      <c r="D110" s="1265"/>
      <c r="E110" s="1266"/>
    </row>
    <row r="111" spans="1:5" x14ac:dyDescent="0.25">
      <c r="A111" s="1222"/>
      <c r="B111" s="1258">
        <v>2018</v>
      </c>
      <c r="C111" s="1258">
        <v>2019</v>
      </c>
      <c r="D111" s="1258">
        <v>2020</v>
      </c>
      <c r="E111" s="1258">
        <v>2021</v>
      </c>
    </row>
    <row r="112" spans="1:5" ht="15.75" thickBot="1" x14ac:dyDescent="0.3">
      <c r="A112" s="1224"/>
      <c r="B112" s="1260" t="s">
        <v>41</v>
      </c>
      <c r="C112" s="1260" t="s">
        <v>42</v>
      </c>
      <c r="D112" s="1260" t="s">
        <v>42</v>
      </c>
      <c r="E112" s="1260" t="s">
        <v>42</v>
      </c>
    </row>
    <row r="113" spans="1:5" ht="15.75" thickBot="1" x14ac:dyDescent="0.3">
      <c r="A113" s="1267" t="s">
        <v>169</v>
      </c>
      <c r="B113" s="1268"/>
      <c r="C113" s="1268"/>
      <c r="D113" s="1268"/>
      <c r="E113" s="1268"/>
    </row>
    <row r="114" spans="1:5" ht="15.75" thickBot="1" x14ac:dyDescent="0.3">
      <c r="A114" s="1267" t="s">
        <v>112</v>
      </c>
      <c r="B114" s="1269">
        <f>B105</f>
        <v>100000000</v>
      </c>
      <c r="C114" s="1269">
        <f>C105</f>
        <v>100000000</v>
      </c>
      <c r="D114" s="1269">
        <f>D105</f>
        <v>100000000</v>
      </c>
      <c r="E114" s="1269">
        <f>E105</f>
        <v>100000000</v>
      </c>
    </row>
    <row r="115" spans="1:5" ht="15.75" thickBot="1" x14ac:dyDescent="0.3">
      <c r="A115" s="1270" t="s">
        <v>262</v>
      </c>
      <c r="B115" s="1269">
        <f>B114+B113</f>
        <v>100000000</v>
      </c>
      <c r="C115" s="1269">
        <f>C114+C113</f>
        <v>100000000</v>
      </c>
      <c r="D115" s="1269">
        <f>D114+D113</f>
        <v>100000000</v>
      </c>
      <c r="E115" s="1269">
        <f>E114+E113</f>
        <v>100000000</v>
      </c>
    </row>
    <row r="116" spans="1:5" ht="15.75" thickBot="1" x14ac:dyDescent="0.3">
      <c r="A116" s="1283" t="s">
        <v>257</v>
      </c>
      <c r="B116" s="1284" t="s">
        <v>602</v>
      </c>
      <c r="C116" s="1285"/>
      <c r="D116" s="1285"/>
      <c r="E116" s="1286"/>
    </row>
    <row r="117" spans="1:5" ht="15.75" thickBot="1" x14ac:dyDescent="0.3">
      <c r="A117" s="1247" t="s">
        <v>603</v>
      </c>
      <c r="B117" s="1244" t="s">
        <v>604</v>
      </c>
      <c r="C117" s="1245"/>
      <c r="D117" s="1245"/>
      <c r="E117" s="1246"/>
    </row>
    <row r="118" spans="1:5" ht="15.75" thickBot="1" x14ac:dyDescent="0.3">
      <c r="A118" s="1241" t="s">
        <v>72</v>
      </c>
      <c r="B118" s="1236" t="s">
        <v>605</v>
      </c>
      <c r="C118" s="1237"/>
      <c r="D118" s="1237"/>
      <c r="E118" s="1238"/>
    </row>
    <row r="119" spans="1:5" ht="15.75" thickBot="1" x14ac:dyDescent="0.3">
      <c r="A119" s="1241" t="s">
        <v>74</v>
      </c>
      <c r="B119" s="1287" t="s">
        <v>606</v>
      </c>
      <c r="C119" s="1288"/>
      <c r="D119" s="1288"/>
      <c r="E119" s="1289"/>
    </row>
    <row r="120" spans="1:5" x14ac:dyDescent="0.25">
      <c r="A120" s="1222"/>
      <c r="B120" s="1258">
        <v>2018</v>
      </c>
      <c r="C120" s="1258">
        <v>2019</v>
      </c>
      <c r="D120" s="1258">
        <v>2020</v>
      </c>
      <c r="E120" s="1258">
        <v>2021</v>
      </c>
    </row>
    <row r="121" spans="1:5" ht="15.75" thickBot="1" x14ac:dyDescent="0.3">
      <c r="A121" s="1224"/>
      <c r="B121" s="1260" t="s">
        <v>41</v>
      </c>
      <c r="C121" s="1260" t="s">
        <v>42</v>
      </c>
      <c r="D121" s="1260" t="s">
        <v>42</v>
      </c>
      <c r="E121" s="1260" t="s">
        <v>42</v>
      </c>
    </row>
    <row r="122" spans="1:5" ht="15.75" thickBot="1" x14ac:dyDescent="0.3">
      <c r="A122" s="1241" t="s">
        <v>76</v>
      </c>
      <c r="B122" s="1261">
        <v>300</v>
      </c>
      <c r="C122" s="1261">
        <v>272.72727272727275</v>
      </c>
      <c r="D122" s="1261">
        <v>272.72727272727275</v>
      </c>
      <c r="E122" s="1261">
        <v>250</v>
      </c>
    </row>
    <row r="123" spans="1:5" ht="15.75" thickBot="1" x14ac:dyDescent="0.3">
      <c r="A123" s="1241" t="s">
        <v>77</v>
      </c>
      <c r="B123" s="1261">
        <v>150000000</v>
      </c>
      <c r="C123" s="1261">
        <v>150000000</v>
      </c>
      <c r="D123" s="1261">
        <v>150000000</v>
      </c>
      <c r="E123" s="1261">
        <v>150000000</v>
      </c>
    </row>
    <row r="124" spans="1:5" ht="15.75" thickBot="1" x14ac:dyDescent="0.3">
      <c r="A124" s="1241" t="s">
        <v>78</v>
      </c>
      <c r="B124" s="1261">
        <f>B123/B122</f>
        <v>500000</v>
      </c>
      <c r="C124" s="1261">
        <f>C123/C122</f>
        <v>550000</v>
      </c>
      <c r="D124" s="1261">
        <f>D123/D122</f>
        <v>550000</v>
      </c>
      <c r="E124" s="1261">
        <f>E123/E122</f>
        <v>600000</v>
      </c>
    </row>
    <row r="125" spans="1:5" ht="15.75" thickBot="1" x14ac:dyDescent="0.3">
      <c r="A125" s="1241" t="s">
        <v>79</v>
      </c>
      <c r="B125" s="1262" t="s">
        <v>80</v>
      </c>
      <c r="C125" s="1263">
        <f t="shared" ref="C125:E127" si="4">C122/B122-1</f>
        <v>-9.0909090909090828E-2</v>
      </c>
      <c r="D125" s="1263">
        <f t="shared" si="4"/>
        <v>0</v>
      </c>
      <c r="E125" s="1263">
        <f t="shared" si="4"/>
        <v>-8.333333333333337E-2</v>
      </c>
    </row>
    <row r="126" spans="1:5" ht="15.75" thickBot="1" x14ac:dyDescent="0.3">
      <c r="A126" s="1241" t="s">
        <v>81</v>
      </c>
      <c r="B126" s="1262" t="s">
        <v>80</v>
      </c>
      <c r="C126" s="1263">
        <f t="shared" si="4"/>
        <v>0</v>
      </c>
      <c r="D126" s="1263">
        <f t="shared" si="4"/>
        <v>0</v>
      </c>
      <c r="E126" s="1263">
        <f t="shared" si="4"/>
        <v>0</v>
      </c>
    </row>
    <row r="127" spans="1:5" ht="15.75" thickBot="1" x14ac:dyDescent="0.3">
      <c r="A127" s="1241" t="s">
        <v>82</v>
      </c>
      <c r="B127" s="1262" t="s">
        <v>80</v>
      </c>
      <c r="C127" s="1263">
        <f t="shared" si="4"/>
        <v>0.10000000000000009</v>
      </c>
      <c r="D127" s="1263">
        <f t="shared" si="4"/>
        <v>0</v>
      </c>
      <c r="E127" s="1263">
        <f t="shared" si="4"/>
        <v>9.0909090909090828E-2</v>
      </c>
    </row>
    <row r="128" spans="1:5" ht="15.75" thickBot="1" x14ac:dyDescent="0.3">
      <c r="A128" s="1275"/>
      <c r="B128" s="1276"/>
      <c r="C128" s="1277"/>
      <c r="D128" s="1277"/>
      <c r="E128" s="1263"/>
    </row>
    <row r="129" spans="1:5" ht="15.75" thickBot="1" x14ac:dyDescent="0.3">
      <c r="A129" s="1275"/>
      <c r="B129" s="1276"/>
      <c r="C129" s="1277"/>
      <c r="D129" s="1277"/>
      <c r="E129" s="1263"/>
    </row>
    <row r="130" spans="1:5" ht="15.75" thickBot="1" x14ac:dyDescent="0.3">
      <c r="A130" s="1264" t="s">
        <v>607</v>
      </c>
      <c r="B130" s="1265"/>
      <c r="C130" s="1265"/>
      <c r="D130" s="1265"/>
      <c r="E130" s="1266"/>
    </row>
    <row r="131" spans="1:5" x14ac:dyDescent="0.25">
      <c r="A131" s="1222"/>
      <c r="B131" s="1258">
        <v>2018</v>
      </c>
      <c r="C131" s="1258">
        <v>2019</v>
      </c>
      <c r="D131" s="1258">
        <v>2020</v>
      </c>
      <c r="E131" s="1258">
        <v>2021</v>
      </c>
    </row>
    <row r="132" spans="1:5" ht="15.75" thickBot="1" x14ac:dyDescent="0.3">
      <c r="A132" s="1224"/>
      <c r="B132" s="1260" t="s">
        <v>41</v>
      </c>
      <c r="C132" s="1260" t="s">
        <v>42</v>
      </c>
      <c r="D132" s="1260" t="s">
        <v>42</v>
      </c>
      <c r="E132" s="1260" t="s">
        <v>42</v>
      </c>
    </row>
    <row r="133" spans="1:5" ht="15.75" thickBot="1" x14ac:dyDescent="0.3">
      <c r="A133" s="1267" t="s">
        <v>169</v>
      </c>
      <c r="B133" s="1268"/>
      <c r="C133" s="1268"/>
      <c r="D133" s="1268"/>
      <c r="E133" s="1268"/>
    </row>
    <row r="134" spans="1:5" ht="15.75" thickBot="1" x14ac:dyDescent="0.3">
      <c r="A134" s="1267" t="s">
        <v>112</v>
      </c>
      <c r="B134" s="1269">
        <f>B123</f>
        <v>150000000</v>
      </c>
      <c r="C134" s="1269">
        <f>C123</f>
        <v>150000000</v>
      </c>
      <c r="D134" s="1269">
        <f>D123</f>
        <v>150000000</v>
      </c>
      <c r="E134" s="1269">
        <f>E123</f>
        <v>150000000</v>
      </c>
    </row>
    <row r="135" spans="1:5" ht="15.75" thickBot="1" x14ac:dyDescent="0.3">
      <c r="A135" s="1270" t="s">
        <v>266</v>
      </c>
      <c r="B135" s="1269">
        <f>B133+B134</f>
        <v>150000000</v>
      </c>
      <c r="C135" s="1269">
        <f>C133+C134</f>
        <v>150000000</v>
      </c>
      <c r="D135" s="1269">
        <f>D133+D134</f>
        <v>150000000</v>
      </c>
      <c r="E135" s="1269">
        <f>E133+E134</f>
        <v>150000000</v>
      </c>
    </row>
    <row r="136" spans="1:5" ht="15.75" thickBot="1" x14ac:dyDescent="0.3">
      <c r="A136" s="1290"/>
      <c r="B136" s="1291"/>
      <c r="C136" s="1292"/>
      <c r="D136" s="1292"/>
      <c r="E136" s="1293"/>
    </row>
    <row r="137" spans="1:5" ht="15.75" thickBot="1" x14ac:dyDescent="0.3">
      <c r="A137" s="1241"/>
      <c r="B137" s="1262"/>
      <c r="C137" s="1263"/>
      <c r="D137" s="1263"/>
      <c r="E137" s="1263"/>
    </row>
    <row r="138" spans="1:5" ht="15.75" thickBot="1" x14ac:dyDescent="0.3"/>
    <row r="139" spans="1:5" ht="15.75" thickBot="1" x14ac:dyDescent="0.3">
      <c r="A139" s="1290"/>
      <c r="B139" s="1291"/>
      <c r="C139" s="1292"/>
      <c r="D139" s="1292"/>
      <c r="E139" s="1293"/>
    </row>
    <row r="140" spans="1:5" ht="15.75" thickBot="1" x14ac:dyDescent="0.3">
      <c r="A140" s="1294"/>
      <c r="B140" s="1295"/>
      <c r="C140" s="1295"/>
      <c r="D140" s="1295"/>
      <c r="E140" s="1295"/>
    </row>
    <row r="141" spans="1:5" ht="24.75" thickBot="1" x14ac:dyDescent="0.3">
      <c r="A141" s="1232" t="s">
        <v>121</v>
      </c>
      <c r="B141" s="1296">
        <f>B31+B54+B77+B105+B123</f>
        <v>550000000</v>
      </c>
      <c r="C141" s="1296">
        <f>C31+C54+C77+C105+C123</f>
        <v>550000000.10999966</v>
      </c>
      <c r="D141" s="1296">
        <f>D31+D54+D77+D105+D123</f>
        <v>550000000.30339968</v>
      </c>
      <c r="E141" s="1296">
        <f>E31+E54+E77+E105+E123</f>
        <v>560000000.0251956</v>
      </c>
    </row>
    <row r="142" spans="1:5" ht="24.75" thickBot="1" x14ac:dyDescent="0.3">
      <c r="A142" s="1232" t="s">
        <v>122</v>
      </c>
      <c r="B142" s="1296">
        <f>B144+B146+B148+B150+B152+B154+B156+B158+B160</f>
        <v>550000000</v>
      </c>
      <c r="C142" s="1296">
        <f>C144+C146+C148+C150+C152+C154+C156+C158+C160</f>
        <v>550000000.10999966</v>
      </c>
      <c r="D142" s="1296">
        <f>D144+D146+D148+D150+D152+D154+D156+D158+D160</f>
        <v>550000000.30339968</v>
      </c>
      <c r="E142" s="1296">
        <f>E144+E146+E148+E150+E152+E154+E156+E158+E160</f>
        <v>560000000.0251956</v>
      </c>
    </row>
    <row r="143" spans="1:5" ht="15.75" thickBot="1" x14ac:dyDescent="0.3">
      <c r="A143" s="1297" t="s">
        <v>123</v>
      </c>
      <c r="B143" s="1298"/>
      <c r="C143" s="1299">
        <f>C142/B142-1</f>
        <v>1.9999935041425942E-10</v>
      </c>
      <c r="D143" s="1299">
        <f>D142/C142-1</f>
        <v>3.5163649769742733E-10</v>
      </c>
      <c r="E143" s="1299">
        <f>E142/D142-1</f>
        <v>1.818181766596294E-2</v>
      </c>
    </row>
    <row r="144" spans="1:5" ht="15.75" thickBot="1" x14ac:dyDescent="0.3">
      <c r="A144" s="1267" t="s">
        <v>84</v>
      </c>
      <c r="B144" s="1268">
        <v>0</v>
      </c>
      <c r="C144" s="1268">
        <v>0</v>
      </c>
      <c r="D144" s="1268">
        <v>0</v>
      </c>
      <c r="E144" s="1268">
        <v>0</v>
      </c>
    </row>
    <row r="145" spans="1:5" ht="15.75" thickBot="1" x14ac:dyDescent="0.3">
      <c r="A145" s="1300" t="s">
        <v>124</v>
      </c>
      <c r="B145" s="1269"/>
      <c r="C145" s="1301">
        <v>0</v>
      </c>
      <c r="D145" s="1301">
        <v>0</v>
      </c>
      <c r="E145" s="1301">
        <v>0</v>
      </c>
    </row>
    <row r="146" spans="1:5" ht="15.75" thickBot="1" x14ac:dyDescent="0.3">
      <c r="A146" s="1267" t="s">
        <v>85</v>
      </c>
      <c r="B146" s="1268">
        <v>0</v>
      </c>
      <c r="C146" s="1268">
        <v>0</v>
      </c>
      <c r="D146" s="1268">
        <v>0</v>
      </c>
      <c r="E146" s="1268">
        <v>0</v>
      </c>
    </row>
    <row r="147" spans="1:5" ht="15.75" thickBot="1" x14ac:dyDescent="0.3">
      <c r="A147" s="1300" t="s">
        <v>125</v>
      </c>
      <c r="B147" s="1269"/>
      <c r="C147" s="1301">
        <v>0</v>
      </c>
      <c r="D147" s="1301">
        <v>0</v>
      </c>
      <c r="E147" s="1301">
        <v>0</v>
      </c>
    </row>
    <row r="148" spans="1:5" ht="15.75" thickBot="1" x14ac:dyDescent="0.3">
      <c r="A148" s="1267" t="s">
        <v>86</v>
      </c>
      <c r="B148" s="1268">
        <v>0</v>
      </c>
      <c r="C148" s="1268">
        <v>0</v>
      </c>
      <c r="D148" s="1268">
        <v>0</v>
      </c>
      <c r="E148" s="1268">
        <v>0</v>
      </c>
    </row>
    <row r="149" spans="1:5" ht="15.75" thickBot="1" x14ac:dyDescent="0.3">
      <c r="A149" s="1300" t="s">
        <v>126</v>
      </c>
      <c r="B149" s="1269"/>
      <c r="C149" s="1301">
        <v>0</v>
      </c>
      <c r="D149" s="1301">
        <v>0</v>
      </c>
      <c r="E149" s="1301">
        <v>0</v>
      </c>
    </row>
    <row r="150" spans="1:5" ht="15.75" thickBot="1" x14ac:dyDescent="0.3">
      <c r="A150" s="1267" t="s">
        <v>87</v>
      </c>
      <c r="B150" s="1268">
        <v>0</v>
      </c>
      <c r="C150" s="1268">
        <v>0</v>
      </c>
      <c r="D150" s="1268">
        <v>0</v>
      </c>
      <c r="E150" s="1268">
        <v>0</v>
      </c>
    </row>
    <row r="151" spans="1:5" ht="15.75" thickBot="1" x14ac:dyDescent="0.3">
      <c r="A151" s="1300" t="s">
        <v>228</v>
      </c>
      <c r="B151" s="1269"/>
      <c r="C151" s="1301">
        <v>0</v>
      </c>
      <c r="D151" s="1301">
        <v>0</v>
      </c>
      <c r="E151" s="1301">
        <v>0</v>
      </c>
    </row>
    <row r="152" spans="1:5" ht="15.75" thickBot="1" x14ac:dyDescent="0.3">
      <c r="A152" s="1267" t="s">
        <v>88</v>
      </c>
      <c r="B152" s="1268">
        <v>0</v>
      </c>
      <c r="C152" s="1268">
        <v>0</v>
      </c>
      <c r="D152" s="1268">
        <v>0</v>
      </c>
      <c r="E152" s="1268">
        <v>0</v>
      </c>
    </row>
    <row r="153" spans="1:5" ht="15.75" thickBot="1" x14ac:dyDescent="0.3">
      <c r="A153" s="1300" t="s">
        <v>229</v>
      </c>
      <c r="B153" s="1269"/>
      <c r="C153" s="1301">
        <v>0</v>
      </c>
      <c r="D153" s="1301">
        <v>0</v>
      </c>
      <c r="E153" s="1301">
        <v>0</v>
      </c>
    </row>
    <row r="154" spans="1:5" ht="15.75" thickBot="1" x14ac:dyDescent="0.3">
      <c r="A154" s="1267" t="s">
        <v>89</v>
      </c>
      <c r="B154" s="1268">
        <v>0</v>
      </c>
      <c r="C154" s="1268">
        <v>0</v>
      </c>
      <c r="D154" s="1268">
        <v>0</v>
      </c>
      <c r="E154" s="1268">
        <v>0</v>
      </c>
    </row>
    <row r="155" spans="1:5" ht="15.75" thickBot="1" x14ac:dyDescent="0.3">
      <c r="A155" s="1300" t="s">
        <v>230</v>
      </c>
      <c r="B155" s="1269"/>
      <c r="C155" s="1301">
        <v>0</v>
      </c>
      <c r="D155" s="1301">
        <v>0</v>
      </c>
      <c r="E155" s="1301">
        <v>0</v>
      </c>
    </row>
    <row r="156" spans="1:5" ht="15.75" thickBot="1" x14ac:dyDescent="0.3">
      <c r="A156" s="1267" t="s">
        <v>90</v>
      </c>
      <c r="B156" s="1268">
        <f>B68+B45+B92</f>
        <v>300000000</v>
      </c>
      <c r="C156" s="1268">
        <f>C68+C45+C92</f>
        <v>300000000.10999966</v>
      </c>
      <c r="D156" s="1268">
        <f>D68+D45+D92</f>
        <v>300000000.30339968</v>
      </c>
      <c r="E156" s="1268">
        <f>E68+E45+E92</f>
        <v>310000000.02519566</v>
      </c>
    </row>
    <row r="157" spans="1:5" ht="15.75" thickBot="1" x14ac:dyDescent="0.3">
      <c r="A157" s="1300" t="s">
        <v>231</v>
      </c>
      <c r="B157" s="1269"/>
      <c r="C157" s="1301">
        <f>C156/B156-1</f>
        <v>3.6666558678177807E-10</v>
      </c>
      <c r="D157" s="1301">
        <f>D156/C156-1</f>
        <v>6.4466676441554682E-10</v>
      </c>
      <c r="E157" s="1301">
        <f>E156/D156-1</f>
        <v>3.3333332372275537E-2</v>
      </c>
    </row>
    <row r="158" spans="1:5" ht="15.75" thickBot="1" x14ac:dyDescent="0.3">
      <c r="A158" s="1267" t="s">
        <v>127</v>
      </c>
      <c r="B158" s="1268">
        <v>0</v>
      </c>
      <c r="C158" s="1268">
        <v>0</v>
      </c>
      <c r="D158" s="1268">
        <v>0</v>
      </c>
      <c r="E158" s="1268">
        <v>0</v>
      </c>
    </row>
    <row r="159" spans="1:5" ht="15.75" thickBot="1" x14ac:dyDescent="0.3">
      <c r="A159" s="1300" t="s">
        <v>128</v>
      </c>
      <c r="B159" s="1269"/>
      <c r="C159" s="1301">
        <v>0</v>
      </c>
      <c r="D159" s="1301">
        <v>0</v>
      </c>
      <c r="E159" s="1301">
        <v>0</v>
      </c>
    </row>
    <row r="160" spans="1:5" ht="15.75" thickBot="1" x14ac:dyDescent="0.3">
      <c r="A160" s="1267" t="s">
        <v>232</v>
      </c>
      <c r="B160" s="1268">
        <f>B105+B123</f>
        <v>250000000</v>
      </c>
      <c r="C160" s="1268">
        <f>C105+C123</f>
        <v>250000000</v>
      </c>
      <c r="D160" s="1268">
        <f>D105+D123</f>
        <v>250000000</v>
      </c>
      <c r="E160" s="1268">
        <f>E105+E123</f>
        <v>250000000</v>
      </c>
    </row>
    <row r="161" spans="1:5" ht="15.75" thickBot="1" x14ac:dyDescent="0.3">
      <c r="A161" s="1300" t="s">
        <v>233</v>
      </c>
      <c r="B161" s="1269"/>
      <c r="C161" s="1301">
        <f>C160/B160-1</f>
        <v>0</v>
      </c>
      <c r="D161" s="1301">
        <f>D160/C160-1</f>
        <v>0</v>
      </c>
      <c r="E161" s="1301">
        <f>E160/D160-1</f>
        <v>0</v>
      </c>
    </row>
    <row r="162" spans="1:5" ht="15.75" thickBot="1" x14ac:dyDescent="0.3">
      <c r="A162" s="1278" t="s">
        <v>92</v>
      </c>
      <c r="B162" s="1272">
        <f>IF(B142-B141=0,0,"Error")</f>
        <v>0</v>
      </c>
      <c r="C162" s="1272">
        <f>IF(C142-C141=0,0,"Error")</f>
        <v>0</v>
      </c>
      <c r="D162" s="1272">
        <f>IF(D142-D141=0,0,"Error")</f>
        <v>0</v>
      </c>
      <c r="E162" s="1272">
        <f>IF(E142-E141=0,0,"Error")</f>
        <v>0</v>
      </c>
    </row>
    <row r="163" spans="1:5" ht="15.75" thickBot="1" x14ac:dyDescent="0.3">
      <c r="A163" s="1302" t="s">
        <v>129</v>
      </c>
      <c r="B163" s="1268" t="s">
        <v>80</v>
      </c>
      <c r="C163" s="1268" t="s">
        <v>80</v>
      </c>
      <c r="D163" s="1268" t="s">
        <v>80</v>
      </c>
      <c r="E163" s="1268" t="s">
        <v>80</v>
      </c>
    </row>
    <row r="164" spans="1:5" ht="24.75" thickBot="1" x14ac:dyDescent="0.3">
      <c r="A164" s="1302" t="s">
        <v>130</v>
      </c>
      <c r="B164" s="1268" t="s">
        <v>80</v>
      </c>
      <c r="C164" s="1268" t="s">
        <v>80</v>
      </c>
      <c r="D164" s="1268" t="s">
        <v>80</v>
      </c>
      <c r="E164" s="1268" t="s">
        <v>80</v>
      </c>
    </row>
    <row r="165" spans="1:5" x14ac:dyDescent="0.25">
      <c r="A165" s="1303"/>
      <c r="B165" s="1304"/>
      <c r="C165" s="1304"/>
      <c r="D165" s="1304"/>
      <c r="E165" s="1304"/>
    </row>
    <row r="166" spans="1:5" x14ac:dyDescent="0.25">
      <c r="A166" s="1303"/>
      <c r="B166" s="1304"/>
      <c r="C166" s="1304"/>
      <c r="D166" s="1304"/>
      <c r="E166" s="1304"/>
    </row>
    <row r="167" spans="1:5" x14ac:dyDescent="0.25">
      <c r="A167" s="1303"/>
      <c r="B167" s="1304"/>
      <c r="C167" s="1304"/>
      <c r="D167" s="1304"/>
      <c r="E167" s="1304"/>
    </row>
    <row r="168" spans="1:5" x14ac:dyDescent="0.25">
      <c r="A168" s="1303"/>
      <c r="B168" s="1304"/>
      <c r="C168" s="1304"/>
      <c r="D168" s="1304"/>
      <c r="E168" s="1304"/>
    </row>
    <row r="169" spans="1:5" x14ac:dyDescent="0.25">
      <c r="A169" s="1303"/>
      <c r="B169" s="1304"/>
      <c r="C169" s="1304"/>
      <c r="D169" s="1304"/>
      <c r="E169" s="1304"/>
    </row>
    <row r="170" spans="1:5" x14ac:dyDescent="0.25">
      <c r="A170" s="1303"/>
      <c r="B170" s="1304"/>
      <c r="C170" s="1304"/>
      <c r="D170" s="1304"/>
      <c r="E170" s="1304"/>
    </row>
    <row r="171" spans="1:5" x14ac:dyDescent="0.25">
      <c r="A171" s="1303"/>
      <c r="B171" s="1304"/>
      <c r="C171" s="1304"/>
      <c r="D171" s="1304"/>
      <c r="E171" s="1304"/>
    </row>
    <row r="172" spans="1:5" x14ac:dyDescent="0.25">
      <c r="A172" s="1303"/>
      <c r="B172" s="1305"/>
      <c r="C172" s="1305"/>
      <c r="D172" s="1305"/>
      <c r="E172" s="1305"/>
    </row>
    <row r="173" spans="1:5" x14ac:dyDescent="0.25">
      <c r="A173" s="1303"/>
      <c r="B173" s="1305"/>
      <c r="C173" s="1305"/>
      <c r="D173" s="1305"/>
      <c r="E173" s="1305"/>
    </row>
    <row r="174" spans="1:5" x14ac:dyDescent="0.25">
      <c r="A174" s="1303"/>
      <c r="B174" s="1305"/>
      <c r="C174" s="1305"/>
      <c r="D174" s="1305"/>
      <c r="E174" s="1305"/>
    </row>
    <row r="175" spans="1:5" x14ac:dyDescent="0.25">
      <c r="A175" s="1303"/>
      <c r="B175" s="1305"/>
      <c r="C175" s="1305"/>
      <c r="D175" s="1305"/>
      <c r="E175" s="1305"/>
    </row>
    <row r="179" spans="1:6" x14ac:dyDescent="0.25">
      <c r="A179" s="1306"/>
      <c r="B179" s="1307"/>
      <c r="C179" s="1308"/>
      <c r="D179" s="1306"/>
      <c r="E179" s="1306"/>
    </row>
    <row r="183" spans="1:6" x14ac:dyDescent="0.25">
      <c r="F183" s="1309"/>
    </row>
    <row r="184" spans="1:6" x14ac:dyDescent="0.25">
      <c r="F184" s="1309"/>
    </row>
    <row r="185" spans="1:6" x14ac:dyDescent="0.25">
      <c r="F185" s="1310"/>
    </row>
  </sheetData>
  <mergeCells count="49">
    <mergeCell ref="B139:E139"/>
    <mergeCell ref="B118:E118"/>
    <mergeCell ref="B119:E119"/>
    <mergeCell ref="A120:A121"/>
    <mergeCell ref="A130:E130"/>
    <mergeCell ref="A131:A132"/>
    <mergeCell ref="B136:E136"/>
    <mergeCell ref="B101:E101"/>
    <mergeCell ref="A102:A103"/>
    <mergeCell ref="A110:E110"/>
    <mergeCell ref="A111:A112"/>
    <mergeCell ref="B116:E116"/>
    <mergeCell ref="B117:E117"/>
    <mergeCell ref="A95:E95"/>
    <mergeCell ref="A96:E96"/>
    <mergeCell ref="A97:E97"/>
    <mergeCell ref="B98:E98"/>
    <mergeCell ref="B99:E99"/>
    <mergeCell ref="B100:E100"/>
    <mergeCell ref="B71:E71"/>
    <mergeCell ref="B72:E72"/>
    <mergeCell ref="B73:E73"/>
    <mergeCell ref="A75:A76"/>
    <mergeCell ref="A83:E83"/>
    <mergeCell ref="A84:A85"/>
    <mergeCell ref="B48:E48"/>
    <mergeCell ref="B49:E49"/>
    <mergeCell ref="B50:E50"/>
    <mergeCell ref="A52:A53"/>
    <mergeCell ref="A59:E59"/>
    <mergeCell ref="A60:A61"/>
    <mergeCell ref="A24:E24"/>
    <mergeCell ref="B25:E25"/>
    <mergeCell ref="B26:E26"/>
    <mergeCell ref="B27:E27"/>
    <mergeCell ref="A36:E36"/>
    <mergeCell ref="A37:A38"/>
    <mergeCell ref="A9:E11"/>
    <mergeCell ref="B12:E12"/>
    <mergeCell ref="A13:A14"/>
    <mergeCell ref="B18:E18"/>
    <mergeCell ref="A19:E19"/>
    <mergeCell ref="A23:E23"/>
    <mergeCell ref="A2:E2"/>
    <mergeCell ref="A3:E3"/>
    <mergeCell ref="B5:E5"/>
    <mergeCell ref="B6:E6"/>
    <mergeCell ref="B7:E7"/>
    <mergeCell ref="A8:E8"/>
  </mergeCells>
  <pageMargins left="0.7" right="0.7" top="0.75" bottom="0.75" header="0.3" footer="0.3"/>
  <pageSetup paperSize="0" orientation="portrait" horizontalDpi="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222"/>
  <sheetViews>
    <sheetView tabSelected="1" view="pageBreakPreview" topLeftCell="A199" zoomScale="60" zoomScaleNormal="100" workbookViewId="0">
      <selection activeCell="L199" sqref="J1:L1048576"/>
    </sheetView>
  </sheetViews>
  <sheetFormatPr defaultColWidth="29" defaultRowHeight="15" x14ac:dyDescent="0.25"/>
  <cols>
    <col min="1" max="1" width="24.7109375" customWidth="1"/>
    <col min="2" max="2" width="25.42578125" customWidth="1"/>
    <col min="3" max="3" width="24.42578125" customWidth="1"/>
    <col min="4" max="4" width="11.28515625" customWidth="1"/>
    <col min="5" max="5" width="9.7109375" customWidth="1"/>
    <col min="6" max="6" width="24.5703125" customWidth="1"/>
    <col min="7" max="9" width="9" customWidth="1"/>
  </cols>
  <sheetData>
    <row r="2" spans="1:5" ht="45.75" customHeight="1" x14ac:dyDescent="0.25">
      <c r="A2" s="508" t="s">
        <v>32</v>
      </c>
      <c r="B2" s="508"/>
      <c r="C2" s="508"/>
      <c r="D2" s="508"/>
      <c r="E2" s="508"/>
    </row>
    <row r="3" spans="1:5" x14ac:dyDescent="0.25">
      <c r="A3" s="509" t="s">
        <v>618</v>
      </c>
      <c r="B3" s="509"/>
      <c r="C3" s="509"/>
      <c r="D3" s="509"/>
      <c r="E3" s="509"/>
    </row>
    <row r="4" spans="1:5" ht="15.75" thickBot="1" x14ac:dyDescent="0.3"/>
    <row r="5" spans="1:5" ht="40.5" customHeight="1" thickBot="1" x14ac:dyDescent="0.3">
      <c r="A5" s="8" t="s">
        <v>33</v>
      </c>
      <c r="B5" s="510" t="s">
        <v>714</v>
      </c>
      <c r="C5" s="510"/>
      <c r="D5" s="510"/>
      <c r="E5" s="510"/>
    </row>
    <row r="6" spans="1:5" ht="15.75" thickBot="1" x14ac:dyDescent="0.3">
      <c r="A6" s="8" t="s">
        <v>5</v>
      </c>
      <c r="B6" s="511" t="s">
        <v>7</v>
      </c>
      <c r="C6" s="512"/>
      <c r="D6" s="512"/>
      <c r="E6" s="513"/>
    </row>
    <row r="7" spans="1:5" ht="33" customHeight="1" thickBot="1" x14ac:dyDescent="0.3">
      <c r="A7" s="8" t="s">
        <v>35</v>
      </c>
      <c r="B7" s="514" t="s">
        <v>36</v>
      </c>
      <c r="C7" s="515"/>
      <c r="D7" s="515"/>
      <c r="E7" s="516"/>
    </row>
    <row r="8" spans="1:5" ht="15.75" thickBot="1" x14ac:dyDescent="0.3">
      <c r="A8" s="505" t="s">
        <v>6</v>
      </c>
      <c r="B8" s="506"/>
      <c r="C8" s="506"/>
      <c r="D8" s="506"/>
      <c r="E8" s="507"/>
    </row>
    <row r="9" spans="1:5" x14ac:dyDescent="0.25">
      <c r="A9" s="525" t="s">
        <v>713</v>
      </c>
      <c r="B9" s="526"/>
      <c r="C9" s="526"/>
      <c r="D9" s="526"/>
      <c r="E9" s="527"/>
    </row>
    <row r="10" spans="1:5" x14ac:dyDescent="0.25">
      <c r="A10" s="528"/>
      <c r="B10" s="529"/>
      <c r="C10" s="529"/>
      <c r="D10" s="529"/>
      <c r="E10" s="530"/>
    </row>
    <row r="11" spans="1:5" ht="63" customHeight="1" thickBot="1" x14ac:dyDescent="0.3">
      <c r="A11" s="531"/>
      <c r="B11" s="532"/>
      <c r="C11" s="532"/>
      <c r="D11" s="532"/>
      <c r="E11" s="533"/>
    </row>
    <row r="12" spans="1:5" ht="51" customHeight="1" thickBot="1" x14ac:dyDescent="0.3">
      <c r="A12" s="482" t="s">
        <v>45</v>
      </c>
      <c r="B12" s="534" t="s">
        <v>712</v>
      </c>
      <c r="C12" s="535"/>
      <c r="D12" s="535"/>
      <c r="E12" s="536"/>
    </row>
    <row r="13" spans="1:5" ht="15.75" thickBot="1" x14ac:dyDescent="0.3">
      <c r="A13" s="537" t="s">
        <v>153</v>
      </c>
      <c r="B13" s="538"/>
      <c r="C13" s="538"/>
      <c r="D13" s="538"/>
      <c r="E13" s="539"/>
    </row>
    <row r="14" spans="1:5" ht="34.5" customHeight="1" thickBot="1" x14ac:dyDescent="0.3">
      <c r="A14" s="483" t="s">
        <v>711</v>
      </c>
      <c r="B14" s="484">
        <v>0</v>
      </c>
      <c r="C14" s="485">
        <v>0</v>
      </c>
      <c r="D14" s="484">
        <v>0</v>
      </c>
      <c r="E14" s="484">
        <v>0</v>
      </c>
    </row>
    <row r="15" spans="1:5" ht="57" thickBot="1" x14ac:dyDescent="0.3">
      <c r="A15" s="483" t="s">
        <v>710</v>
      </c>
      <c r="B15" s="486" t="s">
        <v>709</v>
      </c>
      <c r="C15" s="484">
        <v>15</v>
      </c>
      <c r="D15" s="484">
        <v>10</v>
      </c>
      <c r="E15" s="484">
        <v>5</v>
      </c>
    </row>
    <row r="16" spans="1:5" ht="39.75" customHeight="1" thickBot="1" x14ac:dyDescent="0.3">
      <c r="A16" s="487" t="s">
        <v>708</v>
      </c>
      <c r="B16" s="484">
        <v>7</v>
      </c>
      <c r="C16" s="488" t="s">
        <v>61</v>
      </c>
      <c r="D16" s="488" t="s">
        <v>61</v>
      </c>
      <c r="E16" s="488" t="s">
        <v>61</v>
      </c>
    </row>
    <row r="17" spans="1:9" ht="15.75" thickBot="1" x14ac:dyDescent="0.3">
      <c r="A17" s="540" t="s">
        <v>68</v>
      </c>
      <c r="B17" s="541"/>
      <c r="C17" s="541"/>
      <c r="D17" s="541"/>
      <c r="E17" s="542"/>
    </row>
    <row r="18" spans="1:9" ht="15.75" thickBot="1" x14ac:dyDescent="0.3">
      <c r="A18" s="543" t="s">
        <v>69</v>
      </c>
      <c r="B18" s="544"/>
      <c r="C18" s="544"/>
      <c r="D18" s="544"/>
      <c r="E18" s="545"/>
      <c r="H18" s="68">
        <f>D25+D48+D71</f>
        <v>663000</v>
      </c>
      <c r="I18" s="68">
        <f>E25+E48+E71</f>
        <v>663000</v>
      </c>
    </row>
    <row r="19" spans="1:9" ht="15.75" thickBot="1" x14ac:dyDescent="0.3">
      <c r="A19" s="489" t="s">
        <v>70</v>
      </c>
      <c r="B19" s="546" t="s">
        <v>715</v>
      </c>
      <c r="C19" s="547"/>
      <c r="D19" s="547"/>
      <c r="E19" s="548"/>
    </row>
    <row r="20" spans="1:9" ht="15.75" thickBot="1" x14ac:dyDescent="0.3">
      <c r="A20" s="487" t="s">
        <v>72</v>
      </c>
      <c r="B20" s="537" t="s">
        <v>707</v>
      </c>
      <c r="C20" s="538"/>
      <c r="D20" s="538"/>
      <c r="E20" s="539"/>
    </row>
    <row r="21" spans="1:9" ht="15.75" thickBot="1" x14ac:dyDescent="0.3">
      <c r="A21" s="487" t="s">
        <v>74</v>
      </c>
      <c r="B21" s="517" t="s">
        <v>706</v>
      </c>
      <c r="C21" s="518"/>
      <c r="D21" s="518"/>
      <c r="E21" s="519"/>
    </row>
    <row r="22" spans="1:9" x14ac:dyDescent="0.25">
      <c r="A22" s="520"/>
      <c r="B22" s="490">
        <v>2018</v>
      </c>
      <c r="C22" s="490">
        <v>2019</v>
      </c>
      <c r="D22" s="490">
        <v>2020</v>
      </c>
      <c r="E22" s="490">
        <v>2021</v>
      </c>
    </row>
    <row r="23" spans="1:9" ht="15.75" thickBot="1" x14ac:dyDescent="0.3">
      <c r="A23" s="521"/>
      <c r="B23" s="491" t="s">
        <v>41</v>
      </c>
      <c r="C23" s="491" t="s">
        <v>42</v>
      </c>
      <c r="D23" s="491" t="s">
        <v>42</v>
      </c>
      <c r="E23" s="491" t="s">
        <v>42</v>
      </c>
    </row>
    <row r="24" spans="1:9" ht="15.75" thickBot="1" x14ac:dyDescent="0.3">
      <c r="A24" s="13" t="s">
        <v>76</v>
      </c>
      <c r="B24" s="16">
        <v>150</v>
      </c>
      <c r="C24" s="16">
        <v>150</v>
      </c>
      <c r="D24" s="16">
        <v>150</v>
      </c>
      <c r="E24" s="16">
        <v>150</v>
      </c>
    </row>
    <row r="25" spans="1:9" ht="15.75" thickBot="1" x14ac:dyDescent="0.3">
      <c r="A25" s="13" t="s">
        <v>77</v>
      </c>
      <c r="B25" s="16">
        <v>527245</v>
      </c>
      <c r="C25" s="16">
        <v>498000</v>
      </c>
      <c r="D25" s="16">
        <v>498000</v>
      </c>
      <c r="E25" s="16">
        <v>498000</v>
      </c>
    </row>
    <row r="26" spans="1:9" ht="15.75" thickBot="1" x14ac:dyDescent="0.3">
      <c r="A26" s="13" t="s">
        <v>78</v>
      </c>
      <c r="B26" s="16">
        <f>B25/B24</f>
        <v>3514.9666666666667</v>
      </c>
      <c r="C26" s="16">
        <f>C25/C24</f>
        <v>3320</v>
      </c>
      <c r="D26" s="16">
        <f>D25/D24</f>
        <v>3320</v>
      </c>
      <c r="E26" s="16">
        <f>E25/E24</f>
        <v>3320</v>
      </c>
    </row>
    <row r="27" spans="1:9" ht="15.75" thickBot="1" x14ac:dyDescent="0.3">
      <c r="A27" s="13" t="s">
        <v>79</v>
      </c>
      <c r="B27" s="401" t="s">
        <v>80</v>
      </c>
      <c r="C27" s="10">
        <f t="shared" ref="C27:E29" si="0">C24/B24-1</f>
        <v>0</v>
      </c>
      <c r="D27" s="10">
        <f t="shared" si="0"/>
        <v>0</v>
      </c>
      <c r="E27" s="10">
        <f t="shared" si="0"/>
        <v>0</v>
      </c>
    </row>
    <row r="28" spans="1:9" ht="15.75" thickBot="1" x14ac:dyDescent="0.3">
      <c r="A28" s="13" t="s">
        <v>81</v>
      </c>
      <c r="B28" s="401" t="s">
        <v>80</v>
      </c>
      <c r="C28" s="10">
        <f t="shared" si="0"/>
        <v>-5.5467572001631105E-2</v>
      </c>
      <c r="D28" s="10">
        <f t="shared" si="0"/>
        <v>0</v>
      </c>
      <c r="E28" s="10">
        <f t="shared" si="0"/>
        <v>0</v>
      </c>
    </row>
    <row r="29" spans="1:9" ht="15.75" thickBot="1" x14ac:dyDescent="0.3">
      <c r="A29" s="13" t="s">
        <v>82</v>
      </c>
      <c r="B29" s="401" t="s">
        <v>80</v>
      </c>
      <c r="C29" s="10">
        <f t="shared" si="0"/>
        <v>-5.5467572001631105E-2</v>
      </c>
      <c r="D29" s="10">
        <f t="shared" si="0"/>
        <v>0</v>
      </c>
      <c r="E29" s="10">
        <f t="shared" si="0"/>
        <v>0</v>
      </c>
    </row>
    <row r="30" spans="1:9" ht="15.75" thickBot="1" x14ac:dyDescent="0.3">
      <c r="A30" s="522" t="s">
        <v>83</v>
      </c>
      <c r="B30" s="523"/>
      <c r="C30" s="523"/>
      <c r="D30" s="523"/>
      <c r="E30" s="524"/>
    </row>
    <row r="31" spans="1:9" x14ac:dyDescent="0.25">
      <c r="A31" s="549"/>
      <c r="B31" s="14">
        <v>2018</v>
      </c>
      <c r="C31" s="14">
        <v>2019</v>
      </c>
      <c r="D31" s="14">
        <v>2020</v>
      </c>
      <c r="E31" s="14">
        <v>2021</v>
      </c>
    </row>
    <row r="32" spans="1:9" ht="15.75" thickBot="1" x14ac:dyDescent="0.3">
      <c r="A32" s="550"/>
      <c r="B32" s="15" t="s">
        <v>41</v>
      </c>
      <c r="C32" s="15" t="s">
        <v>42</v>
      </c>
      <c r="D32" s="15" t="s">
        <v>42</v>
      </c>
      <c r="E32" s="15" t="s">
        <v>42</v>
      </c>
    </row>
    <row r="33" spans="1:5" ht="15.75" thickBot="1" x14ac:dyDescent="0.3">
      <c r="A33" s="17" t="s">
        <v>84</v>
      </c>
      <c r="B33" s="18">
        <v>301400</v>
      </c>
      <c r="C33" s="18">
        <v>301400</v>
      </c>
      <c r="D33" s="18">
        <v>301400</v>
      </c>
      <c r="E33" s="18">
        <v>301400</v>
      </c>
    </row>
    <row r="34" spans="1:5" ht="24.75" thickBot="1" x14ac:dyDescent="0.3">
      <c r="A34" s="17" t="s">
        <v>85</v>
      </c>
      <c r="B34" s="18">
        <v>63285</v>
      </c>
      <c r="C34" s="18">
        <v>63285</v>
      </c>
      <c r="D34" s="18">
        <v>63285</v>
      </c>
      <c r="E34" s="18">
        <v>63285</v>
      </c>
    </row>
    <row r="35" spans="1:5" ht="15.75" thickBot="1" x14ac:dyDescent="0.3">
      <c r="A35" s="17" t="s">
        <v>86</v>
      </c>
      <c r="B35" s="18">
        <v>100000</v>
      </c>
      <c r="C35" s="18">
        <f>100000-29245</f>
        <v>70755</v>
      </c>
      <c r="D35" s="18">
        <f t="shared" ref="D35:E35" si="1">100000-29245</f>
        <v>70755</v>
      </c>
      <c r="E35" s="18">
        <f t="shared" si="1"/>
        <v>70755</v>
      </c>
    </row>
    <row r="36" spans="1:5" ht="15.75" thickBot="1" x14ac:dyDescent="0.3">
      <c r="A36" s="17" t="s">
        <v>87</v>
      </c>
      <c r="B36" s="19"/>
      <c r="C36" s="18"/>
      <c r="D36" s="18"/>
      <c r="E36" s="18"/>
    </row>
    <row r="37" spans="1:5" ht="15.75" thickBot="1" x14ac:dyDescent="0.3">
      <c r="A37" s="17" t="s">
        <v>88</v>
      </c>
      <c r="B37" s="19"/>
      <c r="C37" s="18"/>
      <c r="D37" s="18"/>
      <c r="E37" s="18"/>
    </row>
    <row r="38" spans="1:5" ht="15.75" thickBot="1" x14ac:dyDescent="0.3">
      <c r="A38" s="17" t="s">
        <v>89</v>
      </c>
      <c r="B38" s="19">
        <v>61800</v>
      </c>
      <c r="C38" s="19">
        <v>61800</v>
      </c>
      <c r="D38" s="19">
        <v>61800</v>
      </c>
      <c r="E38" s="19">
        <v>61800</v>
      </c>
    </row>
    <row r="39" spans="1:5" ht="24.75" thickBot="1" x14ac:dyDescent="0.3">
      <c r="A39" s="17" t="s">
        <v>90</v>
      </c>
      <c r="B39" s="19">
        <v>760</v>
      </c>
      <c r="C39" s="19">
        <v>760</v>
      </c>
      <c r="D39" s="19">
        <v>760</v>
      </c>
      <c r="E39" s="19">
        <v>760</v>
      </c>
    </row>
    <row r="40" spans="1:5" ht="15.75" thickBot="1" x14ac:dyDescent="0.3">
      <c r="A40" s="20" t="s">
        <v>91</v>
      </c>
      <c r="B40" s="19">
        <f>B39+B38+B37+B36+B35+B34+B33</f>
        <v>527245</v>
      </c>
      <c r="C40" s="19">
        <f>C39+C38+C37+C36+C35+C34+C33</f>
        <v>498000</v>
      </c>
      <c r="D40" s="19">
        <f>D39+D38+D37+D36+D35+D34+D33</f>
        <v>498000</v>
      </c>
      <c r="E40" s="19">
        <f>E39+E38+E37+E36+E35+E34+E33</f>
        <v>498000</v>
      </c>
    </row>
    <row r="41" spans="1:5" ht="15.75" thickBot="1" x14ac:dyDescent="0.3">
      <c r="A41" s="21" t="s">
        <v>92</v>
      </c>
      <c r="B41" s="22">
        <f>IF(B40-B25=0,0,"Error")</f>
        <v>0</v>
      </c>
      <c r="C41" s="22">
        <f>IF(C40-C25=0,0,"Error")</f>
        <v>0</v>
      </c>
      <c r="D41" s="22">
        <f>IF(D40-D25=0,0,"Error")</f>
        <v>0</v>
      </c>
      <c r="E41" s="22">
        <f>IF(E40-E25=0,0,"Error")</f>
        <v>0</v>
      </c>
    </row>
    <row r="42" spans="1:5" ht="15.75" thickBot="1" x14ac:dyDescent="0.3">
      <c r="A42" s="12" t="s">
        <v>93</v>
      </c>
      <c r="B42" s="551" t="s">
        <v>705</v>
      </c>
      <c r="C42" s="552"/>
      <c r="D42" s="552"/>
      <c r="E42" s="553"/>
    </row>
    <row r="43" spans="1:5" ht="42" customHeight="1" thickBot="1" x14ac:dyDescent="0.3">
      <c r="A43" s="13" t="s">
        <v>72</v>
      </c>
      <c r="B43" s="554" t="s">
        <v>704</v>
      </c>
      <c r="C43" s="555"/>
      <c r="D43" s="555"/>
      <c r="E43" s="556"/>
    </row>
    <row r="44" spans="1:5" ht="15.75" thickBot="1" x14ac:dyDescent="0.3">
      <c r="A44" s="13" t="s">
        <v>74</v>
      </c>
      <c r="B44" s="557" t="s">
        <v>703</v>
      </c>
      <c r="C44" s="558"/>
      <c r="D44" s="558"/>
      <c r="E44" s="559"/>
    </row>
    <row r="45" spans="1:5" ht="15.75" thickBot="1" x14ac:dyDescent="0.3">
      <c r="A45" s="13" t="s">
        <v>76</v>
      </c>
      <c r="B45" s="16">
        <v>32</v>
      </c>
      <c r="C45" s="16">
        <v>34</v>
      </c>
      <c r="D45" s="16">
        <v>35</v>
      </c>
      <c r="E45" s="16">
        <v>36</v>
      </c>
    </row>
    <row r="46" spans="1:5" x14ac:dyDescent="0.25">
      <c r="A46" s="549"/>
      <c r="B46" s="14">
        <v>2018</v>
      </c>
      <c r="C46" s="14">
        <v>2019</v>
      </c>
      <c r="D46" s="14">
        <v>2020</v>
      </c>
      <c r="E46" s="14">
        <v>2021</v>
      </c>
    </row>
    <row r="47" spans="1:5" ht="15.75" thickBot="1" x14ac:dyDescent="0.3">
      <c r="A47" s="550"/>
      <c r="B47" s="15" t="s">
        <v>41</v>
      </c>
      <c r="C47" s="15" t="s">
        <v>42</v>
      </c>
      <c r="D47" s="15" t="s">
        <v>42</v>
      </c>
      <c r="E47" s="15" t="s">
        <v>42</v>
      </c>
    </row>
    <row r="48" spans="1:5" ht="15.75" thickBot="1" x14ac:dyDescent="0.3">
      <c r="A48" s="13" t="s">
        <v>77</v>
      </c>
      <c r="B48" s="480">
        <v>80000</v>
      </c>
      <c r="C48" s="480">
        <v>80000</v>
      </c>
      <c r="D48" s="480">
        <v>80000</v>
      </c>
      <c r="E48" s="480">
        <v>80000</v>
      </c>
    </row>
    <row r="49" spans="1:5" ht="15.75" thickBot="1" x14ac:dyDescent="0.3">
      <c r="A49" s="13" t="s">
        <v>78</v>
      </c>
      <c r="B49" s="16">
        <f>B48/B45</f>
        <v>2500</v>
      </c>
      <c r="C49" s="16">
        <f>C48/C45</f>
        <v>2352.9411764705883</v>
      </c>
      <c r="D49" s="16">
        <f>D48/D45</f>
        <v>2285.7142857142858</v>
      </c>
      <c r="E49" s="16">
        <f>E48/E45</f>
        <v>2222.2222222222222</v>
      </c>
    </row>
    <row r="50" spans="1:5" ht="15.75" thickBot="1" x14ac:dyDescent="0.3">
      <c r="A50" s="13" t="s">
        <v>79</v>
      </c>
      <c r="B50" s="401"/>
      <c r="C50" s="10">
        <f>C45/B45-1</f>
        <v>6.25E-2</v>
      </c>
      <c r="D50" s="10">
        <f>D45/C45-1</f>
        <v>2.9411764705882248E-2</v>
      </c>
      <c r="E50" s="10">
        <f>E45/D45-1</f>
        <v>2.857142857142847E-2</v>
      </c>
    </row>
    <row r="51" spans="1:5" ht="15.75" thickBot="1" x14ac:dyDescent="0.3">
      <c r="A51" s="13" t="s">
        <v>81</v>
      </c>
      <c r="B51" s="401"/>
      <c r="C51" s="10">
        <f t="shared" ref="C51:E52" si="2">C48/B48-1</f>
        <v>0</v>
      </c>
      <c r="D51" s="10">
        <f t="shared" si="2"/>
        <v>0</v>
      </c>
      <c r="E51" s="10">
        <f t="shared" si="2"/>
        <v>0</v>
      </c>
    </row>
    <row r="52" spans="1:5" ht="15.75" thickBot="1" x14ac:dyDescent="0.3">
      <c r="A52" s="13" t="s">
        <v>82</v>
      </c>
      <c r="B52" s="401"/>
      <c r="C52" s="10">
        <f t="shared" si="2"/>
        <v>-5.8823529411764719E-2</v>
      </c>
      <c r="D52" s="10">
        <f t="shared" si="2"/>
        <v>-2.8571428571428581E-2</v>
      </c>
      <c r="E52" s="10">
        <f t="shared" si="2"/>
        <v>-2.777777777777779E-2</v>
      </c>
    </row>
    <row r="53" spans="1:5" ht="15.75" thickBot="1" x14ac:dyDescent="0.3">
      <c r="A53" s="522" t="s">
        <v>355</v>
      </c>
      <c r="B53" s="523"/>
      <c r="C53" s="523"/>
      <c r="D53" s="523"/>
      <c r="E53" s="524"/>
    </row>
    <row r="54" spans="1:5" x14ac:dyDescent="0.25">
      <c r="A54" s="549"/>
      <c r="B54" s="14">
        <v>2018</v>
      </c>
      <c r="C54" s="14">
        <v>2019</v>
      </c>
      <c r="D54" s="14">
        <v>2020</v>
      </c>
      <c r="E54" s="14">
        <v>2021</v>
      </c>
    </row>
    <row r="55" spans="1:5" ht="15.75" thickBot="1" x14ac:dyDescent="0.3">
      <c r="A55" s="550"/>
      <c r="B55" s="15" t="s">
        <v>41</v>
      </c>
      <c r="C55" s="15" t="s">
        <v>42</v>
      </c>
      <c r="D55" s="15" t="s">
        <v>42</v>
      </c>
      <c r="E55" s="15" t="s">
        <v>42</v>
      </c>
    </row>
    <row r="56" spans="1:5" ht="15.75" thickBot="1" x14ac:dyDescent="0.3">
      <c r="A56" s="17" t="s">
        <v>84</v>
      </c>
      <c r="B56" s="18">
        <v>50000</v>
      </c>
      <c r="C56" s="18">
        <v>50000</v>
      </c>
      <c r="D56" s="18">
        <v>50000</v>
      </c>
      <c r="E56" s="18">
        <v>50000</v>
      </c>
    </row>
    <row r="57" spans="1:5" ht="24.75" thickBot="1" x14ac:dyDescent="0.3">
      <c r="A57" s="17" t="s">
        <v>85</v>
      </c>
      <c r="B57" s="18">
        <v>10000</v>
      </c>
      <c r="C57" s="18">
        <v>10000</v>
      </c>
      <c r="D57" s="18">
        <v>10000</v>
      </c>
      <c r="E57" s="18">
        <v>10000</v>
      </c>
    </row>
    <row r="58" spans="1:5" ht="15.75" thickBot="1" x14ac:dyDescent="0.3">
      <c r="A58" s="17" t="s">
        <v>86</v>
      </c>
      <c r="B58" s="18">
        <v>20000</v>
      </c>
      <c r="C58" s="18">
        <v>20000</v>
      </c>
      <c r="D58" s="18">
        <v>20000</v>
      </c>
      <c r="E58" s="18">
        <v>20000</v>
      </c>
    </row>
    <row r="59" spans="1:5" ht="15.75" thickBot="1" x14ac:dyDescent="0.3">
      <c r="A59" s="17" t="s">
        <v>87</v>
      </c>
      <c r="B59" s="19"/>
      <c r="C59" s="18"/>
      <c r="D59" s="18"/>
      <c r="E59" s="18"/>
    </row>
    <row r="60" spans="1:5" ht="15.75" thickBot="1" x14ac:dyDescent="0.3">
      <c r="A60" s="17" t="s">
        <v>88</v>
      </c>
      <c r="B60" s="19"/>
      <c r="C60" s="18"/>
      <c r="D60" s="18"/>
      <c r="E60" s="18"/>
    </row>
    <row r="61" spans="1:5" ht="15.75" thickBot="1" x14ac:dyDescent="0.3">
      <c r="A61" s="17" t="s">
        <v>89</v>
      </c>
      <c r="B61" s="19"/>
      <c r="C61" s="18"/>
      <c r="D61" s="18"/>
      <c r="E61" s="18"/>
    </row>
    <row r="62" spans="1:5" ht="24.75" thickBot="1" x14ac:dyDescent="0.3">
      <c r="A62" s="17" t="s">
        <v>90</v>
      </c>
      <c r="B62" s="19"/>
      <c r="C62" s="18"/>
      <c r="D62" s="18"/>
      <c r="E62" s="18"/>
    </row>
    <row r="63" spans="1:5" ht="15.75" thickBot="1" x14ac:dyDescent="0.3">
      <c r="A63" s="481" t="s">
        <v>98</v>
      </c>
      <c r="B63" s="19">
        <f>B62+B61+B60+B59+B58+B57+B56</f>
        <v>80000</v>
      </c>
      <c r="C63" s="19">
        <f>C62+C61+C60+C59+C58+C57+C56</f>
        <v>80000</v>
      </c>
      <c r="D63" s="19">
        <f>D62+D61+D60+D59+D58+D57+D56</f>
        <v>80000</v>
      </c>
      <c r="E63" s="19">
        <f>E62+E61+E60+E59+E58+E57+E56</f>
        <v>80000</v>
      </c>
    </row>
    <row r="64" spans="1:5" ht="15.75" thickBot="1" x14ac:dyDescent="0.3">
      <c r="A64" s="21" t="s">
        <v>92</v>
      </c>
      <c r="B64" s="22">
        <v>0</v>
      </c>
      <c r="C64" s="22">
        <v>0</v>
      </c>
      <c r="D64" s="22">
        <v>0</v>
      </c>
      <c r="E64" s="22">
        <v>0</v>
      </c>
    </row>
    <row r="65" spans="1:5" ht="15.75" thickBot="1" x14ac:dyDescent="0.3">
      <c r="A65" s="12" t="s">
        <v>99</v>
      </c>
      <c r="B65" s="551" t="s">
        <v>702</v>
      </c>
      <c r="C65" s="552"/>
      <c r="D65" s="552"/>
      <c r="E65" s="553"/>
    </row>
    <row r="66" spans="1:5" ht="29.25" customHeight="1" thickBot="1" x14ac:dyDescent="0.3">
      <c r="A66" s="13" t="s">
        <v>72</v>
      </c>
      <c r="B66" s="560" t="s">
        <v>701</v>
      </c>
      <c r="C66" s="561"/>
      <c r="D66" s="561"/>
      <c r="E66" s="562"/>
    </row>
    <row r="67" spans="1:5" ht="15.75" thickBot="1" x14ac:dyDescent="0.3">
      <c r="A67" s="13" t="s">
        <v>74</v>
      </c>
      <c r="B67" s="557" t="s">
        <v>700</v>
      </c>
      <c r="C67" s="558"/>
      <c r="D67" s="558"/>
      <c r="E67" s="559"/>
    </row>
    <row r="68" spans="1:5" ht="15.75" thickBot="1" x14ac:dyDescent="0.3">
      <c r="A68" s="13" t="s">
        <v>76</v>
      </c>
      <c r="B68" s="16"/>
      <c r="C68" s="16"/>
      <c r="D68" s="16"/>
      <c r="E68" s="16"/>
    </row>
    <row r="69" spans="1:5" x14ac:dyDescent="0.25">
      <c r="A69" s="549"/>
      <c r="B69" s="14">
        <v>2018</v>
      </c>
      <c r="C69" s="14">
        <v>2019</v>
      </c>
      <c r="D69" s="14">
        <v>2020</v>
      </c>
      <c r="E69" s="14">
        <v>2021</v>
      </c>
    </row>
    <row r="70" spans="1:5" ht="15.75" thickBot="1" x14ac:dyDescent="0.3">
      <c r="A70" s="550"/>
      <c r="B70" s="15" t="s">
        <v>41</v>
      </c>
      <c r="C70" s="15" t="s">
        <v>42</v>
      </c>
      <c r="D70" s="15" t="s">
        <v>42</v>
      </c>
      <c r="E70" s="15" t="s">
        <v>42</v>
      </c>
    </row>
    <row r="71" spans="1:5" ht="15.75" thickBot="1" x14ac:dyDescent="0.3">
      <c r="A71" s="13" t="s">
        <v>77</v>
      </c>
      <c r="B71" s="480">
        <v>85000</v>
      </c>
      <c r="C71" s="480">
        <v>85000</v>
      </c>
      <c r="D71" s="480">
        <v>85000</v>
      </c>
      <c r="E71" s="480">
        <v>85000</v>
      </c>
    </row>
    <row r="72" spans="1:5" ht="15.75" thickBot="1" x14ac:dyDescent="0.3">
      <c r="A72" s="13" t="s">
        <v>78</v>
      </c>
      <c r="B72" s="16" t="e">
        <f>B71/B68</f>
        <v>#DIV/0!</v>
      </c>
      <c r="C72" s="16" t="e">
        <f>C71/C68</f>
        <v>#DIV/0!</v>
      </c>
      <c r="D72" s="16" t="e">
        <f>D71/D68</f>
        <v>#DIV/0!</v>
      </c>
      <c r="E72" s="16" t="e">
        <f>E71/E68</f>
        <v>#DIV/0!</v>
      </c>
    </row>
    <row r="73" spans="1:5" ht="15.75" thickBot="1" x14ac:dyDescent="0.3">
      <c r="A73" s="13" t="s">
        <v>79</v>
      </c>
      <c r="B73" s="401"/>
      <c r="C73" s="10" t="e">
        <f>C68/B68-1</f>
        <v>#DIV/0!</v>
      </c>
      <c r="D73" s="10" t="e">
        <f>D68/C68-1</f>
        <v>#DIV/0!</v>
      </c>
      <c r="E73" s="10" t="e">
        <f>E68/D68-1</f>
        <v>#DIV/0!</v>
      </c>
    </row>
    <row r="74" spans="1:5" ht="15.75" thickBot="1" x14ac:dyDescent="0.3">
      <c r="A74" s="13" t="s">
        <v>81</v>
      </c>
      <c r="B74" s="401"/>
      <c r="C74" s="10">
        <f t="shared" ref="C74:E75" si="3">C71/B71-1</f>
        <v>0</v>
      </c>
      <c r="D74" s="10">
        <f t="shared" si="3"/>
        <v>0</v>
      </c>
      <c r="E74" s="10">
        <f t="shared" si="3"/>
        <v>0</v>
      </c>
    </row>
    <row r="75" spans="1:5" ht="15.75" thickBot="1" x14ac:dyDescent="0.3">
      <c r="A75" s="13" t="s">
        <v>82</v>
      </c>
      <c r="B75" s="401"/>
      <c r="C75" s="10" t="e">
        <f t="shared" si="3"/>
        <v>#DIV/0!</v>
      </c>
      <c r="D75" s="10" t="e">
        <f t="shared" si="3"/>
        <v>#DIV/0!</v>
      </c>
      <c r="E75" s="10" t="e">
        <f t="shared" si="3"/>
        <v>#DIV/0!</v>
      </c>
    </row>
    <row r="76" spans="1:5" ht="15.75" thickBot="1" x14ac:dyDescent="0.3">
      <c r="A76" s="522" t="s">
        <v>359</v>
      </c>
      <c r="B76" s="523"/>
      <c r="C76" s="523"/>
      <c r="D76" s="523"/>
      <c r="E76" s="524"/>
    </row>
    <row r="77" spans="1:5" x14ac:dyDescent="0.25">
      <c r="A77" s="549"/>
      <c r="B77" s="14">
        <v>2018</v>
      </c>
      <c r="C77" s="14">
        <v>2019</v>
      </c>
      <c r="D77" s="14">
        <v>2020</v>
      </c>
      <c r="E77" s="14">
        <v>2021</v>
      </c>
    </row>
    <row r="78" spans="1:5" ht="15.75" thickBot="1" x14ac:dyDescent="0.3">
      <c r="A78" s="550"/>
      <c r="B78" s="15" t="s">
        <v>41</v>
      </c>
      <c r="C78" s="15" t="s">
        <v>42</v>
      </c>
      <c r="D78" s="15" t="s">
        <v>42</v>
      </c>
      <c r="E78" s="15" t="s">
        <v>42</v>
      </c>
    </row>
    <row r="79" spans="1:5" ht="15.75" thickBot="1" x14ac:dyDescent="0.3">
      <c r="A79" s="17" t="s">
        <v>84</v>
      </c>
      <c r="B79" s="18">
        <v>20000</v>
      </c>
      <c r="C79" s="18">
        <v>20000</v>
      </c>
      <c r="D79" s="18">
        <v>20000</v>
      </c>
      <c r="E79" s="18">
        <v>20000</v>
      </c>
    </row>
    <row r="80" spans="1:5" ht="24.75" thickBot="1" x14ac:dyDescent="0.3">
      <c r="A80" s="17" t="s">
        <v>85</v>
      </c>
      <c r="B80" s="18">
        <v>5000</v>
      </c>
      <c r="C80" s="18">
        <v>5000</v>
      </c>
      <c r="D80" s="18">
        <v>5000</v>
      </c>
      <c r="E80" s="18">
        <v>5000</v>
      </c>
    </row>
    <row r="81" spans="1:5" ht="15.75" thickBot="1" x14ac:dyDescent="0.3">
      <c r="A81" s="17" t="s">
        <v>86</v>
      </c>
      <c r="B81" s="19">
        <v>60000</v>
      </c>
      <c r="C81" s="19">
        <v>60000</v>
      </c>
      <c r="D81" s="19">
        <v>60000</v>
      </c>
      <c r="E81" s="19">
        <v>60000</v>
      </c>
    </row>
    <row r="82" spans="1:5" ht="15.75" thickBot="1" x14ac:dyDescent="0.3">
      <c r="A82" s="17" t="s">
        <v>87</v>
      </c>
      <c r="B82" s="19"/>
      <c r="C82" s="18"/>
      <c r="D82" s="18"/>
      <c r="E82" s="18"/>
    </row>
    <row r="83" spans="1:5" ht="15.75" thickBot="1" x14ac:dyDescent="0.3">
      <c r="A83" s="17" t="s">
        <v>88</v>
      </c>
      <c r="B83" s="19"/>
      <c r="C83" s="18"/>
      <c r="D83" s="18"/>
      <c r="E83" s="18"/>
    </row>
    <row r="84" spans="1:5" ht="15.75" thickBot="1" x14ac:dyDescent="0.3">
      <c r="A84" s="17" t="s">
        <v>89</v>
      </c>
      <c r="B84" s="19"/>
      <c r="C84" s="18"/>
      <c r="D84" s="18"/>
      <c r="E84" s="18"/>
    </row>
    <row r="85" spans="1:5" ht="24.75" thickBot="1" x14ac:dyDescent="0.3">
      <c r="A85" s="17" t="s">
        <v>90</v>
      </c>
      <c r="B85" s="19"/>
      <c r="C85" s="18"/>
      <c r="D85" s="18"/>
      <c r="E85" s="18"/>
    </row>
    <row r="86" spans="1:5" ht="15.75" thickBot="1" x14ac:dyDescent="0.3">
      <c r="A86" s="49" t="s">
        <v>103</v>
      </c>
      <c r="B86" s="19">
        <f>B85+B84+B83+B82+B81+B80+B79</f>
        <v>85000</v>
      </c>
      <c r="C86" s="19">
        <f>C85+C84+C83+C82+C81+C80+C79</f>
        <v>85000</v>
      </c>
      <c r="D86" s="19">
        <f>D85+D84+D83+D82+D81+D80+D79</f>
        <v>85000</v>
      </c>
      <c r="E86" s="19">
        <f>E85+E84+E83+E82+E81+E80+E79</f>
        <v>85000</v>
      </c>
    </row>
    <row r="87" spans="1:5" ht="15.75" thickBot="1" x14ac:dyDescent="0.3">
      <c r="A87" s="21" t="s">
        <v>92</v>
      </c>
      <c r="B87" s="22">
        <f>IF(B86-B71=0,0,"Error")</f>
        <v>0</v>
      </c>
      <c r="C87" s="22">
        <f>IF(C86-C71=0,0,"Error")</f>
        <v>0</v>
      </c>
      <c r="D87" s="22">
        <f>IF(D86-D71=0,0,"Error")</f>
        <v>0</v>
      </c>
      <c r="E87" s="22">
        <f>IF(E86-E71=0,0,"Error")</f>
        <v>0</v>
      </c>
    </row>
    <row r="88" spans="1:5" ht="15.75" thickBot="1" x14ac:dyDescent="0.3">
      <c r="A88" s="563" t="s">
        <v>104</v>
      </c>
      <c r="B88" s="564"/>
      <c r="C88" s="564"/>
      <c r="D88" s="564"/>
      <c r="E88" s="565"/>
    </row>
    <row r="89" spans="1:5" ht="15.75" thickBot="1" x14ac:dyDescent="0.3">
      <c r="A89" s="563" t="s">
        <v>170</v>
      </c>
      <c r="B89" s="564"/>
      <c r="C89" s="564"/>
      <c r="D89" s="564"/>
      <c r="E89" s="565"/>
    </row>
    <row r="90" spans="1:5" ht="15.75" thickBot="1" x14ac:dyDescent="0.3">
      <c r="A90" s="23" t="s">
        <v>257</v>
      </c>
      <c r="B90" s="566" t="s">
        <v>716</v>
      </c>
      <c r="C90" s="567"/>
      <c r="D90" s="567"/>
      <c r="E90" s="568"/>
    </row>
    <row r="91" spans="1:5" ht="15.75" thickBot="1" x14ac:dyDescent="0.3">
      <c r="A91" s="12" t="s">
        <v>108</v>
      </c>
      <c r="B91" s="569" t="s">
        <v>717</v>
      </c>
      <c r="C91" s="570"/>
      <c r="D91" s="570"/>
      <c r="E91" s="571"/>
    </row>
    <row r="92" spans="1:5" ht="15.75" thickBot="1" x14ac:dyDescent="0.3">
      <c r="A92" s="13" t="s">
        <v>72</v>
      </c>
      <c r="B92" s="560" t="s">
        <v>717</v>
      </c>
      <c r="C92" s="561"/>
      <c r="D92" s="561"/>
      <c r="E92" s="562"/>
    </row>
    <row r="93" spans="1:5" ht="15.75" thickBot="1" x14ac:dyDescent="0.3">
      <c r="A93" s="13" t="s">
        <v>74</v>
      </c>
      <c r="B93" s="572" t="s">
        <v>364</v>
      </c>
      <c r="C93" s="573"/>
      <c r="D93" s="573"/>
      <c r="E93" s="574"/>
    </row>
    <row r="94" spans="1:5" x14ac:dyDescent="0.25">
      <c r="A94" s="549"/>
      <c r="B94" s="14">
        <v>2018</v>
      </c>
      <c r="C94" s="14">
        <v>2019</v>
      </c>
      <c r="D94" s="14">
        <v>2020</v>
      </c>
      <c r="E94" s="14">
        <v>2021</v>
      </c>
    </row>
    <row r="95" spans="1:5" ht="15.75" thickBot="1" x14ac:dyDescent="0.3">
      <c r="A95" s="550"/>
      <c r="B95" s="15" t="s">
        <v>41</v>
      </c>
      <c r="C95" s="15" t="s">
        <v>42</v>
      </c>
      <c r="D95" s="15" t="s">
        <v>42</v>
      </c>
      <c r="E95" s="15" t="s">
        <v>42</v>
      </c>
    </row>
    <row r="96" spans="1:5" ht="15.75" thickBot="1" x14ac:dyDescent="0.3">
      <c r="A96" s="13" t="s">
        <v>76</v>
      </c>
      <c r="B96" s="16"/>
      <c r="C96" s="16"/>
      <c r="D96" s="16">
        <v>1</v>
      </c>
      <c r="E96" s="16"/>
    </row>
    <row r="97" spans="1:5" ht="15.75" thickBot="1" x14ac:dyDescent="0.3">
      <c r="A97" s="13" t="s">
        <v>77</v>
      </c>
      <c r="B97" s="16">
        <v>0</v>
      </c>
      <c r="C97" s="16">
        <v>0</v>
      </c>
      <c r="D97" s="16">
        <v>28000</v>
      </c>
      <c r="E97" s="16">
        <v>0</v>
      </c>
    </row>
    <row r="98" spans="1:5" ht="15.75" thickBot="1" x14ac:dyDescent="0.3">
      <c r="A98" s="13" t="s">
        <v>78</v>
      </c>
      <c r="B98" s="16" t="e">
        <f>B97/B96</f>
        <v>#DIV/0!</v>
      </c>
      <c r="C98" s="16" t="e">
        <f>C97/C96</f>
        <v>#DIV/0!</v>
      </c>
      <c r="D98" s="16">
        <f>D97/D96</f>
        <v>28000</v>
      </c>
      <c r="E98" s="16" t="e">
        <f>E97/E96</f>
        <v>#DIV/0!</v>
      </c>
    </row>
    <row r="99" spans="1:5" ht="15.75" thickBot="1" x14ac:dyDescent="0.3">
      <c r="A99" s="13" t="s">
        <v>79</v>
      </c>
      <c r="B99" s="401" t="s">
        <v>80</v>
      </c>
      <c r="C99" s="10" t="e">
        <f t="shared" ref="C99:E101" si="4">C96/B96-1</f>
        <v>#DIV/0!</v>
      </c>
      <c r="D99" s="10" t="e">
        <f t="shared" si="4"/>
        <v>#DIV/0!</v>
      </c>
      <c r="E99" s="10">
        <f t="shared" si="4"/>
        <v>-1</v>
      </c>
    </row>
    <row r="100" spans="1:5" ht="15.75" thickBot="1" x14ac:dyDescent="0.3">
      <c r="A100" s="13" t="s">
        <v>81</v>
      </c>
      <c r="B100" s="401" t="s">
        <v>80</v>
      </c>
      <c r="C100" s="10" t="e">
        <f t="shared" si="4"/>
        <v>#DIV/0!</v>
      </c>
      <c r="D100" s="10" t="e">
        <f t="shared" si="4"/>
        <v>#DIV/0!</v>
      </c>
      <c r="E100" s="10">
        <f t="shared" si="4"/>
        <v>-1</v>
      </c>
    </row>
    <row r="101" spans="1:5" ht="15.75" thickBot="1" x14ac:dyDescent="0.3">
      <c r="A101" s="13" t="s">
        <v>82</v>
      </c>
      <c r="B101" s="401" t="s">
        <v>80</v>
      </c>
      <c r="C101" s="10" t="e">
        <f t="shared" si="4"/>
        <v>#DIV/0!</v>
      </c>
      <c r="D101" s="10" t="e">
        <f t="shared" si="4"/>
        <v>#DIV/0!</v>
      </c>
      <c r="E101" s="10" t="e">
        <f t="shared" si="4"/>
        <v>#DIV/0!</v>
      </c>
    </row>
    <row r="102" spans="1:5" ht="15.75" thickBot="1" x14ac:dyDescent="0.3">
      <c r="A102" s="522" t="s">
        <v>83</v>
      </c>
      <c r="B102" s="523"/>
      <c r="C102" s="523"/>
      <c r="D102" s="523"/>
      <c r="E102" s="524"/>
    </row>
    <row r="103" spans="1:5" x14ac:dyDescent="0.25">
      <c r="A103" s="549"/>
      <c r="B103" s="14">
        <v>2018</v>
      </c>
      <c r="C103" s="14">
        <v>2019</v>
      </c>
      <c r="D103" s="14">
        <v>2020</v>
      </c>
      <c r="E103" s="14">
        <v>2021</v>
      </c>
    </row>
    <row r="104" spans="1:5" ht="15.75" thickBot="1" x14ac:dyDescent="0.3">
      <c r="A104" s="550"/>
      <c r="B104" s="15" t="s">
        <v>41</v>
      </c>
      <c r="C104" s="15" t="s">
        <v>42</v>
      </c>
      <c r="D104" s="15" t="s">
        <v>42</v>
      </c>
      <c r="E104" s="15" t="s">
        <v>42</v>
      </c>
    </row>
    <row r="105" spans="1:5" ht="15.75" thickBot="1" x14ac:dyDescent="0.3">
      <c r="A105" s="17" t="s">
        <v>169</v>
      </c>
      <c r="B105" s="18"/>
      <c r="C105" s="18"/>
      <c r="D105" s="18"/>
      <c r="E105" s="18"/>
    </row>
    <row r="106" spans="1:5" ht="15.75" thickBot="1" x14ac:dyDescent="0.3">
      <c r="A106" s="17" t="s">
        <v>112</v>
      </c>
      <c r="B106" s="19">
        <v>0</v>
      </c>
      <c r="C106" s="18">
        <v>0</v>
      </c>
      <c r="D106" s="18">
        <v>28000</v>
      </c>
      <c r="E106" s="18">
        <v>0</v>
      </c>
    </row>
    <row r="107" spans="1:5" ht="15.75" thickBot="1" x14ac:dyDescent="0.3">
      <c r="A107" s="20" t="s">
        <v>91</v>
      </c>
      <c r="B107" s="19">
        <f>B106+B105</f>
        <v>0</v>
      </c>
      <c r="C107" s="19">
        <f>C106+C105</f>
        <v>0</v>
      </c>
      <c r="D107" s="19">
        <f>D106+D105</f>
        <v>28000</v>
      </c>
      <c r="E107" s="19">
        <f>E106+E105</f>
        <v>0</v>
      </c>
    </row>
    <row r="108" spans="1:5" ht="15.75" thickBot="1" x14ac:dyDescent="0.3">
      <c r="A108" s="50" t="s">
        <v>257</v>
      </c>
      <c r="B108" s="566" t="s">
        <v>718</v>
      </c>
      <c r="C108" s="567"/>
      <c r="D108" s="567"/>
      <c r="E108" s="568"/>
    </row>
    <row r="109" spans="1:5" ht="15.75" thickBot="1" x14ac:dyDescent="0.3">
      <c r="A109" s="12" t="s">
        <v>93</v>
      </c>
      <c r="B109" s="569" t="s">
        <v>719</v>
      </c>
      <c r="C109" s="570"/>
      <c r="D109" s="570"/>
      <c r="E109" s="571"/>
    </row>
    <row r="110" spans="1:5" ht="15.75" thickBot="1" x14ac:dyDescent="0.3">
      <c r="A110" s="13" t="s">
        <v>72</v>
      </c>
      <c r="B110" s="560" t="s">
        <v>719</v>
      </c>
      <c r="C110" s="561"/>
      <c r="D110" s="561"/>
      <c r="E110" s="562"/>
    </row>
    <row r="111" spans="1:5" ht="15.75" thickBot="1" x14ac:dyDescent="0.3">
      <c r="A111" s="13" t="s">
        <v>74</v>
      </c>
      <c r="B111" s="572" t="s">
        <v>720</v>
      </c>
      <c r="C111" s="573"/>
      <c r="D111" s="573"/>
      <c r="E111" s="574"/>
    </row>
    <row r="112" spans="1:5" x14ac:dyDescent="0.25">
      <c r="A112" s="549"/>
      <c r="B112" s="14">
        <v>2018</v>
      </c>
      <c r="C112" s="14">
        <v>2019</v>
      </c>
      <c r="D112" s="14">
        <v>2020</v>
      </c>
      <c r="E112" s="14">
        <v>2021</v>
      </c>
    </row>
    <row r="113" spans="1:5" ht="15.75" thickBot="1" x14ac:dyDescent="0.3">
      <c r="A113" s="550"/>
      <c r="B113" s="15" t="s">
        <v>41</v>
      </c>
      <c r="C113" s="15" t="s">
        <v>42</v>
      </c>
      <c r="D113" s="15" t="s">
        <v>42</v>
      </c>
      <c r="E113" s="15" t="s">
        <v>42</v>
      </c>
    </row>
    <row r="114" spans="1:5" ht="15.75" thickBot="1" x14ac:dyDescent="0.3">
      <c r="A114" s="13" t="s">
        <v>76</v>
      </c>
      <c r="B114" s="16">
        <v>60</v>
      </c>
      <c r="C114" s="16">
        <v>1500</v>
      </c>
      <c r="D114" s="16">
        <v>700</v>
      </c>
      <c r="E114" s="16">
        <v>700</v>
      </c>
    </row>
    <row r="115" spans="1:5" ht="15.75" thickBot="1" x14ac:dyDescent="0.3">
      <c r="A115" s="13" t="s">
        <v>77</v>
      </c>
      <c r="B115" s="16">
        <v>9296</v>
      </c>
      <c r="C115" s="16">
        <f>25786+242296</f>
        <v>268082</v>
      </c>
      <c r="D115" s="16">
        <v>212000</v>
      </c>
      <c r="E115" s="16">
        <v>162000</v>
      </c>
    </row>
    <row r="116" spans="1:5" ht="15.75" thickBot="1" x14ac:dyDescent="0.3">
      <c r="A116" s="13" t="s">
        <v>78</v>
      </c>
      <c r="B116" s="16">
        <f>B115/B114</f>
        <v>154.93333333333334</v>
      </c>
      <c r="C116" s="16">
        <f>C115/C114</f>
        <v>178.72133333333332</v>
      </c>
      <c r="D116" s="16">
        <f>D115/D114</f>
        <v>302.85714285714283</v>
      </c>
      <c r="E116" s="16">
        <f>E115/E114</f>
        <v>231.42857142857142</v>
      </c>
    </row>
    <row r="117" spans="1:5" ht="15.75" thickBot="1" x14ac:dyDescent="0.3">
      <c r="A117" s="13" t="s">
        <v>79</v>
      </c>
      <c r="B117" s="401" t="s">
        <v>80</v>
      </c>
      <c r="C117" s="10">
        <f t="shared" ref="C117:E119" si="5">C114/B114-1</f>
        <v>24</v>
      </c>
      <c r="D117" s="10">
        <f t="shared" si="5"/>
        <v>-0.53333333333333333</v>
      </c>
      <c r="E117" s="10">
        <f t="shared" si="5"/>
        <v>0</v>
      </c>
    </row>
    <row r="118" spans="1:5" ht="15.75" thickBot="1" x14ac:dyDescent="0.3">
      <c r="A118" s="13" t="s">
        <v>81</v>
      </c>
      <c r="B118" s="401" t="s">
        <v>80</v>
      </c>
      <c r="C118" s="10">
        <f t="shared" si="5"/>
        <v>27.838425129087781</v>
      </c>
      <c r="D118" s="10">
        <f t="shared" si="5"/>
        <v>-0.20919718593564651</v>
      </c>
      <c r="E118" s="10">
        <f t="shared" si="5"/>
        <v>-0.23584905660377353</v>
      </c>
    </row>
    <row r="119" spans="1:5" ht="15.75" thickBot="1" x14ac:dyDescent="0.3">
      <c r="A119" s="13" t="s">
        <v>82</v>
      </c>
      <c r="B119" s="401" t="s">
        <v>80</v>
      </c>
      <c r="C119" s="10">
        <f t="shared" si="5"/>
        <v>0.15353700516351099</v>
      </c>
      <c r="D119" s="10">
        <f t="shared" si="5"/>
        <v>0.69457745870932874</v>
      </c>
      <c r="E119" s="10">
        <f t="shared" si="5"/>
        <v>-0.23584905660377353</v>
      </c>
    </row>
    <row r="120" spans="1:5" ht="15.75" thickBot="1" x14ac:dyDescent="0.3">
      <c r="A120" s="522" t="s">
        <v>97</v>
      </c>
      <c r="B120" s="523"/>
      <c r="C120" s="523"/>
      <c r="D120" s="523"/>
      <c r="E120" s="524"/>
    </row>
    <row r="121" spans="1:5" x14ac:dyDescent="0.25">
      <c r="A121" s="549"/>
      <c r="B121" s="14">
        <v>2018</v>
      </c>
      <c r="C121" s="14">
        <v>2019</v>
      </c>
      <c r="D121" s="14">
        <v>2020</v>
      </c>
      <c r="E121" s="14">
        <v>2021</v>
      </c>
    </row>
    <row r="122" spans="1:5" ht="15.75" thickBot="1" x14ac:dyDescent="0.3">
      <c r="A122" s="550"/>
      <c r="B122" s="15" t="s">
        <v>41</v>
      </c>
      <c r="C122" s="15" t="s">
        <v>42</v>
      </c>
      <c r="D122" s="15" t="s">
        <v>42</v>
      </c>
      <c r="E122" s="15" t="s">
        <v>42</v>
      </c>
    </row>
    <row r="123" spans="1:5" ht="15.75" thickBot="1" x14ac:dyDescent="0.3">
      <c r="A123" s="17" t="s">
        <v>169</v>
      </c>
      <c r="B123" s="18"/>
      <c r="C123" s="18"/>
      <c r="D123" s="18"/>
      <c r="E123" s="18"/>
    </row>
    <row r="124" spans="1:5" ht="15.75" thickBot="1" x14ac:dyDescent="0.3">
      <c r="A124" s="17" t="s">
        <v>112</v>
      </c>
      <c r="B124" s="18">
        <v>9296</v>
      </c>
      <c r="C124" s="18">
        <v>268082</v>
      </c>
      <c r="D124" s="18">
        <f>162000+50000</f>
        <v>212000</v>
      </c>
      <c r="E124" s="18">
        <f>152000+10000</f>
        <v>162000</v>
      </c>
    </row>
    <row r="125" spans="1:5" ht="15.75" thickBot="1" x14ac:dyDescent="0.3">
      <c r="A125" s="20" t="s">
        <v>176</v>
      </c>
      <c r="B125" s="19">
        <f>B124+B123</f>
        <v>9296</v>
      </c>
      <c r="C125" s="19">
        <f>C124+C123</f>
        <v>268082</v>
      </c>
      <c r="D125" s="19">
        <f>D124+D123</f>
        <v>212000</v>
      </c>
      <c r="E125" s="19">
        <f>E124+E123</f>
        <v>162000</v>
      </c>
    </row>
    <row r="126" spans="1:5" ht="15.75" thickBot="1" x14ac:dyDescent="0.3">
      <c r="A126" s="50" t="s">
        <v>257</v>
      </c>
      <c r="B126" s="566" t="s">
        <v>721</v>
      </c>
      <c r="C126" s="567"/>
      <c r="D126" s="567"/>
      <c r="E126" s="568"/>
    </row>
    <row r="127" spans="1:5" ht="15.75" thickBot="1" x14ac:dyDescent="0.3">
      <c r="A127" s="12" t="s">
        <v>99</v>
      </c>
      <c r="B127" s="569" t="s">
        <v>722</v>
      </c>
      <c r="C127" s="570"/>
      <c r="D127" s="570"/>
      <c r="E127" s="571"/>
    </row>
    <row r="128" spans="1:5" ht="15.75" thickBot="1" x14ac:dyDescent="0.3">
      <c r="A128" s="13" t="s">
        <v>72</v>
      </c>
      <c r="B128" s="560" t="s">
        <v>722</v>
      </c>
      <c r="C128" s="561"/>
      <c r="D128" s="561"/>
      <c r="E128" s="562"/>
    </row>
    <row r="129" spans="1:5" ht="15.75" thickBot="1" x14ac:dyDescent="0.3">
      <c r="A129" s="13" t="s">
        <v>74</v>
      </c>
      <c r="B129" s="572" t="s">
        <v>723</v>
      </c>
      <c r="C129" s="573"/>
      <c r="D129" s="573"/>
      <c r="E129" s="574"/>
    </row>
    <row r="130" spans="1:5" x14ac:dyDescent="0.25">
      <c r="A130" s="549"/>
      <c r="B130" s="14">
        <v>2018</v>
      </c>
      <c r="C130" s="14">
        <v>2019</v>
      </c>
      <c r="D130" s="14">
        <v>2020</v>
      </c>
      <c r="E130" s="14">
        <v>2021</v>
      </c>
    </row>
    <row r="131" spans="1:5" ht="15.75" thickBot="1" x14ac:dyDescent="0.3">
      <c r="A131" s="550"/>
      <c r="B131" s="15" t="s">
        <v>41</v>
      </c>
      <c r="C131" s="15" t="s">
        <v>42</v>
      </c>
      <c r="D131" s="15" t="s">
        <v>42</v>
      </c>
      <c r="E131" s="15" t="s">
        <v>42</v>
      </c>
    </row>
    <row r="132" spans="1:5" ht="15.75" thickBot="1" x14ac:dyDescent="0.3">
      <c r="A132" s="13" t="s">
        <v>76</v>
      </c>
      <c r="B132" s="16">
        <v>1</v>
      </c>
      <c r="C132" s="16">
        <v>1</v>
      </c>
      <c r="D132" s="16">
        <v>1</v>
      </c>
      <c r="E132" s="16">
        <v>1</v>
      </c>
    </row>
    <row r="133" spans="1:5" ht="15.75" thickBot="1" x14ac:dyDescent="0.3">
      <c r="A133" s="13" t="s">
        <v>77</v>
      </c>
      <c r="B133" s="16">
        <v>77837</v>
      </c>
      <c r="C133" s="16">
        <f>77837+100000</f>
        <v>177837</v>
      </c>
      <c r="D133" s="16">
        <v>203000</v>
      </c>
      <c r="E133" s="16">
        <v>181000</v>
      </c>
    </row>
    <row r="134" spans="1:5" ht="15.75" thickBot="1" x14ac:dyDescent="0.3">
      <c r="A134" s="13" t="s">
        <v>78</v>
      </c>
      <c r="B134" s="16">
        <f>B133/B132</f>
        <v>77837</v>
      </c>
      <c r="C134" s="16">
        <f>C133/C132</f>
        <v>177837</v>
      </c>
      <c r="D134" s="16">
        <f>D133/D132</f>
        <v>203000</v>
      </c>
      <c r="E134" s="16">
        <f>E133/E132</f>
        <v>181000</v>
      </c>
    </row>
    <row r="135" spans="1:5" ht="15.75" thickBot="1" x14ac:dyDescent="0.3">
      <c r="A135" s="13" t="s">
        <v>79</v>
      </c>
      <c r="B135" s="479" t="s">
        <v>80</v>
      </c>
      <c r="C135" s="10">
        <f t="shared" ref="C135:E135" si="6">C132/B132-1</f>
        <v>0</v>
      </c>
      <c r="D135" s="10">
        <f t="shared" si="6"/>
        <v>0</v>
      </c>
      <c r="E135" s="10">
        <f t="shared" si="6"/>
        <v>0</v>
      </c>
    </row>
    <row r="136" spans="1:5" ht="15.75" thickBot="1" x14ac:dyDescent="0.3">
      <c r="A136" s="13" t="s">
        <v>81</v>
      </c>
      <c r="B136" s="479" t="s">
        <v>80</v>
      </c>
      <c r="C136" s="10">
        <f t="shared" ref="C136:E136" si="7">C133/B133-1</f>
        <v>1.2847360509783265</v>
      </c>
      <c r="D136" s="10">
        <f t="shared" si="7"/>
        <v>0.14149473956488245</v>
      </c>
      <c r="E136" s="10">
        <f t="shared" si="7"/>
        <v>-0.10837438423645318</v>
      </c>
    </row>
    <row r="137" spans="1:5" ht="15.75" thickBot="1" x14ac:dyDescent="0.3">
      <c r="A137" s="13" t="s">
        <v>82</v>
      </c>
      <c r="B137" s="479" t="s">
        <v>80</v>
      </c>
      <c r="C137" s="10">
        <f t="shared" ref="C137:E137" si="8">C134/B134-1</f>
        <v>1.2847360509783265</v>
      </c>
      <c r="D137" s="10">
        <f t="shared" si="8"/>
        <v>0.14149473956488245</v>
      </c>
      <c r="E137" s="10">
        <f t="shared" si="8"/>
        <v>-0.10837438423645318</v>
      </c>
    </row>
    <row r="138" spans="1:5" ht="15.75" thickBot="1" x14ac:dyDescent="0.3">
      <c r="A138" s="522" t="s">
        <v>102</v>
      </c>
      <c r="B138" s="523"/>
      <c r="C138" s="523"/>
      <c r="D138" s="523"/>
      <c r="E138" s="524"/>
    </row>
    <row r="139" spans="1:5" x14ac:dyDescent="0.25">
      <c r="A139" s="549"/>
      <c r="B139" s="14">
        <v>2018</v>
      </c>
      <c r="C139" s="14">
        <v>2019</v>
      </c>
      <c r="D139" s="14">
        <v>2020</v>
      </c>
      <c r="E139" s="14">
        <v>2021</v>
      </c>
    </row>
    <row r="140" spans="1:5" ht="15.75" thickBot="1" x14ac:dyDescent="0.3">
      <c r="A140" s="550"/>
      <c r="B140" s="15" t="s">
        <v>41</v>
      </c>
      <c r="C140" s="15" t="s">
        <v>42</v>
      </c>
      <c r="D140" s="15" t="s">
        <v>42</v>
      </c>
      <c r="E140" s="15" t="s">
        <v>42</v>
      </c>
    </row>
    <row r="141" spans="1:5" ht="15.75" thickBot="1" x14ac:dyDescent="0.3">
      <c r="A141" s="17" t="s">
        <v>169</v>
      </c>
      <c r="B141" s="18"/>
      <c r="C141" s="18"/>
      <c r="D141" s="18"/>
      <c r="E141" s="18"/>
    </row>
    <row r="142" spans="1:5" ht="15.75" thickBot="1" x14ac:dyDescent="0.3">
      <c r="A142" s="17" t="s">
        <v>112</v>
      </c>
      <c r="B142" s="18">
        <v>77837</v>
      </c>
      <c r="C142" s="18">
        <v>177837</v>
      </c>
      <c r="D142" s="18">
        <f>170000+33000</f>
        <v>203000</v>
      </c>
      <c r="E142" s="18">
        <f>160000+21000</f>
        <v>181000</v>
      </c>
    </row>
    <row r="143" spans="1:5" ht="15.75" thickBot="1" x14ac:dyDescent="0.3">
      <c r="A143" s="20" t="s">
        <v>176</v>
      </c>
      <c r="B143" s="19">
        <f>B142+B141</f>
        <v>77837</v>
      </c>
      <c r="C143" s="19">
        <f>C142+C141</f>
        <v>177837</v>
      </c>
      <c r="D143" s="19">
        <f>D142+D141</f>
        <v>203000</v>
      </c>
      <c r="E143" s="19">
        <f>E142+E141</f>
        <v>181000</v>
      </c>
    </row>
    <row r="144" spans="1:5" ht="21" customHeight="1" thickBot="1" x14ac:dyDescent="0.3">
      <c r="A144" s="50" t="s">
        <v>257</v>
      </c>
      <c r="B144" s="566" t="s">
        <v>724</v>
      </c>
      <c r="C144" s="567"/>
      <c r="D144" s="567"/>
      <c r="E144" s="568"/>
    </row>
    <row r="145" spans="1:5" ht="24" customHeight="1" thickBot="1" x14ac:dyDescent="0.3">
      <c r="A145" s="12" t="s">
        <v>115</v>
      </c>
      <c r="B145" s="575" t="s">
        <v>725</v>
      </c>
      <c r="C145" s="576"/>
      <c r="D145" s="576"/>
      <c r="E145" s="577"/>
    </row>
    <row r="146" spans="1:5" ht="33" customHeight="1" thickBot="1" x14ac:dyDescent="0.3">
      <c r="A146" s="13" t="s">
        <v>72</v>
      </c>
      <c r="B146" s="560" t="s">
        <v>725</v>
      </c>
      <c r="C146" s="561"/>
      <c r="D146" s="561"/>
      <c r="E146" s="562"/>
    </row>
    <row r="147" spans="1:5" ht="15.75" thickBot="1" x14ac:dyDescent="0.3">
      <c r="A147" s="13" t="s">
        <v>74</v>
      </c>
      <c r="B147" s="572" t="s">
        <v>726</v>
      </c>
      <c r="C147" s="573"/>
      <c r="D147" s="573"/>
      <c r="E147" s="574"/>
    </row>
    <row r="148" spans="1:5" x14ac:dyDescent="0.25">
      <c r="A148" s="549"/>
      <c r="B148" s="14">
        <v>2018</v>
      </c>
      <c r="C148" s="14">
        <v>2019</v>
      </c>
      <c r="D148" s="14">
        <v>2020</v>
      </c>
      <c r="E148" s="14">
        <v>2021</v>
      </c>
    </row>
    <row r="149" spans="1:5" ht="15.75" thickBot="1" x14ac:dyDescent="0.3">
      <c r="A149" s="550"/>
      <c r="B149" s="15" t="s">
        <v>41</v>
      </c>
      <c r="C149" s="15" t="s">
        <v>42</v>
      </c>
      <c r="D149" s="15" t="s">
        <v>42</v>
      </c>
      <c r="E149" s="15" t="s">
        <v>42</v>
      </c>
    </row>
    <row r="150" spans="1:5" ht="15.75" thickBot="1" x14ac:dyDescent="0.3">
      <c r="A150" s="13" t="s">
        <v>76</v>
      </c>
      <c r="B150" s="16">
        <v>1</v>
      </c>
      <c r="C150" s="16">
        <v>1</v>
      </c>
      <c r="D150" s="16">
        <v>1</v>
      </c>
      <c r="E150" s="16">
        <v>1</v>
      </c>
    </row>
    <row r="151" spans="1:5" ht="15.75" thickBot="1" x14ac:dyDescent="0.3">
      <c r="A151" s="13" t="s">
        <v>77</v>
      </c>
      <c r="B151" s="16">
        <v>0</v>
      </c>
      <c r="C151" s="16">
        <v>75000</v>
      </c>
      <c r="D151" s="16">
        <v>0</v>
      </c>
      <c r="E151" s="16">
        <v>0</v>
      </c>
    </row>
    <row r="152" spans="1:5" ht="15.75" thickBot="1" x14ac:dyDescent="0.3">
      <c r="A152" s="13" t="s">
        <v>78</v>
      </c>
      <c r="B152" s="16">
        <f>B151/B150</f>
        <v>0</v>
      </c>
      <c r="C152" s="16">
        <f>C151/C150</f>
        <v>75000</v>
      </c>
      <c r="D152" s="16">
        <f>D151/D150</f>
        <v>0</v>
      </c>
      <c r="E152" s="16">
        <f>E151/E150</f>
        <v>0</v>
      </c>
    </row>
    <row r="153" spans="1:5" ht="15.75" thickBot="1" x14ac:dyDescent="0.3">
      <c r="A153" s="13" t="s">
        <v>79</v>
      </c>
      <c r="B153" s="479" t="s">
        <v>80</v>
      </c>
      <c r="C153" s="10">
        <f t="shared" ref="C153:E153" si="9">C150/B150-1</f>
        <v>0</v>
      </c>
      <c r="D153" s="10">
        <f t="shared" si="9"/>
        <v>0</v>
      </c>
      <c r="E153" s="10">
        <f t="shared" si="9"/>
        <v>0</v>
      </c>
    </row>
    <row r="154" spans="1:5" ht="15.75" thickBot="1" x14ac:dyDescent="0.3">
      <c r="A154" s="13" t="s">
        <v>81</v>
      </c>
      <c r="B154" s="479" t="s">
        <v>80</v>
      </c>
      <c r="C154" s="10" t="e">
        <f t="shared" ref="C154:E154" si="10">C151/B151-1</f>
        <v>#DIV/0!</v>
      </c>
      <c r="D154" s="10">
        <f t="shared" si="10"/>
        <v>-1</v>
      </c>
      <c r="E154" s="10" t="e">
        <f t="shared" si="10"/>
        <v>#DIV/0!</v>
      </c>
    </row>
    <row r="155" spans="1:5" ht="15.75" thickBot="1" x14ac:dyDescent="0.3">
      <c r="A155" s="13" t="s">
        <v>82</v>
      </c>
      <c r="B155" s="479" t="s">
        <v>80</v>
      </c>
      <c r="C155" s="10" t="e">
        <f t="shared" ref="C155:E155" si="11">C152/B152-1</f>
        <v>#DIV/0!</v>
      </c>
      <c r="D155" s="10">
        <f t="shared" si="11"/>
        <v>-1</v>
      </c>
      <c r="E155" s="10" t="e">
        <f t="shared" si="11"/>
        <v>#DIV/0!</v>
      </c>
    </row>
    <row r="156" spans="1:5" ht="15.75" thickBot="1" x14ac:dyDescent="0.3">
      <c r="A156" s="522" t="s">
        <v>423</v>
      </c>
      <c r="B156" s="523"/>
      <c r="C156" s="523"/>
      <c r="D156" s="523"/>
      <c r="E156" s="524"/>
    </row>
    <row r="157" spans="1:5" x14ac:dyDescent="0.25">
      <c r="A157" s="549"/>
      <c r="B157" s="14">
        <v>2018</v>
      </c>
      <c r="C157" s="14">
        <v>2019</v>
      </c>
      <c r="D157" s="14">
        <v>2020</v>
      </c>
      <c r="E157" s="14">
        <v>2021</v>
      </c>
    </row>
    <row r="158" spans="1:5" ht="15.75" thickBot="1" x14ac:dyDescent="0.3">
      <c r="A158" s="550"/>
      <c r="B158" s="15" t="s">
        <v>41</v>
      </c>
      <c r="C158" s="15" t="s">
        <v>42</v>
      </c>
      <c r="D158" s="15" t="s">
        <v>42</v>
      </c>
      <c r="E158" s="15" t="s">
        <v>42</v>
      </c>
    </row>
    <row r="159" spans="1:5" ht="15.75" thickBot="1" x14ac:dyDescent="0.3">
      <c r="A159" s="17" t="s">
        <v>169</v>
      </c>
      <c r="B159" s="18"/>
      <c r="C159" s="18"/>
      <c r="D159" s="18"/>
      <c r="E159" s="18"/>
    </row>
    <row r="160" spans="1:5" ht="15.75" thickBot="1" x14ac:dyDescent="0.3">
      <c r="A160" s="17" t="s">
        <v>112</v>
      </c>
      <c r="B160" s="18">
        <v>0</v>
      </c>
      <c r="C160" s="18">
        <v>75000</v>
      </c>
      <c r="D160" s="18">
        <v>0</v>
      </c>
      <c r="E160" s="18">
        <v>0</v>
      </c>
    </row>
    <row r="161" spans="1:5" ht="15.75" thickBot="1" x14ac:dyDescent="0.3">
      <c r="A161" s="20" t="s">
        <v>262</v>
      </c>
      <c r="B161" s="19">
        <f>B160+B159</f>
        <v>0</v>
      </c>
      <c r="C161" s="19">
        <f>C160+C159</f>
        <v>75000</v>
      </c>
      <c r="D161" s="19">
        <f>D160+D159</f>
        <v>0</v>
      </c>
      <c r="E161" s="19">
        <f>E160+E159</f>
        <v>0</v>
      </c>
    </row>
    <row r="162" spans="1:5" ht="15.75" customHeight="1" thickBot="1" x14ac:dyDescent="0.3">
      <c r="A162" s="50" t="s">
        <v>257</v>
      </c>
      <c r="B162" s="566" t="s">
        <v>728</v>
      </c>
      <c r="C162" s="567"/>
      <c r="D162" s="567"/>
      <c r="E162" s="568"/>
    </row>
    <row r="163" spans="1:5" ht="15.75" customHeight="1" thickBot="1" x14ac:dyDescent="0.3">
      <c r="A163" s="12" t="s">
        <v>264</v>
      </c>
      <c r="B163" s="575" t="s">
        <v>727</v>
      </c>
      <c r="C163" s="576"/>
      <c r="D163" s="576"/>
      <c r="E163" s="577"/>
    </row>
    <row r="164" spans="1:5" ht="15.75" thickBot="1" x14ac:dyDescent="0.3">
      <c r="A164" s="13" t="s">
        <v>72</v>
      </c>
      <c r="B164" s="560" t="s">
        <v>727</v>
      </c>
      <c r="C164" s="561"/>
      <c r="D164" s="561"/>
      <c r="E164" s="562"/>
    </row>
    <row r="165" spans="1:5" ht="15.75" thickBot="1" x14ac:dyDescent="0.3">
      <c r="A165" s="13" t="s">
        <v>74</v>
      </c>
      <c r="B165" s="572" t="s">
        <v>726</v>
      </c>
      <c r="C165" s="573"/>
      <c r="D165" s="573"/>
      <c r="E165" s="574"/>
    </row>
    <row r="166" spans="1:5" x14ac:dyDescent="0.25">
      <c r="A166" s="549"/>
      <c r="B166" s="14">
        <v>2018</v>
      </c>
      <c r="C166" s="14">
        <v>2019</v>
      </c>
      <c r="D166" s="14">
        <v>2020</v>
      </c>
      <c r="E166" s="14">
        <v>2021</v>
      </c>
    </row>
    <row r="167" spans="1:5" ht="15.75" thickBot="1" x14ac:dyDescent="0.3">
      <c r="A167" s="550"/>
      <c r="B167" s="15" t="s">
        <v>41</v>
      </c>
      <c r="C167" s="15" t="s">
        <v>42</v>
      </c>
      <c r="D167" s="15" t="s">
        <v>42</v>
      </c>
      <c r="E167" s="15" t="s">
        <v>42</v>
      </c>
    </row>
    <row r="168" spans="1:5" ht="15.75" thickBot="1" x14ac:dyDescent="0.3">
      <c r="A168" s="13" t="s">
        <v>76</v>
      </c>
      <c r="B168" s="16">
        <v>1</v>
      </c>
      <c r="C168" s="16">
        <v>1</v>
      </c>
      <c r="D168" s="16">
        <v>1</v>
      </c>
      <c r="E168" s="16">
        <v>1</v>
      </c>
    </row>
    <row r="169" spans="1:5" ht="15.75" thickBot="1" x14ac:dyDescent="0.3">
      <c r="A169" s="13" t="s">
        <v>77</v>
      </c>
      <c r="B169" s="16">
        <v>0</v>
      </c>
      <c r="C169" s="16">
        <v>5000</v>
      </c>
      <c r="D169" s="16">
        <v>0</v>
      </c>
      <c r="E169" s="16">
        <v>0</v>
      </c>
    </row>
    <row r="170" spans="1:5" ht="15.75" thickBot="1" x14ac:dyDescent="0.3">
      <c r="A170" s="13" t="s">
        <v>78</v>
      </c>
      <c r="B170" s="16">
        <f>B169/B168</f>
        <v>0</v>
      </c>
      <c r="C170" s="16">
        <f>C169/C168</f>
        <v>5000</v>
      </c>
      <c r="D170" s="16">
        <f>D169/D168</f>
        <v>0</v>
      </c>
      <c r="E170" s="16">
        <f>E169/E168</f>
        <v>0</v>
      </c>
    </row>
    <row r="171" spans="1:5" ht="15.75" thickBot="1" x14ac:dyDescent="0.3">
      <c r="A171" s="13" t="s">
        <v>79</v>
      </c>
      <c r="B171" s="479" t="s">
        <v>80</v>
      </c>
      <c r="C171" s="10">
        <f t="shared" ref="C171:E171" si="12">C168/B168-1</f>
        <v>0</v>
      </c>
      <c r="D171" s="10">
        <f t="shared" si="12"/>
        <v>0</v>
      </c>
      <c r="E171" s="10">
        <f t="shared" si="12"/>
        <v>0</v>
      </c>
    </row>
    <row r="172" spans="1:5" ht="15.75" thickBot="1" x14ac:dyDescent="0.3">
      <c r="A172" s="13" t="s">
        <v>81</v>
      </c>
      <c r="B172" s="479" t="s">
        <v>80</v>
      </c>
      <c r="C172" s="10" t="e">
        <f t="shared" ref="C172:E172" si="13">C169/B169-1</f>
        <v>#DIV/0!</v>
      </c>
      <c r="D172" s="10">
        <f t="shared" si="13"/>
        <v>-1</v>
      </c>
      <c r="E172" s="10" t="e">
        <f t="shared" si="13"/>
        <v>#DIV/0!</v>
      </c>
    </row>
    <row r="173" spans="1:5" ht="15.75" customHeight="1" thickBot="1" x14ac:dyDescent="0.3">
      <c r="A173" s="13" t="s">
        <v>82</v>
      </c>
      <c r="B173" s="479" t="s">
        <v>80</v>
      </c>
      <c r="C173" s="10" t="e">
        <f t="shared" ref="C173:E173" si="14">C170/B170-1</f>
        <v>#DIV/0!</v>
      </c>
      <c r="D173" s="10">
        <f t="shared" si="14"/>
        <v>-1</v>
      </c>
      <c r="E173" s="10" t="e">
        <f t="shared" si="14"/>
        <v>#DIV/0!</v>
      </c>
    </row>
    <row r="174" spans="1:5" ht="15.75" thickBot="1" x14ac:dyDescent="0.3">
      <c r="A174" s="522" t="s">
        <v>513</v>
      </c>
      <c r="B174" s="523"/>
      <c r="C174" s="523"/>
      <c r="D174" s="523"/>
      <c r="E174" s="524"/>
    </row>
    <row r="175" spans="1:5" x14ac:dyDescent="0.25">
      <c r="A175" s="549"/>
      <c r="B175" s="14">
        <v>2018</v>
      </c>
      <c r="C175" s="14">
        <v>2019</v>
      </c>
      <c r="D175" s="14">
        <v>2020</v>
      </c>
      <c r="E175" s="14">
        <v>2021</v>
      </c>
    </row>
    <row r="176" spans="1:5" ht="15.75" thickBot="1" x14ac:dyDescent="0.3">
      <c r="A176" s="550"/>
      <c r="B176" s="15" t="s">
        <v>41</v>
      </c>
      <c r="C176" s="15" t="s">
        <v>42</v>
      </c>
      <c r="D176" s="15" t="s">
        <v>42</v>
      </c>
      <c r="E176" s="15" t="s">
        <v>42</v>
      </c>
    </row>
    <row r="177" spans="1:5" ht="15.75" thickBot="1" x14ac:dyDescent="0.3">
      <c r="A177" s="17" t="s">
        <v>169</v>
      </c>
      <c r="B177" s="18"/>
      <c r="C177" s="18"/>
      <c r="D177" s="18"/>
      <c r="E177" s="18"/>
    </row>
    <row r="178" spans="1:5" ht="15.75" thickBot="1" x14ac:dyDescent="0.3">
      <c r="A178" s="17" t="s">
        <v>112</v>
      </c>
      <c r="B178" s="18">
        <v>0</v>
      </c>
      <c r="C178" s="18">
        <v>5000</v>
      </c>
      <c r="D178" s="18">
        <v>0</v>
      </c>
      <c r="E178" s="18">
        <v>0</v>
      </c>
    </row>
    <row r="179" spans="1:5" ht="15.75" thickBot="1" x14ac:dyDescent="0.3">
      <c r="A179" s="20" t="s">
        <v>266</v>
      </c>
      <c r="B179" s="19">
        <f>B178+B177</f>
        <v>0</v>
      </c>
      <c r="C179" s="19">
        <f>C178+C177</f>
        <v>5000</v>
      </c>
      <c r="D179" s="19">
        <f>D178+D177</f>
        <v>0</v>
      </c>
      <c r="E179" s="19">
        <f>E178+E177</f>
        <v>0</v>
      </c>
    </row>
    <row r="180" spans="1:5" ht="15.75" thickBot="1" x14ac:dyDescent="0.3">
      <c r="A180" s="50" t="s">
        <v>257</v>
      </c>
      <c r="B180" s="566" t="s">
        <v>728</v>
      </c>
      <c r="C180" s="567"/>
      <c r="D180" s="567"/>
      <c r="E180" s="568"/>
    </row>
    <row r="181" spans="1:5" ht="15.75" thickBot="1" x14ac:dyDescent="0.3">
      <c r="A181" s="12" t="s">
        <v>268</v>
      </c>
      <c r="B181" s="575" t="s">
        <v>729</v>
      </c>
      <c r="C181" s="576"/>
      <c r="D181" s="576"/>
      <c r="E181" s="577"/>
    </row>
    <row r="182" spans="1:5" ht="15.75" thickBot="1" x14ac:dyDescent="0.3">
      <c r="A182" s="13" t="s">
        <v>72</v>
      </c>
      <c r="B182" s="560" t="s">
        <v>729</v>
      </c>
      <c r="C182" s="561"/>
      <c r="D182" s="561"/>
      <c r="E182" s="562"/>
    </row>
    <row r="183" spans="1:5" ht="15.75" thickBot="1" x14ac:dyDescent="0.3">
      <c r="A183" s="13" t="s">
        <v>74</v>
      </c>
      <c r="B183" s="572" t="s">
        <v>726</v>
      </c>
      <c r="C183" s="573"/>
      <c r="D183" s="573"/>
      <c r="E183" s="574"/>
    </row>
    <row r="184" spans="1:5" x14ac:dyDescent="0.25">
      <c r="A184" s="549"/>
      <c r="B184" s="14">
        <v>2018</v>
      </c>
      <c r="C184" s="14">
        <v>2019</v>
      </c>
      <c r="D184" s="14">
        <v>2020</v>
      </c>
      <c r="E184" s="14">
        <v>2021</v>
      </c>
    </row>
    <row r="185" spans="1:5" ht="15.75" thickBot="1" x14ac:dyDescent="0.3">
      <c r="A185" s="550"/>
      <c r="B185" s="15" t="s">
        <v>41</v>
      </c>
      <c r="C185" s="15" t="s">
        <v>42</v>
      </c>
      <c r="D185" s="15" t="s">
        <v>42</v>
      </c>
      <c r="E185" s="15" t="s">
        <v>42</v>
      </c>
    </row>
    <row r="186" spans="1:5" ht="15.75" thickBot="1" x14ac:dyDescent="0.3">
      <c r="A186" s="13" t="s">
        <v>76</v>
      </c>
      <c r="B186" s="16">
        <v>1</v>
      </c>
      <c r="C186" s="16">
        <v>1</v>
      </c>
      <c r="D186" s="16">
        <v>1</v>
      </c>
      <c r="E186" s="16">
        <v>1</v>
      </c>
    </row>
    <row r="187" spans="1:5" ht="15.75" thickBot="1" x14ac:dyDescent="0.3">
      <c r="A187" s="13" t="s">
        <v>77</v>
      </c>
      <c r="B187" s="16">
        <v>0</v>
      </c>
      <c r="C187" s="16">
        <v>6000</v>
      </c>
      <c r="D187" s="16">
        <v>0</v>
      </c>
      <c r="E187" s="16">
        <v>0</v>
      </c>
    </row>
    <row r="188" spans="1:5" ht="15.75" thickBot="1" x14ac:dyDescent="0.3">
      <c r="A188" s="13" t="s">
        <v>78</v>
      </c>
      <c r="B188" s="16">
        <f>B187/B186</f>
        <v>0</v>
      </c>
      <c r="C188" s="16">
        <f>C187/C186</f>
        <v>6000</v>
      </c>
      <c r="D188" s="16">
        <f>D187/D186</f>
        <v>0</v>
      </c>
      <c r="E188" s="16">
        <f>E187/E186</f>
        <v>0</v>
      </c>
    </row>
    <row r="189" spans="1:5" ht="15.75" thickBot="1" x14ac:dyDescent="0.3">
      <c r="A189" s="13" t="s">
        <v>79</v>
      </c>
      <c r="B189" s="479" t="s">
        <v>80</v>
      </c>
      <c r="C189" s="10">
        <f t="shared" ref="C189:E189" si="15">C186/B186-1</f>
        <v>0</v>
      </c>
      <c r="D189" s="10">
        <f t="shared" si="15"/>
        <v>0</v>
      </c>
      <c r="E189" s="10">
        <f t="shared" si="15"/>
        <v>0</v>
      </c>
    </row>
    <row r="190" spans="1:5" ht="15.75" thickBot="1" x14ac:dyDescent="0.3">
      <c r="A190" s="13" t="s">
        <v>81</v>
      </c>
      <c r="B190" s="479" t="s">
        <v>80</v>
      </c>
      <c r="C190" s="10" t="e">
        <f t="shared" ref="C190:E190" si="16">C187/B187-1</f>
        <v>#DIV/0!</v>
      </c>
      <c r="D190" s="10">
        <f t="shared" si="16"/>
        <v>-1</v>
      </c>
      <c r="E190" s="10" t="e">
        <f t="shared" si="16"/>
        <v>#DIV/0!</v>
      </c>
    </row>
    <row r="191" spans="1:5" ht="15.75" thickBot="1" x14ac:dyDescent="0.3">
      <c r="A191" s="13" t="s">
        <v>82</v>
      </c>
      <c r="B191" s="479" t="s">
        <v>80</v>
      </c>
      <c r="C191" s="10" t="e">
        <f t="shared" ref="C191:E191" si="17">C188/B188-1</f>
        <v>#DIV/0!</v>
      </c>
      <c r="D191" s="10">
        <f t="shared" si="17"/>
        <v>-1</v>
      </c>
      <c r="E191" s="10" t="e">
        <f t="shared" si="17"/>
        <v>#DIV/0!</v>
      </c>
    </row>
    <row r="192" spans="1:5" ht="15.75" thickBot="1" x14ac:dyDescent="0.3">
      <c r="A192" s="522" t="s">
        <v>513</v>
      </c>
      <c r="B192" s="523"/>
      <c r="C192" s="523"/>
      <c r="D192" s="523"/>
      <c r="E192" s="524"/>
    </row>
    <row r="193" spans="1:5" x14ac:dyDescent="0.25">
      <c r="A193" s="549"/>
      <c r="B193" s="14">
        <v>2018</v>
      </c>
      <c r="C193" s="14">
        <v>2019</v>
      </c>
      <c r="D193" s="14">
        <v>2020</v>
      </c>
      <c r="E193" s="14">
        <v>2021</v>
      </c>
    </row>
    <row r="194" spans="1:5" ht="15.75" thickBot="1" x14ac:dyDescent="0.3">
      <c r="A194" s="550"/>
      <c r="B194" s="15" t="s">
        <v>41</v>
      </c>
      <c r="C194" s="15" t="s">
        <v>42</v>
      </c>
      <c r="D194" s="15" t="s">
        <v>42</v>
      </c>
      <c r="E194" s="15" t="s">
        <v>42</v>
      </c>
    </row>
    <row r="195" spans="1:5" ht="15.75" thickBot="1" x14ac:dyDescent="0.3">
      <c r="A195" s="17" t="s">
        <v>169</v>
      </c>
      <c r="B195" s="18"/>
      <c r="C195" s="18"/>
      <c r="D195" s="18"/>
      <c r="E195" s="18"/>
    </row>
    <row r="196" spans="1:5" ht="15.75" thickBot="1" x14ac:dyDescent="0.3">
      <c r="A196" s="17" t="s">
        <v>112</v>
      </c>
      <c r="B196" s="18">
        <v>0</v>
      </c>
      <c r="C196" s="18">
        <v>6000</v>
      </c>
      <c r="D196" s="18">
        <v>0</v>
      </c>
      <c r="E196" s="18">
        <v>0</v>
      </c>
    </row>
    <row r="197" spans="1:5" ht="15.75" thickBot="1" x14ac:dyDescent="0.3">
      <c r="A197" s="20" t="s">
        <v>266</v>
      </c>
      <c r="B197" s="19">
        <f>B196+B195</f>
        <v>0</v>
      </c>
      <c r="C197" s="19">
        <f>C196+C195</f>
        <v>6000</v>
      </c>
      <c r="D197" s="19">
        <f>D196+D195</f>
        <v>0</v>
      </c>
      <c r="E197" s="19">
        <f>E196+E195</f>
        <v>0</v>
      </c>
    </row>
    <row r="198" spans="1:5" ht="15.75" thickBot="1" x14ac:dyDescent="0.3">
      <c r="A198" s="26"/>
      <c r="B198" s="27"/>
      <c r="C198" s="27"/>
      <c r="D198" s="27"/>
      <c r="E198" s="27"/>
    </row>
    <row r="199" spans="1:5" ht="36.75" thickBot="1" x14ac:dyDescent="0.3">
      <c r="A199" s="29" t="s">
        <v>121</v>
      </c>
      <c r="B199" s="32">
        <f>B25+B48+B71+B97+B115+B133+B151+B169+B187</f>
        <v>779378</v>
      </c>
      <c r="C199" s="32">
        <f t="shared" ref="C199:E199" si="18">C25+C48+C71+C97+C115+C133+C151+C169+C187</f>
        <v>1194919</v>
      </c>
      <c r="D199" s="32">
        <f t="shared" si="18"/>
        <v>1106000</v>
      </c>
      <c r="E199" s="32">
        <f t="shared" si="18"/>
        <v>1006000</v>
      </c>
    </row>
    <row r="200" spans="1:5" ht="36.75" thickBot="1" x14ac:dyDescent="0.3">
      <c r="A200" s="29" t="s">
        <v>122</v>
      </c>
      <c r="B200" s="32">
        <f>B202+B204+B206+B208+B210+B212+B214+B216+B218</f>
        <v>779378</v>
      </c>
      <c r="C200" s="32">
        <f>C202+C204+C206+C208+C210+C212+C214+C216+C218</f>
        <v>1194919</v>
      </c>
      <c r="D200" s="32">
        <f>D202+D204+D206+D208+D210+D212+D214+D216+D218</f>
        <v>1106000</v>
      </c>
      <c r="E200" s="32">
        <f>E202+E204+E206+E208+E210+E212+E214+E216+E218</f>
        <v>1006000</v>
      </c>
    </row>
    <row r="201" spans="1:5" ht="24.75" thickBot="1" x14ac:dyDescent="0.3">
      <c r="A201" s="33" t="s">
        <v>123</v>
      </c>
      <c r="B201" s="34"/>
      <c r="C201" s="35">
        <f>C200/B200-1</f>
        <v>0.53317004072478302</v>
      </c>
      <c r="D201" s="35">
        <f>D200/C200-1</f>
        <v>-7.44142489993046E-2</v>
      </c>
      <c r="E201" s="35">
        <f>E200/D200-1</f>
        <v>-9.0415913200723286E-2</v>
      </c>
    </row>
    <row r="202" spans="1:5" ht="15.75" thickBot="1" x14ac:dyDescent="0.3">
      <c r="A202" s="17" t="s">
        <v>84</v>
      </c>
      <c r="B202" s="18">
        <f>B33+B56+B79</f>
        <v>371400</v>
      </c>
      <c r="C202" s="18">
        <f t="shared" ref="C202:E202" si="19">C33+C56+C79</f>
        <v>371400</v>
      </c>
      <c r="D202" s="18">
        <f t="shared" si="19"/>
        <v>371400</v>
      </c>
      <c r="E202" s="18">
        <f t="shared" si="19"/>
        <v>371400</v>
      </c>
    </row>
    <row r="203" spans="1:5" ht="15.75" thickBot="1" x14ac:dyDescent="0.3">
      <c r="A203" s="36" t="s">
        <v>124</v>
      </c>
      <c r="B203" s="19"/>
      <c r="C203" s="37">
        <f>C202/B202-1</f>
        <v>0</v>
      </c>
      <c r="D203" s="37">
        <f>D202/C202-1</f>
        <v>0</v>
      </c>
      <c r="E203" s="37">
        <f>E202/D202-1</f>
        <v>0</v>
      </c>
    </row>
    <row r="204" spans="1:5" ht="24.75" thickBot="1" x14ac:dyDescent="0.3">
      <c r="A204" s="17" t="s">
        <v>85</v>
      </c>
      <c r="B204" s="18">
        <f>B34+B57+B80</f>
        <v>78285</v>
      </c>
      <c r="C204" s="18">
        <f t="shared" ref="C204:E204" si="20">C34+C57+C80</f>
        <v>78285</v>
      </c>
      <c r="D204" s="18">
        <f t="shared" si="20"/>
        <v>78285</v>
      </c>
      <c r="E204" s="18">
        <f t="shared" si="20"/>
        <v>78285</v>
      </c>
    </row>
    <row r="205" spans="1:5" ht="24.75" thickBot="1" x14ac:dyDescent="0.3">
      <c r="A205" s="36" t="s">
        <v>125</v>
      </c>
      <c r="B205" s="19"/>
      <c r="C205" s="37">
        <f>C204/B204-1</f>
        <v>0</v>
      </c>
      <c r="D205" s="37">
        <f>D204/C204-1</f>
        <v>0</v>
      </c>
      <c r="E205" s="37">
        <f>E204/D204-1</f>
        <v>0</v>
      </c>
    </row>
    <row r="206" spans="1:5" ht="15.75" thickBot="1" x14ac:dyDescent="0.3">
      <c r="A206" s="17" t="s">
        <v>86</v>
      </c>
      <c r="B206" s="18">
        <f>B35+B58+B81</f>
        <v>180000</v>
      </c>
      <c r="C206" s="18">
        <f t="shared" ref="C206:E206" si="21">C35+C58+C81</f>
        <v>150755</v>
      </c>
      <c r="D206" s="18">
        <f t="shared" si="21"/>
        <v>150755</v>
      </c>
      <c r="E206" s="18">
        <f t="shared" si="21"/>
        <v>150755</v>
      </c>
    </row>
    <row r="207" spans="1:5" ht="24.75" thickBot="1" x14ac:dyDescent="0.3">
      <c r="A207" s="36" t="s">
        <v>126</v>
      </c>
      <c r="B207" s="19"/>
      <c r="C207" s="37">
        <f>C206/B206-1</f>
        <v>-0.16247222222222224</v>
      </c>
      <c r="D207" s="37">
        <f>D206/C206-1</f>
        <v>0</v>
      </c>
      <c r="E207" s="37">
        <f>E206/D206-1</f>
        <v>0</v>
      </c>
    </row>
    <row r="208" spans="1:5" ht="15.75" thickBot="1" x14ac:dyDescent="0.3">
      <c r="A208" s="17" t="s">
        <v>87</v>
      </c>
      <c r="B208" s="18">
        <f>B36+B59+B82</f>
        <v>0</v>
      </c>
      <c r="C208" s="18">
        <f t="shared" ref="C208:E208" si="22">C36+C59+C82</f>
        <v>0</v>
      </c>
      <c r="D208" s="18">
        <f t="shared" si="22"/>
        <v>0</v>
      </c>
      <c r="E208" s="18">
        <f t="shared" si="22"/>
        <v>0</v>
      </c>
    </row>
    <row r="209" spans="1:5" ht="15.75" thickBot="1" x14ac:dyDescent="0.3">
      <c r="A209" s="36" t="s">
        <v>228</v>
      </c>
      <c r="B209" s="19"/>
      <c r="C209" s="37" t="e">
        <f>C208/B208-1</f>
        <v>#DIV/0!</v>
      </c>
      <c r="D209" s="37" t="e">
        <f>D208/C208-1</f>
        <v>#DIV/0!</v>
      </c>
      <c r="E209" s="37" t="e">
        <f>E208/D208-1</f>
        <v>#DIV/0!</v>
      </c>
    </row>
    <row r="210" spans="1:5" ht="15.75" thickBot="1" x14ac:dyDescent="0.3">
      <c r="A210" s="17" t="s">
        <v>88</v>
      </c>
      <c r="B210" s="18">
        <f>B37+B60+B83</f>
        <v>0</v>
      </c>
      <c r="C210" s="18">
        <f t="shared" ref="C210:E210" si="23">C37+C60+C83</f>
        <v>0</v>
      </c>
      <c r="D210" s="18">
        <f t="shared" si="23"/>
        <v>0</v>
      </c>
      <c r="E210" s="18">
        <f t="shared" si="23"/>
        <v>0</v>
      </c>
    </row>
    <row r="211" spans="1:5" ht="24.75" thickBot="1" x14ac:dyDescent="0.3">
      <c r="A211" s="36" t="s">
        <v>229</v>
      </c>
      <c r="B211" s="19"/>
      <c r="C211" s="37" t="e">
        <f>C210/B210-1</f>
        <v>#DIV/0!</v>
      </c>
      <c r="D211" s="37" t="e">
        <f>D210/C210-1</f>
        <v>#DIV/0!</v>
      </c>
      <c r="E211" s="37" t="e">
        <f>E210/D210-1</f>
        <v>#DIV/0!</v>
      </c>
    </row>
    <row r="212" spans="1:5" ht="15.75" thickBot="1" x14ac:dyDescent="0.3">
      <c r="A212" s="17" t="s">
        <v>89</v>
      </c>
      <c r="B212" s="18">
        <f>B38+B61+B84</f>
        <v>61800</v>
      </c>
      <c r="C212" s="18">
        <f t="shared" ref="C212:E212" si="24">C38+C61+C84</f>
        <v>61800</v>
      </c>
      <c r="D212" s="18">
        <f t="shared" si="24"/>
        <v>61800</v>
      </c>
      <c r="E212" s="18">
        <f t="shared" si="24"/>
        <v>61800</v>
      </c>
    </row>
    <row r="213" spans="1:5" ht="24.75" thickBot="1" x14ac:dyDescent="0.3">
      <c r="A213" s="36" t="s">
        <v>230</v>
      </c>
      <c r="B213" s="19"/>
      <c r="C213" s="37">
        <f>C212/B212-1</f>
        <v>0</v>
      </c>
      <c r="D213" s="37">
        <f>D212/C212-1</f>
        <v>0</v>
      </c>
      <c r="E213" s="37">
        <f>E212/D212-1</f>
        <v>0</v>
      </c>
    </row>
    <row r="214" spans="1:5" ht="24.75" thickBot="1" x14ac:dyDescent="0.3">
      <c r="A214" s="17" t="s">
        <v>90</v>
      </c>
      <c r="B214" s="18">
        <f>B39+B62+B85</f>
        <v>760</v>
      </c>
      <c r="C214" s="18">
        <f t="shared" ref="C214:E214" si="25">C39+C62+C85</f>
        <v>760</v>
      </c>
      <c r="D214" s="18">
        <f t="shared" si="25"/>
        <v>760</v>
      </c>
      <c r="E214" s="18">
        <f t="shared" si="25"/>
        <v>760</v>
      </c>
    </row>
    <row r="215" spans="1:5" ht="24.75" thickBot="1" x14ac:dyDescent="0.3">
      <c r="A215" s="36" t="s">
        <v>231</v>
      </c>
      <c r="B215" s="19"/>
      <c r="C215" s="37">
        <f>C214/B214-1</f>
        <v>0</v>
      </c>
      <c r="D215" s="37">
        <f>D214/C214-1</f>
        <v>0</v>
      </c>
      <c r="E215" s="37">
        <f>E214/D214-1</f>
        <v>0</v>
      </c>
    </row>
    <row r="216" spans="1:5" ht="15.75" thickBot="1" x14ac:dyDescent="0.3">
      <c r="A216" s="17" t="s">
        <v>127</v>
      </c>
      <c r="B216" s="18">
        <f>B105+B123+B141+B159+B177+B195</f>
        <v>0</v>
      </c>
      <c r="C216" s="18">
        <f t="shared" ref="C216:E216" si="26">C105+C123+C141+C159+C177+C195</f>
        <v>0</v>
      </c>
      <c r="D216" s="18">
        <f t="shared" si="26"/>
        <v>0</v>
      </c>
      <c r="E216" s="18">
        <f t="shared" si="26"/>
        <v>0</v>
      </c>
    </row>
    <row r="217" spans="1:5" ht="24.75" thickBot="1" x14ac:dyDescent="0.3">
      <c r="A217" s="36" t="s">
        <v>128</v>
      </c>
      <c r="B217" s="19"/>
      <c r="C217" s="37" t="e">
        <f>C216/B216-1</f>
        <v>#DIV/0!</v>
      </c>
      <c r="D217" s="37" t="e">
        <f>D216/C216-1</f>
        <v>#DIV/0!</v>
      </c>
      <c r="E217" s="37" t="e">
        <f>E216/D216-1</f>
        <v>#DIV/0!</v>
      </c>
    </row>
    <row r="218" spans="1:5" ht="15.75" thickBot="1" x14ac:dyDescent="0.3">
      <c r="A218" s="17" t="s">
        <v>232</v>
      </c>
      <c r="B218" s="18">
        <f>B106+B124+B142+B160+B178+B196</f>
        <v>87133</v>
      </c>
      <c r="C218" s="18">
        <f t="shared" ref="C218:E218" si="27">C106+C124+C142+C160+C178+C196</f>
        <v>531919</v>
      </c>
      <c r="D218" s="18">
        <f t="shared" si="27"/>
        <v>443000</v>
      </c>
      <c r="E218" s="18">
        <f t="shared" si="27"/>
        <v>343000</v>
      </c>
    </row>
    <row r="219" spans="1:5" ht="24.75" thickBot="1" x14ac:dyDescent="0.3">
      <c r="A219" s="36" t="s">
        <v>233</v>
      </c>
      <c r="B219" s="19"/>
      <c r="C219" s="37">
        <f>C218/B218-1</f>
        <v>5.1046790538601909</v>
      </c>
      <c r="D219" s="37">
        <f>D218/C218-1</f>
        <v>-0.16716642947516447</v>
      </c>
      <c r="E219" s="37">
        <f>E218/D218-1</f>
        <v>-0.22573363431151239</v>
      </c>
    </row>
    <row r="220" spans="1:5" ht="15.75" thickBot="1" x14ac:dyDescent="0.3">
      <c r="A220" s="21" t="s">
        <v>92</v>
      </c>
      <c r="B220" s="22">
        <f>IF(B200-B199=0,0,"Error")</f>
        <v>0</v>
      </c>
      <c r="C220" s="22">
        <f>IF(C200-C199=0,0,"Error")</f>
        <v>0</v>
      </c>
      <c r="D220" s="22">
        <f>IF(D200-D199=0,0,"Error")</f>
        <v>0</v>
      </c>
      <c r="E220" s="22">
        <f>IF(E200-E199=0,0,"Error")</f>
        <v>0</v>
      </c>
    </row>
    <row r="221" spans="1:5" ht="36.75" thickBot="1" x14ac:dyDescent="0.3">
      <c r="A221" s="28" t="s">
        <v>129</v>
      </c>
      <c r="B221" s="18" t="s">
        <v>80</v>
      </c>
      <c r="C221" s="18" t="s">
        <v>80</v>
      </c>
      <c r="D221" s="18" t="s">
        <v>80</v>
      </c>
      <c r="E221" s="18" t="s">
        <v>80</v>
      </c>
    </row>
    <row r="222" spans="1:5" ht="36.75" thickBot="1" x14ac:dyDescent="0.3">
      <c r="A222" s="28" t="s">
        <v>130</v>
      </c>
      <c r="B222" s="18" t="s">
        <v>80</v>
      </c>
      <c r="C222" s="18" t="s">
        <v>80</v>
      </c>
      <c r="D222" s="18" t="s">
        <v>80</v>
      </c>
      <c r="E222" s="18" t="s">
        <v>80</v>
      </c>
    </row>
  </sheetData>
  <mergeCells count="73">
    <mergeCell ref="B165:E165"/>
    <mergeCell ref="A166:A167"/>
    <mergeCell ref="A174:E174"/>
    <mergeCell ref="A175:A176"/>
    <mergeCell ref="B126:E126"/>
    <mergeCell ref="B127:E127"/>
    <mergeCell ref="B128:E128"/>
    <mergeCell ref="B129:E129"/>
    <mergeCell ref="A130:A131"/>
    <mergeCell ref="A138:E138"/>
    <mergeCell ref="A139:A140"/>
    <mergeCell ref="B144:E144"/>
    <mergeCell ref="B145:E145"/>
    <mergeCell ref="B146:E146"/>
    <mergeCell ref="B147:E147"/>
    <mergeCell ref="A148:A149"/>
    <mergeCell ref="A192:E192"/>
    <mergeCell ref="A193:A194"/>
    <mergeCell ref="B180:E180"/>
    <mergeCell ref="B181:E181"/>
    <mergeCell ref="B182:E182"/>
    <mergeCell ref="B183:E183"/>
    <mergeCell ref="A184:A185"/>
    <mergeCell ref="B162:E162"/>
    <mergeCell ref="A156:E156"/>
    <mergeCell ref="A157:A158"/>
    <mergeCell ref="B163:E163"/>
    <mergeCell ref="B164:E164"/>
    <mergeCell ref="B111:E111"/>
    <mergeCell ref="A112:A113"/>
    <mergeCell ref="A120:E120"/>
    <mergeCell ref="A121:A122"/>
    <mergeCell ref="A102:E102"/>
    <mergeCell ref="A103:A104"/>
    <mergeCell ref="B108:E108"/>
    <mergeCell ref="B109:E109"/>
    <mergeCell ref="B110:E110"/>
    <mergeCell ref="B90:E90"/>
    <mergeCell ref="B91:E91"/>
    <mergeCell ref="B92:E92"/>
    <mergeCell ref="B93:E93"/>
    <mergeCell ref="A94:A95"/>
    <mergeCell ref="A69:A70"/>
    <mergeCell ref="A76:E76"/>
    <mergeCell ref="A77:A78"/>
    <mergeCell ref="A88:E88"/>
    <mergeCell ref="A89:E89"/>
    <mergeCell ref="A53:E53"/>
    <mergeCell ref="A54:A55"/>
    <mergeCell ref="B65:E65"/>
    <mergeCell ref="B66:E66"/>
    <mergeCell ref="B67:E67"/>
    <mergeCell ref="A31:A32"/>
    <mergeCell ref="B42:E42"/>
    <mergeCell ref="B43:E43"/>
    <mergeCell ref="B44:E44"/>
    <mergeCell ref="A46:A47"/>
    <mergeCell ref="B21:E21"/>
    <mergeCell ref="A22:A23"/>
    <mergeCell ref="A30:E30"/>
    <mergeCell ref="A9:E11"/>
    <mergeCell ref="B12:E12"/>
    <mergeCell ref="A13:E13"/>
    <mergeCell ref="A17:E17"/>
    <mergeCell ref="A18:E18"/>
    <mergeCell ref="B19:E19"/>
    <mergeCell ref="B20:E20"/>
    <mergeCell ref="A8:E8"/>
    <mergeCell ref="A2:E2"/>
    <mergeCell ref="A3:E3"/>
    <mergeCell ref="B5:E5"/>
    <mergeCell ref="B6:E6"/>
    <mergeCell ref="B7:E7"/>
  </mergeCells>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172"/>
  <sheetViews>
    <sheetView view="pageBreakPreview" topLeftCell="A157" zoomScale="60" zoomScaleNormal="120" workbookViewId="0">
      <selection activeCell="I106" sqref="I106"/>
    </sheetView>
  </sheetViews>
  <sheetFormatPr defaultRowHeight="15" x14ac:dyDescent="0.25"/>
  <cols>
    <col min="1" max="1" width="23" style="71" customWidth="1"/>
    <col min="2" max="2" width="18.140625" style="71" customWidth="1"/>
    <col min="3" max="3" width="24.7109375" style="71" customWidth="1"/>
    <col min="4" max="4" width="15.7109375" style="71" customWidth="1"/>
    <col min="5" max="5" width="14.5703125" style="71" customWidth="1"/>
    <col min="6" max="6" width="11" style="71" customWidth="1"/>
    <col min="7" max="7" width="11" style="71" bestFit="1" customWidth="1"/>
    <col min="8" max="16384" width="9.140625" style="71"/>
  </cols>
  <sheetData>
    <row r="2" spans="1:5" x14ac:dyDescent="0.25">
      <c r="A2" s="69" t="s">
        <v>0</v>
      </c>
      <c r="B2" s="70"/>
      <c r="C2" s="70"/>
      <c r="D2" s="70"/>
    </row>
    <row r="4" spans="1:5" ht="15.75" thickBot="1" x14ac:dyDescent="0.3"/>
    <row r="5" spans="1:5" ht="32.25" thickBot="1" x14ac:dyDescent="0.3">
      <c r="A5" s="72" t="s">
        <v>1</v>
      </c>
      <c r="B5" s="587" t="s">
        <v>613</v>
      </c>
      <c r="C5" s="588"/>
      <c r="D5" s="588"/>
      <c r="E5" s="589"/>
    </row>
    <row r="6" spans="1:5" ht="32.25" thickBot="1" x14ac:dyDescent="0.3">
      <c r="A6" s="73" t="s">
        <v>2</v>
      </c>
      <c r="B6" s="590"/>
      <c r="C6" s="591"/>
      <c r="D6" s="591"/>
      <c r="E6" s="592"/>
    </row>
    <row r="7" spans="1:5" ht="91.5" customHeight="1" thickBot="1" x14ac:dyDescent="0.3">
      <c r="A7" s="73" t="s">
        <v>614</v>
      </c>
      <c r="B7" s="593" t="s">
        <v>615</v>
      </c>
      <c r="C7" s="594"/>
      <c r="D7" s="594"/>
      <c r="E7" s="595"/>
    </row>
    <row r="8" spans="1:5" ht="16.5" customHeight="1" thickBot="1" x14ac:dyDescent="0.3">
      <c r="A8" s="73" t="s">
        <v>4</v>
      </c>
      <c r="B8" s="74" t="s">
        <v>5</v>
      </c>
      <c r="C8" s="596" t="s">
        <v>6</v>
      </c>
      <c r="D8" s="596"/>
      <c r="E8" s="597"/>
    </row>
    <row r="9" spans="1:5" ht="160.5" customHeight="1" thickBot="1" x14ac:dyDescent="0.3">
      <c r="A9" s="73" t="s">
        <v>616</v>
      </c>
      <c r="B9" s="75" t="s">
        <v>11</v>
      </c>
      <c r="C9" s="598" t="s">
        <v>617</v>
      </c>
      <c r="D9" s="599"/>
      <c r="E9" s="600"/>
    </row>
    <row r="10" spans="1:5" ht="18" customHeight="1" x14ac:dyDescent="0.25">
      <c r="A10" s="601" t="s">
        <v>32</v>
      </c>
      <c r="B10" s="601"/>
      <c r="C10" s="601"/>
      <c r="D10" s="601"/>
      <c r="E10" s="601"/>
    </row>
    <row r="11" spans="1:5" ht="18" customHeight="1" x14ac:dyDescent="0.25">
      <c r="A11" s="602" t="s">
        <v>618</v>
      </c>
      <c r="B11" s="602"/>
      <c r="C11" s="602"/>
      <c r="D11" s="602"/>
      <c r="E11" s="602"/>
    </row>
    <row r="12" spans="1:5" ht="15.75" thickBot="1" x14ac:dyDescent="0.3"/>
    <row r="13" spans="1:5" ht="26.25" thickBot="1" x14ac:dyDescent="0.3">
      <c r="A13" s="76" t="s">
        <v>33</v>
      </c>
      <c r="B13" s="603" t="s">
        <v>34</v>
      </c>
      <c r="C13" s="603"/>
      <c r="D13" s="603"/>
      <c r="E13" s="603"/>
    </row>
    <row r="14" spans="1:5" ht="15.75" thickBot="1" x14ac:dyDescent="0.3">
      <c r="A14" s="76" t="s">
        <v>5</v>
      </c>
      <c r="B14" s="590" t="s">
        <v>11</v>
      </c>
      <c r="C14" s="591"/>
      <c r="D14" s="591"/>
      <c r="E14" s="592"/>
    </row>
    <row r="15" spans="1:5" ht="26.25" thickBot="1" x14ac:dyDescent="0.3">
      <c r="A15" s="76" t="s">
        <v>35</v>
      </c>
      <c r="B15" s="604" t="s">
        <v>36</v>
      </c>
      <c r="C15" s="605"/>
      <c r="D15" s="605"/>
      <c r="E15" s="606"/>
    </row>
    <row r="16" spans="1:5" ht="15.75" thickBot="1" x14ac:dyDescent="0.3">
      <c r="A16" s="607" t="s">
        <v>6</v>
      </c>
      <c r="B16" s="608"/>
      <c r="C16" s="608"/>
      <c r="D16" s="608"/>
      <c r="E16" s="609"/>
    </row>
    <row r="17" spans="1:8" ht="15" customHeight="1" x14ac:dyDescent="0.25">
      <c r="A17" s="578" t="s">
        <v>37</v>
      </c>
      <c r="B17" s="579"/>
      <c r="C17" s="579"/>
      <c r="D17" s="579"/>
      <c r="E17" s="580"/>
    </row>
    <row r="18" spans="1:8" ht="36.75" customHeight="1" x14ac:dyDescent="0.25">
      <c r="A18" s="581"/>
      <c r="B18" s="582"/>
      <c r="C18" s="582"/>
      <c r="D18" s="582"/>
      <c r="E18" s="583"/>
    </row>
    <row r="19" spans="1:8" ht="27" customHeight="1" thickBot="1" x14ac:dyDescent="0.3">
      <c r="A19" s="584"/>
      <c r="B19" s="585"/>
      <c r="C19" s="585"/>
      <c r="D19" s="585"/>
      <c r="E19" s="586"/>
    </row>
    <row r="20" spans="1:8" ht="62.25" customHeight="1" thickBot="1" x14ac:dyDescent="0.3">
      <c r="A20" s="77" t="s">
        <v>38</v>
      </c>
      <c r="B20" s="612" t="s">
        <v>39</v>
      </c>
      <c r="C20" s="613"/>
      <c r="D20" s="613"/>
      <c r="E20" s="614"/>
    </row>
    <row r="21" spans="1:8" ht="23.25" customHeight="1" x14ac:dyDescent="0.25">
      <c r="A21" s="615" t="s">
        <v>40</v>
      </c>
      <c r="B21" s="78">
        <v>2018</v>
      </c>
      <c r="C21" s="78">
        <v>2019</v>
      </c>
      <c r="D21" s="78">
        <v>2020</v>
      </c>
      <c r="E21" s="78">
        <v>2021</v>
      </c>
    </row>
    <row r="22" spans="1:8" ht="15.75" thickBot="1" x14ac:dyDescent="0.3">
      <c r="A22" s="616"/>
      <c r="B22" s="79" t="s">
        <v>41</v>
      </c>
      <c r="C22" s="79" t="s">
        <v>42</v>
      </c>
      <c r="D22" s="79" t="s">
        <v>42</v>
      </c>
      <c r="E22" s="79" t="s">
        <v>42</v>
      </c>
    </row>
    <row r="23" spans="1:8" ht="26.25" thickBot="1" x14ac:dyDescent="0.3">
      <c r="A23" s="80" t="s">
        <v>43</v>
      </c>
      <c r="B23" s="81">
        <v>4.2000000000000003E-2</v>
      </c>
      <c r="C23" s="81">
        <v>4.2999999999999997E-2</v>
      </c>
      <c r="D23" s="81">
        <v>4.3999999999999997E-2</v>
      </c>
      <c r="E23" s="81">
        <v>4.2999999999999997E-2</v>
      </c>
    </row>
    <row r="24" spans="1:8" ht="26.25" thickBot="1" x14ac:dyDescent="0.3">
      <c r="A24" s="80" t="s">
        <v>44</v>
      </c>
      <c r="B24" s="81">
        <v>0.68700000000000006</v>
      </c>
      <c r="C24" s="81">
        <v>0.66400000000000003</v>
      </c>
      <c r="D24" s="81">
        <v>0.63500000000000001</v>
      </c>
      <c r="E24" s="81">
        <v>0.59899999999999998</v>
      </c>
    </row>
    <row r="25" spans="1:8" ht="64.5" customHeight="1" thickBot="1" x14ac:dyDescent="0.3">
      <c r="A25" s="82" t="s">
        <v>45</v>
      </c>
      <c r="B25" s="617" t="s">
        <v>46</v>
      </c>
      <c r="C25" s="618"/>
      <c r="D25" s="618"/>
      <c r="E25" s="619"/>
    </row>
    <row r="26" spans="1:8" ht="23.25" customHeight="1" thickBot="1" x14ac:dyDescent="0.3">
      <c r="A26" s="620" t="s">
        <v>47</v>
      </c>
      <c r="B26" s="621"/>
      <c r="C26" s="621"/>
      <c r="D26" s="621"/>
      <c r="E26" s="622"/>
      <c r="F26" s="83"/>
      <c r="H26" s="83"/>
    </row>
    <row r="27" spans="1:8" ht="48.75" customHeight="1" thickBot="1" x14ac:dyDescent="0.3">
      <c r="A27" s="84" t="s">
        <v>48</v>
      </c>
      <c r="B27" s="85">
        <v>0.27700000000000002</v>
      </c>
      <c r="C27" s="86" t="s">
        <v>49</v>
      </c>
      <c r="D27" s="86" t="s">
        <v>49</v>
      </c>
      <c r="E27" s="86" t="s">
        <v>49</v>
      </c>
      <c r="F27" s="83"/>
      <c r="H27" s="83"/>
    </row>
    <row r="28" spans="1:8" ht="38.25" customHeight="1" thickBot="1" x14ac:dyDescent="0.3">
      <c r="A28" s="87" t="s">
        <v>50</v>
      </c>
      <c r="B28" s="86" t="s">
        <v>51</v>
      </c>
      <c r="C28" s="86" t="s">
        <v>52</v>
      </c>
      <c r="D28" s="86" t="s">
        <v>53</v>
      </c>
      <c r="E28" s="86" t="s">
        <v>54</v>
      </c>
      <c r="F28" s="83"/>
      <c r="H28" s="83"/>
    </row>
    <row r="29" spans="1:8" ht="54" customHeight="1" thickBot="1" x14ac:dyDescent="0.3">
      <c r="A29" s="87" t="s">
        <v>55</v>
      </c>
      <c r="B29" s="86">
        <v>0.52</v>
      </c>
      <c r="C29" s="86">
        <v>0.54</v>
      </c>
      <c r="D29" s="86">
        <v>0.56000000000000005</v>
      </c>
      <c r="E29" s="86">
        <v>0.57999999999999996</v>
      </c>
      <c r="F29" s="83"/>
      <c r="H29" s="83"/>
    </row>
    <row r="30" spans="1:8" ht="54" customHeight="1" thickBot="1" x14ac:dyDescent="0.3">
      <c r="A30" s="87" t="s">
        <v>56</v>
      </c>
      <c r="B30" s="85">
        <v>5.6000000000000001E-2</v>
      </c>
      <c r="C30" s="86" t="s">
        <v>57</v>
      </c>
      <c r="D30" s="86" t="s">
        <v>57</v>
      </c>
      <c r="E30" s="86" t="s">
        <v>57</v>
      </c>
      <c r="F30" s="83"/>
      <c r="H30" s="83"/>
    </row>
    <row r="31" spans="1:8" ht="54" customHeight="1" thickBot="1" x14ac:dyDescent="0.3">
      <c r="A31" s="87" t="s">
        <v>58</v>
      </c>
      <c r="B31" s="85">
        <v>-6.0000000000000001E-3</v>
      </c>
      <c r="C31" s="86" t="s">
        <v>52</v>
      </c>
      <c r="D31" s="86" t="s">
        <v>52</v>
      </c>
      <c r="E31" s="86" t="s">
        <v>52</v>
      </c>
      <c r="F31" s="83"/>
      <c r="H31" s="83"/>
    </row>
    <row r="32" spans="1:8" ht="54" customHeight="1" thickBot="1" x14ac:dyDescent="0.3">
      <c r="A32" s="87" t="s">
        <v>59</v>
      </c>
      <c r="B32" s="86" t="s">
        <v>60</v>
      </c>
      <c r="C32" s="86" t="s">
        <v>61</v>
      </c>
      <c r="D32" s="86" t="s">
        <v>61</v>
      </c>
      <c r="E32" s="86" t="s">
        <v>61</v>
      </c>
      <c r="F32" s="83"/>
      <c r="H32" s="83"/>
    </row>
    <row r="33" spans="1:9" ht="54" customHeight="1" thickBot="1" x14ac:dyDescent="0.3">
      <c r="A33" s="87" t="s">
        <v>62</v>
      </c>
      <c r="B33" s="85">
        <v>4.4999999999999998E-2</v>
      </c>
      <c r="C33" s="86" t="s">
        <v>49</v>
      </c>
      <c r="D33" s="86" t="s">
        <v>49</v>
      </c>
      <c r="E33" s="86" t="s">
        <v>49</v>
      </c>
      <c r="F33" s="83"/>
      <c r="H33" s="83"/>
    </row>
    <row r="34" spans="1:9" ht="54" customHeight="1" thickBot="1" x14ac:dyDescent="0.3">
      <c r="A34" s="87" t="s">
        <v>63</v>
      </c>
      <c r="B34" s="88">
        <v>0</v>
      </c>
      <c r="C34" s="86" t="s">
        <v>64</v>
      </c>
      <c r="D34" s="86" t="s">
        <v>64</v>
      </c>
      <c r="E34" s="86" t="s">
        <v>64</v>
      </c>
      <c r="F34" s="83"/>
      <c r="H34" s="83"/>
    </row>
    <row r="35" spans="1:9" ht="65.25" customHeight="1" thickBot="1" x14ac:dyDescent="0.3">
      <c r="A35" s="87" t="s">
        <v>65</v>
      </c>
      <c r="B35" s="85" t="s">
        <v>66</v>
      </c>
      <c r="C35" s="86" t="s">
        <v>49</v>
      </c>
      <c r="D35" s="86" t="s">
        <v>49</v>
      </c>
      <c r="E35" s="86" t="s">
        <v>49</v>
      </c>
    </row>
    <row r="36" spans="1:9" ht="65.25" customHeight="1" thickBot="1" x14ac:dyDescent="0.3">
      <c r="A36" s="87" t="s">
        <v>67</v>
      </c>
      <c r="B36" s="89">
        <v>28</v>
      </c>
      <c r="C36" s="90" t="s">
        <v>49</v>
      </c>
      <c r="D36" s="90" t="s">
        <v>49</v>
      </c>
      <c r="E36" s="90" t="s">
        <v>49</v>
      </c>
    </row>
    <row r="37" spans="1:9" ht="15.75" thickBot="1" x14ac:dyDescent="0.3">
      <c r="A37" s="623" t="s">
        <v>68</v>
      </c>
      <c r="B37" s="624"/>
      <c r="C37" s="624"/>
      <c r="D37" s="624"/>
      <c r="E37" s="625"/>
    </row>
    <row r="38" spans="1:9" ht="15.75" thickBot="1" x14ac:dyDescent="0.3">
      <c r="A38" s="626" t="s">
        <v>69</v>
      </c>
      <c r="B38" s="627"/>
      <c r="C38" s="627"/>
      <c r="D38" s="627"/>
      <c r="E38" s="628"/>
    </row>
    <row r="39" spans="1:9" ht="15.75" thickBot="1" x14ac:dyDescent="0.3">
      <c r="A39" s="91" t="s">
        <v>70</v>
      </c>
      <c r="B39" s="629" t="s">
        <v>71</v>
      </c>
      <c r="C39" s="630"/>
      <c r="D39" s="630"/>
      <c r="E39" s="631"/>
    </row>
    <row r="40" spans="1:9" ht="27.75" customHeight="1" thickBot="1" x14ac:dyDescent="0.3">
      <c r="A40" s="92" t="s">
        <v>72</v>
      </c>
      <c r="B40" s="620" t="s">
        <v>73</v>
      </c>
      <c r="C40" s="621"/>
      <c r="D40" s="621"/>
      <c r="E40" s="622"/>
    </row>
    <row r="41" spans="1:9" ht="15.75" thickBot="1" x14ac:dyDescent="0.3">
      <c r="A41" s="92" t="s">
        <v>74</v>
      </c>
      <c r="B41" s="632" t="s">
        <v>75</v>
      </c>
      <c r="C41" s="633"/>
      <c r="D41" s="633"/>
      <c r="E41" s="634"/>
    </row>
    <row r="42" spans="1:9" ht="12.75" customHeight="1" x14ac:dyDescent="0.25">
      <c r="A42" s="610"/>
      <c r="B42" s="93">
        <v>2018</v>
      </c>
      <c r="C42" s="93">
        <v>2019</v>
      </c>
      <c r="D42" s="93">
        <v>2020</v>
      </c>
      <c r="E42" s="93">
        <v>2021</v>
      </c>
    </row>
    <row r="43" spans="1:9" ht="9" customHeight="1" thickBot="1" x14ac:dyDescent="0.3">
      <c r="A43" s="611"/>
      <c r="B43" s="94" t="s">
        <v>41</v>
      </c>
      <c r="C43" s="94" t="s">
        <v>42</v>
      </c>
      <c r="D43" s="94" t="s">
        <v>42</v>
      </c>
      <c r="E43" s="94" t="s">
        <v>42</v>
      </c>
    </row>
    <row r="44" spans="1:9" ht="15.75" thickBot="1" x14ac:dyDescent="0.3">
      <c r="A44" s="92" t="s">
        <v>76</v>
      </c>
      <c r="B44" s="95">
        <v>11</v>
      </c>
      <c r="C44" s="95">
        <v>11</v>
      </c>
      <c r="D44" s="95">
        <v>11</v>
      </c>
      <c r="E44" s="95">
        <v>11</v>
      </c>
    </row>
    <row r="45" spans="1:9" ht="15.75" thickBot="1" x14ac:dyDescent="0.3">
      <c r="A45" s="92" t="s">
        <v>77</v>
      </c>
      <c r="B45" s="95">
        <v>102500</v>
      </c>
      <c r="C45" s="95">
        <v>57000</v>
      </c>
      <c r="D45" s="95">
        <v>58000</v>
      </c>
      <c r="E45" s="95">
        <v>104000</v>
      </c>
    </row>
    <row r="46" spans="1:9" ht="15.75" thickBot="1" x14ac:dyDescent="0.3">
      <c r="A46" s="92" t="s">
        <v>78</v>
      </c>
      <c r="B46" s="95">
        <f>B45/B44</f>
        <v>9318.181818181818</v>
      </c>
      <c r="C46" s="95">
        <f t="shared" ref="C46:E46" si="0">C45/C44</f>
        <v>5181.818181818182</v>
      </c>
      <c r="D46" s="95">
        <f t="shared" si="0"/>
        <v>5272.727272727273</v>
      </c>
      <c r="E46" s="95">
        <f t="shared" si="0"/>
        <v>9454.545454545454</v>
      </c>
    </row>
    <row r="47" spans="1:9" ht="15.75" thickBot="1" x14ac:dyDescent="0.3">
      <c r="A47" s="92" t="s">
        <v>79</v>
      </c>
      <c r="B47" s="96" t="s">
        <v>80</v>
      </c>
      <c r="C47" s="85">
        <f>C44/B44-1</f>
        <v>0</v>
      </c>
      <c r="D47" s="85">
        <f t="shared" ref="D47:E49" si="1">D44/C44-1</f>
        <v>0</v>
      </c>
      <c r="E47" s="85">
        <f t="shared" si="1"/>
        <v>0</v>
      </c>
      <c r="F47" s="97"/>
      <c r="G47" s="97"/>
      <c r="H47" s="97"/>
      <c r="I47" s="97"/>
    </row>
    <row r="48" spans="1:9" ht="15.75" thickBot="1" x14ac:dyDescent="0.3">
      <c r="A48" s="92" t="s">
        <v>81</v>
      </c>
      <c r="B48" s="96" t="s">
        <v>80</v>
      </c>
      <c r="C48" s="85">
        <f>C45/B45-1</f>
        <v>-0.44390243902439019</v>
      </c>
      <c r="D48" s="85">
        <f t="shared" si="1"/>
        <v>1.7543859649122862E-2</v>
      </c>
      <c r="E48" s="85">
        <f t="shared" si="1"/>
        <v>0.7931034482758621</v>
      </c>
    </row>
    <row r="49" spans="1:5" ht="23.25" thickBot="1" x14ac:dyDescent="0.3">
      <c r="A49" s="92" t="s">
        <v>82</v>
      </c>
      <c r="B49" s="96" t="s">
        <v>80</v>
      </c>
      <c r="C49" s="85">
        <f>C46/B46-1</f>
        <v>-0.44390243902439019</v>
      </c>
      <c r="D49" s="85">
        <f t="shared" si="1"/>
        <v>1.7543859649122862E-2</v>
      </c>
      <c r="E49" s="85">
        <f t="shared" si="1"/>
        <v>0.79310344827586188</v>
      </c>
    </row>
    <row r="50" spans="1:5" ht="15.75" thickBot="1" x14ac:dyDescent="0.3">
      <c r="A50" s="635" t="s">
        <v>83</v>
      </c>
      <c r="B50" s="636"/>
      <c r="C50" s="636"/>
      <c r="D50" s="636"/>
      <c r="E50" s="637"/>
    </row>
    <row r="51" spans="1:5" ht="12.75" customHeight="1" x14ac:dyDescent="0.25">
      <c r="A51" s="610"/>
      <c r="B51" s="93">
        <v>2018</v>
      </c>
      <c r="C51" s="93">
        <v>2019</v>
      </c>
      <c r="D51" s="93">
        <v>2020</v>
      </c>
      <c r="E51" s="93">
        <v>2021</v>
      </c>
    </row>
    <row r="52" spans="1:5" ht="9" customHeight="1" thickBot="1" x14ac:dyDescent="0.3">
      <c r="A52" s="611"/>
      <c r="B52" s="94" t="s">
        <v>41</v>
      </c>
      <c r="C52" s="94" t="s">
        <v>42</v>
      </c>
      <c r="D52" s="94" t="s">
        <v>42</v>
      </c>
      <c r="E52" s="94" t="s">
        <v>42</v>
      </c>
    </row>
    <row r="53" spans="1:5" ht="15.75" thickBot="1" x14ac:dyDescent="0.3">
      <c r="A53" s="98" t="s">
        <v>84</v>
      </c>
      <c r="B53" s="99">
        <v>19400</v>
      </c>
      <c r="C53" s="99">
        <v>19400</v>
      </c>
      <c r="D53" s="99">
        <v>19400</v>
      </c>
      <c r="E53" s="99">
        <v>19400</v>
      </c>
    </row>
    <row r="54" spans="1:5" ht="24.75" thickBot="1" x14ac:dyDescent="0.3">
      <c r="A54" s="98" t="s">
        <v>85</v>
      </c>
      <c r="B54" s="99">
        <v>9100</v>
      </c>
      <c r="C54" s="99">
        <v>9100</v>
      </c>
      <c r="D54" s="99">
        <v>9100</v>
      </c>
      <c r="E54" s="99">
        <v>9100</v>
      </c>
    </row>
    <row r="55" spans="1:5" ht="15.75" thickBot="1" x14ac:dyDescent="0.3">
      <c r="A55" s="98" t="s">
        <v>86</v>
      </c>
      <c r="B55" s="99">
        <v>74000</v>
      </c>
      <c r="C55" s="99">
        <v>28500</v>
      </c>
      <c r="D55" s="99">
        <v>29500</v>
      </c>
      <c r="E55" s="99">
        <v>75500</v>
      </c>
    </row>
    <row r="56" spans="1:5" ht="15.75" thickBot="1" x14ac:dyDescent="0.3">
      <c r="A56" s="98" t="s">
        <v>87</v>
      </c>
      <c r="B56" s="100"/>
      <c r="C56" s="99"/>
      <c r="D56" s="99"/>
      <c r="E56" s="99"/>
    </row>
    <row r="57" spans="1:5" ht="15.75" thickBot="1" x14ac:dyDescent="0.3">
      <c r="A57" s="98" t="s">
        <v>88</v>
      </c>
      <c r="B57" s="100"/>
      <c r="C57" s="99"/>
      <c r="D57" s="99"/>
      <c r="E57" s="99"/>
    </row>
    <row r="58" spans="1:5" ht="15.75" thickBot="1" x14ac:dyDescent="0.3">
      <c r="A58" s="98" t="s">
        <v>89</v>
      </c>
      <c r="B58" s="100"/>
      <c r="C58" s="99"/>
      <c r="D58" s="99"/>
      <c r="E58" s="99"/>
    </row>
    <row r="59" spans="1:5" ht="24.75" thickBot="1" x14ac:dyDescent="0.3">
      <c r="A59" s="98" t="s">
        <v>90</v>
      </c>
      <c r="B59" s="100"/>
      <c r="C59" s="99"/>
      <c r="D59" s="99"/>
      <c r="E59" s="99"/>
    </row>
    <row r="60" spans="1:5" ht="36" customHeight="1" thickBot="1" x14ac:dyDescent="0.3">
      <c r="A60" s="101" t="s">
        <v>91</v>
      </c>
      <c r="B60" s="100">
        <f>B59+B58+B57+B56+B55+B54+B53</f>
        <v>102500</v>
      </c>
      <c r="C60" s="100">
        <f>C59+C58+C57+C56+C55+C54+C53</f>
        <v>57000</v>
      </c>
      <c r="D60" s="100">
        <f>D59+D58+D57+D56+D55+D54+D53</f>
        <v>58000</v>
      </c>
      <c r="E60" s="100">
        <f>E59+E58+E57+E56+E55+E54+E53</f>
        <v>104000</v>
      </c>
    </row>
    <row r="61" spans="1:5" ht="15.75" thickBot="1" x14ac:dyDescent="0.3">
      <c r="A61" s="102" t="s">
        <v>92</v>
      </c>
      <c r="B61" s="103">
        <f>IF(B60-B45=0,0,"Error")</f>
        <v>0</v>
      </c>
      <c r="C61" s="103">
        <f>IF(C60-C45=0,0,"Error")</f>
        <v>0</v>
      </c>
      <c r="D61" s="103">
        <f>IF(D60-D45=0,0,"Error")</f>
        <v>0</v>
      </c>
      <c r="E61" s="103">
        <f>IF(E60-E45=0,0,"Error")</f>
        <v>0</v>
      </c>
    </row>
    <row r="62" spans="1:5" ht="21.75" customHeight="1" thickBot="1" x14ac:dyDescent="0.3">
      <c r="A62" s="91" t="s">
        <v>93</v>
      </c>
      <c r="B62" s="629" t="s">
        <v>94</v>
      </c>
      <c r="C62" s="630"/>
      <c r="D62" s="630"/>
      <c r="E62" s="631"/>
    </row>
    <row r="63" spans="1:5" ht="28.5" customHeight="1" thickBot="1" x14ac:dyDescent="0.3">
      <c r="A63" s="92" t="s">
        <v>72</v>
      </c>
      <c r="B63" s="620" t="s">
        <v>95</v>
      </c>
      <c r="C63" s="621"/>
      <c r="D63" s="621"/>
      <c r="E63" s="622"/>
    </row>
    <row r="64" spans="1:5" ht="15.75" thickBot="1" x14ac:dyDescent="0.3">
      <c r="A64" s="92" t="s">
        <v>74</v>
      </c>
      <c r="B64" s="632" t="s">
        <v>96</v>
      </c>
      <c r="C64" s="633"/>
      <c r="D64" s="633"/>
      <c r="E64" s="634"/>
    </row>
    <row r="65" spans="1:9" ht="12.75" customHeight="1" x14ac:dyDescent="0.25">
      <c r="A65" s="610"/>
      <c r="B65" s="93">
        <v>2018</v>
      </c>
      <c r="C65" s="93">
        <v>2019</v>
      </c>
      <c r="D65" s="93">
        <v>2020</v>
      </c>
      <c r="E65" s="93">
        <v>2021</v>
      </c>
    </row>
    <row r="66" spans="1:9" ht="16.5" customHeight="1" thickBot="1" x14ac:dyDescent="0.3">
      <c r="A66" s="611"/>
      <c r="B66" s="94" t="s">
        <v>41</v>
      </c>
      <c r="C66" s="94" t="s">
        <v>42</v>
      </c>
      <c r="D66" s="94" t="s">
        <v>42</v>
      </c>
      <c r="E66" s="94" t="s">
        <v>42</v>
      </c>
    </row>
    <row r="67" spans="1:9" ht="15.75" thickBot="1" x14ac:dyDescent="0.3">
      <c r="A67" s="92" t="s">
        <v>76</v>
      </c>
      <c r="B67" s="95">
        <v>1</v>
      </c>
      <c r="C67" s="95">
        <v>1</v>
      </c>
      <c r="D67" s="95">
        <v>1</v>
      </c>
      <c r="E67" s="95">
        <v>1</v>
      </c>
    </row>
    <row r="68" spans="1:9" ht="15.75" thickBot="1" x14ac:dyDescent="0.3">
      <c r="A68" s="92" t="s">
        <v>77</v>
      </c>
      <c r="B68" s="95">
        <v>80000</v>
      </c>
      <c r="C68" s="95">
        <v>80000</v>
      </c>
      <c r="D68" s="95">
        <v>80000</v>
      </c>
      <c r="E68" s="95">
        <v>80000</v>
      </c>
    </row>
    <row r="69" spans="1:9" ht="15.75" thickBot="1" x14ac:dyDescent="0.3">
      <c r="A69" s="92" t="s">
        <v>78</v>
      </c>
      <c r="B69" s="95">
        <f>B68/B67</f>
        <v>80000</v>
      </c>
      <c r="C69" s="95">
        <f t="shared" ref="C69:E69" si="2">C68/C67</f>
        <v>80000</v>
      </c>
      <c r="D69" s="95">
        <f t="shared" si="2"/>
        <v>80000</v>
      </c>
      <c r="E69" s="95">
        <f t="shared" si="2"/>
        <v>80000</v>
      </c>
    </row>
    <row r="70" spans="1:9" ht="15.75" thickBot="1" x14ac:dyDescent="0.3">
      <c r="A70" s="92" t="s">
        <v>79</v>
      </c>
      <c r="B70" s="96" t="s">
        <v>80</v>
      </c>
      <c r="C70" s="85">
        <f>C67/B67-1</f>
        <v>0</v>
      </c>
      <c r="D70" s="85">
        <f t="shared" ref="D70:E72" si="3">D67/C67-1</f>
        <v>0</v>
      </c>
      <c r="E70" s="85">
        <f t="shared" si="3"/>
        <v>0</v>
      </c>
      <c r="F70" s="97"/>
      <c r="G70" s="97"/>
      <c r="H70" s="97"/>
      <c r="I70" s="97"/>
    </row>
    <row r="71" spans="1:9" ht="15.75" thickBot="1" x14ac:dyDescent="0.3">
      <c r="A71" s="92" t="s">
        <v>81</v>
      </c>
      <c r="B71" s="96" t="s">
        <v>80</v>
      </c>
      <c r="C71" s="85">
        <f>C68/B68-1</f>
        <v>0</v>
      </c>
      <c r="D71" s="85">
        <f t="shared" si="3"/>
        <v>0</v>
      </c>
      <c r="E71" s="85">
        <f t="shared" si="3"/>
        <v>0</v>
      </c>
    </row>
    <row r="72" spans="1:9" ht="23.25" thickBot="1" x14ac:dyDescent="0.3">
      <c r="A72" s="92" t="s">
        <v>82</v>
      </c>
      <c r="B72" s="96" t="s">
        <v>80</v>
      </c>
      <c r="C72" s="85">
        <f>C69/B69-1</f>
        <v>0</v>
      </c>
      <c r="D72" s="85">
        <f t="shared" si="3"/>
        <v>0</v>
      </c>
      <c r="E72" s="85">
        <f t="shared" si="3"/>
        <v>0</v>
      </c>
    </row>
    <row r="73" spans="1:9" ht="15.75" thickBot="1" x14ac:dyDescent="0.3">
      <c r="A73" s="635" t="s">
        <v>97</v>
      </c>
      <c r="B73" s="636"/>
      <c r="C73" s="636"/>
      <c r="D73" s="636"/>
      <c r="E73" s="637"/>
    </row>
    <row r="74" spans="1:9" ht="15.75" customHeight="1" x14ac:dyDescent="0.25">
      <c r="A74" s="610"/>
      <c r="B74" s="93">
        <v>2018</v>
      </c>
      <c r="C74" s="93">
        <v>2019</v>
      </c>
      <c r="D74" s="93">
        <v>2020</v>
      </c>
      <c r="E74" s="93">
        <v>2021</v>
      </c>
    </row>
    <row r="75" spans="1:9" ht="13.5" customHeight="1" thickBot="1" x14ac:dyDescent="0.3">
      <c r="A75" s="611"/>
      <c r="B75" s="94" t="s">
        <v>41</v>
      </c>
      <c r="C75" s="94" t="s">
        <v>42</v>
      </c>
      <c r="D75" s="94" t="s">
        <v>42</v>
      </c>
      <c r="E75" s="94" t="s">
        <v>42</v>
      </c>
    </row>
    <row r="76" spans="1:9" ht="15.75" thickBot="1" x14ac:dyDescent="0.3">
      <c r="A76" s="98" t="s">
        <v>84</v>
      </c>
      <c r="B76" s="99">
        <v>40000</v>
      </c>
      <c r="C76" s="99">
        <v>40000</v>
      </c>
      <c r="D76" s="99">
        <v>40000</v>
      </c>
      <c r="E76" s="99">
        <v>40000</v>
      </c>
    </row>
    <row r="77" spans="1:9" ht="24.75" thickBot="1" x14ac:dyDescent="0.3">
      <c r="A77" s="98" t="s">
        <v>85</v>
      </c>
      <c r="B77" s="99">
        <v>15000</v>
      </c>
      <c r="C77" s="99">
        <v>15000</v>
      </c>
      <c r="D77" s="99">
        <v>15000</v>
      </c>
      <c r="E77" s="99">
        <v>15000</v>
      </c>
    </row>
    <row r="78" spans="1:9" ht="15.75" thickBot="1" x14ac:dyDescent="0.3">
      <c r="A78" s="98" t="s">
        <v>86</v>
      </c>
      <c r="B78" s="99">
        <v>25000</v>
      </c>
      <c r="C78" s="99">
        <v>25000</v>
      </c>
      <c r="D78" s="99">
        <v>25000</v>
      </c>
      <c r="E78" s="99">
        <v>25000</v>
      </c>
    </row>
    <row r="79" spans="1:9" ht="15.75" thickBot="1" x14ac:dyDescent="0.3">
      <c r="A79" s="98" t="s">
        <v>87</v>
      </c>
      <c r="B79" s="100"/>
      <c r="C79" s="99"/>
      <c r="D79" s="99"/>
      <c r="E79" s="99"/>
    </row>
    <row r="80" spans="1:9" ht="15.75" thickBot="1" x14ac:dyDescent="0.3">
      <c r="A80" s="98" t="s">
        <v>88</v>
      </c>
      <c r="B80" s="100"/>
      <c r="C80" s="99"/>
      <c r="D80" s="99"/>
      <c r="E80" s="99"/>
    </row>
    <row r="81" spans="1:9" ht="15.75" thickBot="1" x14ac:dyDescent="0.3">
      <c r="A81" s="98" t="s">
        <v>89</v>
      </c>
      <c r="B81" s="100"/>
      <c r="C81" s="99"/>
      <c r="D81" s="99"/>
      <c r="E81" s="99"/>
    </row>
    <row r="82" spans="1:9" ht="24.75" thickBot="1" x14ac:dyDescent="0.3">
      <c r="A82" s="98" t="s">
        <v>90</v>
      </c>
      <c r="B82" s="100"/>
      <c r="C82" s="99"/>
      <c r="D82" s="99"/>
      <c r="E82" s="99"/>
    </row>
    <row r="83" spans="1:9" ht="15.75" thickBot="1" x14ac:dyDescent="0.3">
      <c r="A83" s="101" t="s">
        <v>98</v>
      </c>
      <c r="B83" s="100">
        <f>B82+B81+B80+B79+B78+B77+B76</f>
        <v>80000</v>
      </c>
      <c r="C83" s="100">
        <f>C82+C81+C80+C79+C78+C77+C76</f>
        <v>80000</v>
      </c>
      <c r="D83" s="100">
        <f>D82+D81+D80+D79+D78+D77+D76</f>
        <v>80000</v>
      </c>
      <c r="E83" s="100">
        <f>E82+E81+E80+E79+E78+E77+E76</f>
        <v>80000</v>
      </c>
    </row>
    <row r="84" spans="1:9" ht="15.75" thickBot="1" x14ac:dyDescent="0.3">
      <c r="A84" s="102" t="s">
        <v>92</v>
      </c>
      <c r="B84" s="103">
        <f>IF(B83-B68=0,0,"Error")</f>
        <v>0</v>
      </c>
      <c r="C84" s="103">
        <f>IF(C83-C68=0,0,"Error")</f>
        <v>0</v>
      </c>
      <c r="D84" s="103">
        <f>IF(D83-D68=0,0,"Error")</f>
        <v>0</v>
      </c>
      <c r="E84" s="103">
        <f>IF(E83-E68=0,0,"Error")</f>
        <v>0</v>
      </c>
    </row>
    <row r="85" spans="1:9" ht="15.75" thickBot="1" x14ac:dyDescent="0.3">
      <c r="A85" s="91" t="s">
        <v>99</v>
      </c>
      <c r="B85" s="629" t="s">
        <v>100</v>
      </c>
      <c r="C85" s="630"/>
      <c r="D85" s="630"/>
      <c r="E85" s="631"/>
    </row>
    <row r="86" spans="1:9" ht="28.5" customHeight="1" thickBot="1" x14ac:dyDescent="0.3">
      <c r="A86" s="92" t="s">
        <v>72</v>
      </c>
      <c r="B86" s="620" t="s">
        <v>101</v>
      </c>
      <c r="C86" s="621"/>
      <c r="D86" s="621"/>
      <c r="E86" s="622"/>
    </row>
    <row r="87" spans="1:9" ht="15.75" thickBot="1" x14ac:dyDescent="0.3">
      <c r="A87" s="92" t="s">
        <v>74</v>
      </c>
      <c r="B87" s="632" t="s">
        <v>96</v>
      </c>
      <c r="C87" s="633"/>
      <c r="D87" s="633"/>
      <c r="E87" s="634"/>
    </row>
    <row r="88" spans="1:9" ht="12.75" customHeight="1" x14ac:dyDescent="0.25">
      <c r="A88" s="610"/>
      <c r="B88" s="93">
        <v>2018</v>
      </c>
      <c r="C88" s="93">
        <v>2019</v>
      </c>
      <c r="D88" s="93">
        <v>2020</v>
      </c>
      <c r="E88" s="93">
        <v>2021</v>
      </c>
    </row>
    <row r="89" spans="1:9" ht="15" customHeight="1" thickBot="1" x14ac:dyDescent="0.3">
      <c r="A89" s="611"/>
      <c r="B89" s="94" t="s">
        <v>41</v>
      </c>
      <c r="C89" s="94" t="s">
        <v>42</v>
      </c>
      <c r="D89" s="94" t="s">
        <v>42</v>
      </c>
      <c r="E89" s="94" t="s">
        <v>42</v>
      </c>
    </row>
    <row r="90" spans="1:9" ht="15.75" thickBot="1" x14ac:dyDescent="0.3">
      <c r="A90" s="92" t="s">
        <v>76</v>
      </c>
      <c r="B90" s="95">
        <v>2</v>
      </c>
      <c r="C90" s="95">
        <v>2</v>
      </c>
      <c r="D90" s="95">
        <v>2</v>
      </c>
      <c r="E90" s="95">
        <v>2</v>
      </c>
    </row>
    <row r="91" spans="1:9" ht="15.75" thickBot="1" x14ac:dyDescent="0.3">
      <c r="A91" s="92" t="s">
        <v>77</v>
      </c>
      <c r="B91" s="95">
        <v>80000</v>
      </c>
      <c r="C91" s="95">
        <v>80000</v>
      </c>
      <c r="D91" s="95">
        <v>80000</v>
      </c>
      <c r="E91" s="95">
        <v>80000</v>
      </c>
    </row>
    <row r="92" spans="1:9" ht="15.75" thickBot="1" x14ac:dyDescent="0.3">
      <c r="A92" s="92" t="s">
        <v>78</v>
      </c>
      <c r="B92" s="95">
        <f>B91/B90</f>
        <v>40000</v>
      </c>
      <c r="C92" s="95">
        <f t="shared" ref="C92:E92" si="4">C91/C90</f>
        <v>40000</v>
      </c>
      <c r="D92" s="95">
        <f t="shared" si="4"/>
        <v>40000</v>
      </c>
      <c r="E92" s="95">
        <f t="shared" si="4"/>
        <v>40000</v>
      </c>
    </row>
    <row r="93" spans="1:9" ht="15.75" thickBot="1" x14ac:dyDescent="0.3">
      <c r="A93" s="92" t="s">
        <v>79</v>
      </c>
      <c r="B93" s="96" t="s">
        <v>80</v>
      </c>
      <c r="C93" s="85">
        <f>C90/B90-1</f>
        <v>0</v>
      </c>
      <c r="D93" s="85">
        <f t="shared" ref="D93:E95" si="5">D90/C90-1</f>
        <v>0</v>
      </c>
      <c r="E93" s="85">
        <f t="shared" si="5"/>
        <v>0</v>
      </c>
      <c r="F93" s="97"/>
      <c r="G93" s="97"/>
      <c r="H93" s="97"/>
      <c r="I93" s="97"/>
    </row>
    <row r="94" spans="1:9" ht="15.75" thickBot="1" x14ac:dyDescent="0.3">
      <c r="A94" s="92" t="s">
        <v>81</v>
      </c>
      <c r="B94" s="96" t="s">
        <v>80</v>
      </c>
      <c r="C94" s="85">
        <f>C91/B91-1</f>
        <v>0</v>
      </c>
      <c r="D94" s="85">
        <f t="shared" si="5"/>
        <v>0</v>
      </c>
      <c r="E94" s="85">
        <f t="shared" si="5"/>
        <v>0</v>
      </c>
    </row>
    <row r="95" spans="1:9" ht="23.25" thickBot="1" x14ac:dyDescent="0.3">
      <c r="A95" s="92" t="s">
        <v>82</v>
      </c>
      <c r="B95" s="96" t="s">
        <v>80</v>
      </c>
      <c r="C95" s="85">
        <f>C92/B92-1</f>
        <v>0</v>
      </c>
      <c r="D95" s="85">
        <f t="shared" si="5"/>
        <v>0</v>
      </c>
      <c r="E95" s="85">
        <f t="shared" si="5"/>
        <v>0</v>
      </c>
    </row>
    <row r="96" spans="1:9" ht="15.75" thickBot="1" x14ac:dyDescent="0.3">
      <c r="A96" s="635" t="s">
        <v>102</v>
      </c>
      <c r="B96" s="636"/>
      <c r="C96" s="636"/>
      <c r="D96" s="636"/>
      <c r="E96" s="637"/>
    </row>
    <row r="97" spans="1:5" ht="12.75" customHeight="1" x14ac:dyDescent="0.25">
      <c r="A97" s="610"/>
      <c r="B97" s="93">
        <v>2018</v>
      </c>
      <c r="C97" s="93">
        <v>2019</v>
      </c>
      <c r="D97" s="93">
        <v>2020</v>
      </c>
      <c r="E97" s="93">
        <v>2021</v>
      </c>
    </row>
    <row r="98" spans="1:5" ht="15.75" customHeight="1" thickBot="1" x14ac:dyDescent="0.3">
      <c r="A98" s="611"/>
      <c r="B98" s="94" t="s">
        <v>41</v>
      </c>
      <c r="C98" s="94" t="s">
        <v>42</v>
      </c>
      <c r="D98" s="94" t="s">
        <v>42</v>
      </c>
      <c r="E98" s="94" t="s">
        <v>42</v>
      </c>
    </row>
    <row r="99" spans="1:5" ht="15.75" thickBot="1" x14ac:dyDescent="0.3">
      <c r="A99" s="98" t="s">
        <v>84</v>
      </c>
      <c r="B99" s="99">
        <v>30000</v>
      </c>
      <c r="C99" s="99">
        <v>30000</v>
      </c>
      <c r="D99" s="99">
        <v>30000</v>
      </c>
      <c r="E99" s="99">
        <v>30000</v>
      </c>
    </row>
    <row r="100" spans="1:5" ht="33.75" customHeight="1" thickBot="1" x14ac:dyDescent="0.3">
      <c r="A100" s="98" t="s">
        <v>85</v>
      </c>
      <c r="B100" s="99">
        <v>12000</v>
      </c>
      <c r="C100" s="99">
        <v>12000</v>
      </c>
      <c r="D100" s="99">
        <v>12000</v>
      </c>
      <c r="E100" s="99">
        <v>12000</v>
      </c>
    </row>
    <row r="101" spans="1:5" ht="15.75" thickBot="1" x14ac:dyDescent="0.3">
      <c r="A101" s="98" t="s">
        <v>86</v>
      </c>
      <c r="B101" s="99">
        <v>38000</v>
      </c>
      <c r="C101" s="99">
        <v>38000</v>
      </c>
      <c r="D101" s="99">
        <v>38000</v>
      </c>
      <c r="E101" s="99">
        <v>38000</v>
      </c>
    </row>
    <row r="102" spans="1:5" ht="15.75" thickBot="1" x14ac:dyDescent="0.3">
      <c r="A102" s="98" t="s">
        <v>87</v>
      </c>
      <c r="B102" s="100"/>
      <c r="C102" s="99"/>
      <c r="D102" s="99"/>
      <c r="E102" s="99"/>
    </row>
    <row r="103" spans="1:5" ht="27" customHeight="1" thickBot="1" x14ac:dyDescent="0.3">
      <c r="A103" s="98" t="s">
        <v>88</v>
      </c>
      <c r="B103" s="100"/>
      <c r="C103" s="99"/>
      <c r="D103" s="99"/>
      <c r="E103" s="99"/>
    </row>
    <row r="104" spans="1:5" ht="15.75" thickBot="1" x14ac:dyDescent="0.3">
      <c r="A104" s="98" t="s">
        <v>89</v>
      </c>
      <c r="B104" s="100"/>
      <c r="C104" s="99"/>
      <c r="D104" s="99"/>
      <c r="E104" s="99"/>
    </row>
    <row r="105" spans="1:5" ht="36" customHeight="1" thickBot="1" x14ac:dyDescent="0.3">
      <c r="A105" s="98" t="s">
        <v>90</v>
      </c>
      <c r="B105" s="100"/>
      <c r="C105" s="99"/>
      <c r="D105" s="99"/>
      <c r="E105" s="99"/>
    </row>
    <row r="106" spans="1:5" ht="39.75" customHeight="1" thickBot="1" x14ac:dyDescent="0.3">
      <c r="A106" s="101" t="s">
        <v>103</v>
      </c>
      <c r="B106" s="100">
        <f>B105+B104+B103+B102+B101+B100+B99</f>
        <v>80000</v>
      </c>
      <c r="C106" s="100">
        <f>C105+C104+C103+C102+C101+C100+C99</f>
        <v>80000</v>
      </c>
      <c r="D106" s="100">
        <f>D105+D104+D103+D102+D101+D100+D99</f>
        <v>80000</v>
      </c>
      <c r="E106" s="100">
        <f>E105+E104+E103+E102+E101+E100+E99</f>
        <v>80000</v>
      </c>
    </row>
    <row r="107" spans="1:5" ht="15.75" thickBot="1" x14ac:dyDescent="0.3">
      <c r="A107" s="102" t="s">
        <v>92</v>
      </c>
      <c r="B107" s="103">
        <f>IF(B106-B91=0,0,"Error")</f>
        <v>0</v>
      </c>
      <c r="C107" s="103">
        <f>IF(C106-C91=0,0,"Error")</f>
        <v>0</v>
      </c>
      <c r="D107" s="103">
        <f>IF(D106-D91=0,0,"Error")</f>
        <v>0</v>
      </c>
      <c r="E107" s="103">
        <f>IF(E106-E91=0,0,"Error")</f>
        <v>0</v>
      </c>
    </row>
    <row r="108" spans="1:5" ht="15.75" thickBot="1" x14ac:dyDescent="0.3">
      <c r="A108" s="626" t="s">
        <v>104</v>
      </c>
      <c r="B108" s="627"/>
      <c r="C108" s="627"/>
      <c r="D108" s="627"/>
      <c r="E108" s="628"/>
    </row>
    <row r="109" spans="1:5" ht="15.75" thickBot="1" x14ac:dyDescent="0.3">
      <c r="A109" s="626" t="s">
        <v>105</v>
      </c>
      <c r="B109" s="627"/>
      <c r="C109" s="627"/>
      <c r="D109" s="627"/>
      <c r="E109" s="628"/>
    </row>
    <row r="110" spans="1:5" ht="23.25" thickBot="1" x14ac:dyDescent="0.3">
      <c r="A110" s="104" t="s">
        <v>106</v>
      </c>
      <c r="B110" s="641" t="s">
        <v>107</v>
      </c>
      <c r="C110" s="642"/>
      <c r="D110" s="642"/>
      <c r="E110" s="643"/>
    </row>
    <row r="111" spans="1:5" ht="15.75" thickBot="1" x14ac:dyDescent="0.3">
      <c r="A111" s="91" t="s">
        <v>108</v>
      </c>
      <c r="B111" s="629" t="s">
        <v>109</v>
      </c>
      <c r="C111" s="630"/>
      <c r="D111" s="630"/>
      <c r="E111" s="631"/>
    </row>
    <row r="112" spans="1:5" ht="17.25" customHeight="1" thickBot="1" x14ac:dyDescent="0.3">
      <c r="A112" s="92" t="s">
        <v>72</v>
      </c>
      <c r="B112" s="620" t="s">
        <v>110</v>
      </c>
      <c r="C112" s="621"/>
      <c r="D112" s="621"/>
      <c r="E112" s="622"/>
    </row>
    <row r="113" spans="1:9" ht="15.75" thickBot="1" x14ac:dyDescent="0.3">
      <c r="A113" s="92" t="s">
        <v>74</v>
      </c>
      <c r="B113" s="632" t="s">
        <v>111</v>
      </c>
      <c r="C113" s="633"/>
      <c r="D113" s="633"/>
      <c r="E113" s="634"/>
    </row>
    <row r="114" spans="1:9" ht="12.75" customHeight="1" x14ac:dyDescent="0.25">
      <c r="A114" s="610"/>
      <c r="B114" s="93">
        <v>2018</v>
      </c>
      <c r="C114" s="93">
        <v>2019</v>
      </c>
      <c r="D114" s="93">
        <v>2020</v>
      </c>
      <c r="E114" s="93">
        <v>2021</v>
      </c>
    </row>
    <row r="115" spans="1:9" ht="21" customHeight="1" thickBot="1" x14ac:dyDescent="0.3">
      <c r="A115" s="611"/>
      <c r="B115" s="94" t="s">
        <v>41</v>
      </c>
      <c r="C115" s="94" t="s">
        <v>42</v>
      </c>
      <c r="D115" s="94" t="s">
        <v>42</v>
      </c>
      <c r="E115" s="94" t="s">
        <v>42</v>
      </c>
    </row>
    <row r="116" spans="1:9" ht="15.75" thickBot="1" x14ac:dyDescent="0.3">
      <c r="A116" s="92" t="s">
        <v>76</v>
      </c>
      <c r="B116" s="95">
        <v>120</v>
      </c>
      <c r="C116" s="95">
        <v>120</v>
      </c>
      <c r="D116" s="95">
        <v>120</v>
      </c>
      <c r="E116" s="95">
        <v>120</v>
      </c>
    </row>
    <row r="117" spans="1:9" ht="15.75" thickBot="1" x14ac:dyDescent="0.3">
      <c r="A117" s="92" t="s">
        <v>77</v>
      </c>
      <c r="B117" s="95">
        <v>10000</v>
      </c>
      <c r="C117" s="95">
        <v>10000</v>
      </c>
      <c r="D117" s="95">
        <v>10000</v>
      </c>
      <c r="E117" s="95">
        <v>10000</v>
      </c>
    </row>
    <row r="118" spans="1:9" ht="15.75" thickBot="1" x14ac:dyDescent="0.3">
      <c r="A118" s="92" t="s">
        <v>78</v>
      </c>
      <c r="B118" s="95">
        <f>B117/B116</f>
        <v>83.333333333333329</v>
      </c>
      <c r="C118" s="95">
        <f t="shared" ref="C118:E118" si="6">C117/C116</f>
        <v>83.333333333333329</v>
      </c>
      <c r="D118" s="95">
        <f t="shared" si="6"/>
        <v>83.333333333333329</v>
      </c>
      <c r="E118" s="95">
        <f t="shared" si="6"/>
        <v>83.333333333333329</v>
      </c>
    </row>
    <row r="119" spans="1:9" ht="15.75" thickBot="1" x14ac:dyDescent="0.3">
      <c r="A119" s="92" t="s">
        <v>79</v>
      </c>
      <c r="B119" s="96" t="s">
        <v>80</v>
      </c>
      <c r="C119" s="85">
        <f>C116/B116-1</f>
        <v>0</v>
      </c>
      <c r="D119" s="85">
        <f t="shared" ref="D119:E121" si="7">D116/C116-1</f>
        <v>0</v>
      </c>
      <c r="E119" s="85">
        <f t="shared" si="7"/>
        <v>0</v>
      </c>
      <c r="F119" s="97"/>
      <c r="G119" s="97"/>
      <c r="H119" s="97"/>
      <c r="I119" s="97"/>
    </row>
    <row r="120" spans="1:9" ht="15.75" thickBot="1" x14ac:dyDescent="0.3">
      <c r="A120" s="92" t="s">
        <v>81</v>
      </c>
      <c r="B120" s="96" t="s">
        <v>80</v>
      </c>
      <c r="C120" s="85">
        <f>C117/B117-1</f>
        <v>0</v>
      </c>
      <c r="D120" s="85">
        <f t="shared" si="7"/>
        <v>0</v>
      </c>
      <c r="E120" s="85">
        <f t="shared" si="7"/>
        <v>0</v>
      </c>
    </row>
    <row r="121" spans="1:9" ht="23.25" thickBot="1" x14ac:dyDescent="0.3">
      <c r="A121" s="92" t="s">
        <v>82</v>
      </c>
      <c r="B121" s="96" t="s">
        <v>80</v>
      </c>
      <c r="C121" s="85">
        <f>C118/B118-1</f>
        <v>0</v>
      </c>
      <c r="D121" s="85">
        <f t="shared" si="7"/>
        <v>0</v>
      </c>
      <c r="E121" s="85">
        <f t="shared" si="7"/>
        <v>0</v>
      </c>
    </row>
    <row r="122" spans="1:9" ht="15.75" thickBot="1" x14ac:dyDescent="0.3">
      <c r="A122" s="635" t="s">
        <v>83</v>
      </c>
      <c r="B122" s="636"/>
      <c r="C122" s="636"/>
      <c r="D122" s="636"/>
      <c r="E122" s="637"/>
    </row>
    <row r="123" spans="1:9" ht="12.75" customHeight="1" x14ac:dyDescent="0.25">
      <c r="A123" s="610"/>
      <c r="B123" s="93">
        <v>2018</v>
      </c>
      <c r="C123" s="93">
        <v>2019</v>
      </c>
      <c r="D123" s="93">
        <v>2020</v>
      </c>
      <c r="E123" s="93">
        <v>2021</v>
      </c>
    </row>
    <row r="124" spans="1:9" ht="15.75" customHeight="1" thickBot="1" x14ac:dyDescent="0.3">
      <c r="A124" s="611"/>
      <c r="B124" s="94" t="s">
        <v>41</v>
      </c>
      <c r="C124" s="94" t="s">
        <v>42</v>
      </c>
      <c r="D124" s="94" t="s">
        <v>42</v>
      </c>
      <c r="E124" s="94" t="s">
        <v>42</v>
      </c>
    </row>
    <row r="125" spans="1:9" ht="15.75" thickBot="1" x14ac:dyDescent="0.3">
      <c r="A125" s="98" t="s">
        <v>112</v>
      </c>
      <c r="B125" s="100">
        <v>10000</v>
      </c>
      <c r="C125" s="99">
        <v>10000</v>
      </c>
      <c r="D125" s="99">
        <v>10000</v>
      </c>
      <c r="E125" s="99">
        <v>10000</v>
      </c>
    </row>
    <row r="126" spans="1:9" ht="15.75" thickBot="1" x14ac:dyDescent="0.3">
      <c r="A126" s="101" t="s">
        <v>91</v>
      </c>
      <c r="B126" s="100">
        <f>B125</f>
        <v>10000</v>
      </c>
      <c r="C126" s="100">
        <f t="shared" ref="C126:E126" si="8">C125</f>
        <v>10000</v>
      </c>
      <c r="D126" s="100">
        <f t="shared" si="8"/>
        <v>10000</v>
      </c>
      <c r="E126" s="100">
        <f t="shared" si="8"/>
        <v>10000</v>
      </c>
    </row>
    <row r="127" spans="1:9" x14ac:dyDescent="0.25">
      <c r="A127" s="644" t="s">
        <v>113</v>
      </c>
      <c r="B127" s="647"/>
      <c r="C127" s="648"/>
      <c r="D127" s="648"/>
      <c r="E127" s="649"/>
    </row>
    <row r="128" spans="1:9" x14ac:dyDescent="0.25">
      <c r="A128" s="645"/>
      <c r="B128" s="650"/>
      <c r="C128" s="651"/>
      <c r="D128" s="651"/>
      <c r="E128" s="652"/>
    </row>
    <row r="129" spans="1:5" ht="15.75" thickBot="1" x14ac:dyDescent="0.3">
      <c r="A129" s="646"/>
      <c r="B129" s="653"/>
      <c r="C129" s="654"/>
      <c r="D129" s="654"/>
      <c r="E129" s="655"/>
    </row>
    <row r="130" spans="1:5" ht="23.25" customHeight="1" thickBot="1" x14ac:dyDescent="0.3">
      <c r="A130" s="638" t="s">
        <v>114</v>
      </c>
      <c r="B130" s="639"/>
      <c r="C130" s="639"/>
      <c r="D130" s="639"/>
      <c r="E130" s="640"/>
    </row>
    <row r="131" spans="1:5" ht="12.75" customHeight="1" x14ac:dyDescent="0.25">
      <c r="A131" s="610"/>
      <c r="B131" s="93">
        <v>2018</v>
      </c>
      <c r="C131" s="93">
        <v>2019</v>
      </c>
      <c r="D131" s="93">
        <v>2020</v>
      </c>
      <c r="E131" s="93">
        <v>2021</v>
      </c>
    </row>
    <row r="132" spans="1:5" ht="9" customHeight="1" thickBot="1" x14ac:dyDescent="0.3">
      <c r="A132" s="611"/>
      <c r="B132" s="94" t="s">
        <v>41</v>
      </c>
      <c r="C132" s="94" t="s">
        <v>42</v>
      </c>
      <c r="D132" s="94" t="s">
        <v>42</v>
      </c>
      <c r="E132" s="94" t="s">
        <v>42</v>
      </c>
    </row>
    <row r="133" spans="1:5" ht="26.25" customHeight="1" thickBot="1" x14ac:dyDescent="0.3">
      <c r="A133" s="91" t="s">
        <v>115</v>
      </c>
      <c r="B133" s="656" t="s">
        <v>116</v>
      </c>
      <c r="C133" s="657"/>
      <c r="D133" s="657"/>
      <c r="E133" s="658"/>
    </row>
    <row r="134" spans="1:5" ht="16.5" customHeight="1" thickBot="1" x14ac:dyDescent="0.3">
      <c r="A134" s="92" t="s">
        <v>72</v>
      </c>
      <c r="B134" s="620" t="s">
        <v>117</v>
      </c>
      <c r="C134" s="621"/>
      <c r="D134" s="621"/>
      <c r="E134" s="622"/>
    </row>
    <row r="135" spans="1:5" ht="15.75" customHeight="1" thickBot="1" x14ac:dyDescent="0.3">
      <c r="A135" s="92" t="s">
        <v>74</v>
      </c>
      <c r="B135" s="632" t="s">
        <v>118</v>
      </c>
      <c r="C135" s="633"/>
      <c r="D135" s="633"/>
      <c r="E135" s="634"/>
    </row>
    <row r="136" spans="1:5" ht="12.75" customHeight="1" x14ac:dyDescent="0.25">
      <c r="A136" s="610"/>
      <c r="B136" s="93">
        <v>2018</v>
      </c>
      <c r="C136" s="93">
        <v>2019</v>
      </c>
      <c r="D136" s="93">
        <v>2020</v>
      </c>
      <c r="E136" s="93">
        <v>2021</v>
      </c>
    </row>
    <row r="137" spans="1:5" ht="9" customHeight="1" thickBot="1" x14ac:dyDescent="0.3">
      <c r="A137" s="611"/>
      <c r="B137" s="94" t="s">
        <v>41</v>
      </c>
      <c r="C137" s="94" t="s">
        <v>42</v>
      </c>
      <c r="D137" s="94" t="s">
        <v>42</v>
      </c>
      <c r="E137" s="94" t="s">
        <v>42</v>
      </c>
    </row>
    <row r="138" spans="1:5" ht="15.75" customHeight="1" thickBot="1" x14ac:dyDescent="0.3">
      <c r="A138" s="92" t="s">
        <v>76</v>
      </c>
      <c r="B138" s="95">
        <v>12</v>
      </c>
      <c r="C138" s="95">
        <v>12</v>
      </c>
      <c r="D138" s="95">
        <v>12</v>
      </c>
      <c r="E138" s="95">
        <v>12</v>
      </c>
    </row>
    <row r="139" spans="1:5" ht="15.75" thickBot="1" x14ac:dyDescent="0.3">
      <c r="A139" s="92" t="s">
        <v>77</v>
      </c>
      <c r="B139" s="95">
        <v>270000</v>
      </c>
      <c r="C139" s="95">
        <v>270000</v>
      </c>
      <c r="D139" s="95">
        <v>270000</v>
      </c>
      <c r="E139" s="95">
        <v>270000</v>
      </c>
    </row>
    <row r="140" spans="1:5" ht="15.75" thickBot="1" x14ac:dyDescent="0.3">
      <c r="A140" s="92" t="s">
        <v>78</v>
      </c>
      <c r="B140" s="95">
        <f>B139/B138</f>
        <v>22500</v>
      </c>
      <c r="C140" s="95">
        <f t="shared" ref="C140:E140" si="9">C139/C138</f>
        <v>22500</v>
      </c>
      <c r="D140" s="95">
        <f t="shared" si="9"/>
        <v>22500</v>
      </c>
      <c r="E140" s="95">
        <f t="shared" si="9"/>
        <v>22500</v>
      </c>
    </row>
    <row r="141" spans="1:5" ht="15.75" thickBot="1" x14ac:dyDescent="0.3">
      <c r="A141" s="92" t="s">
        <v>79</v>
      </c>
      <c r="B141" s="96"/>
      <c r="C141" s="85">
        <f>C138/B138-1</f>
        <v>0</v>
      </c>
      <c r="D141" s="85">
        <f t="shared" ref="D141:E143" si="10">D138/C138-1</f>
        <v>0</v>
      </c>
      <c r="E141" s="85">
        <f t="shared" si="10"/>
        <v>0</v>
      </c>
    </row>
    <row r="142" spans="1:5" ht="15.75" thickBot="1" x14ac:dyDescent="0.3">
      <c r="A142" s="92" t="s">
        <v>81</v>
      </c>
      <c r="B142" s="96"/>
      <c r="C142" s="85">
        <f>C139/B139-1</f>
        <v>0</v>
      </c>
      <c r="D142" s="85">
        <f t="shared" si="10"/>
        <v>0</v>
      </c>
      <c r="E142" s="85">
        <f t="shared" si="10"/>
        <v>0</v>
      </c>
    </row>
    <row r="143" spans="1:5" ht="23.25" thickBot="1" x14ac:dyDescent="0.3">
      <c r="A143" s="92" t="s">
        <v>82</v>
      </c>
      <c r="B143" s="96"/>
      <c r="C143" s="85">
        <f>C140/B140-1</f>
        <v>0</v>
      </c>
      <c r="D143" s="85">
        <f t="shared" si="10"/>
        <v>0</v>
      </c>
      <c r="E143" s="85">
        <f t="shared" si="10"/>
        <v>0</v>
      </c>
    </row>
    <row r="144" spans="1:5" ht="12.75" customHeight="1" x14ac:dyDescent="0.25">
      <c r="A144" s="610"/>
      <c r="B144" s="93">
        <v>2018</v>
      </c>
      <c r="C144" s="93">
        <v>2019</v>
      </c>
      <c r="D144" s="93">
        <v>2020</v>
      </c>
      <c r="E144" s="93">
        <v>2021</v>
      </c>
    </row>
    <row r="145" spans="1:5" ht="13.5" customHeight="1" thickBot="1" x14ac:dyDescent="0.3">
      <c r="A145" s="611"/>
      <c r="B145" s="94" t="s">
        <v>41</v>
      </c>
      <c r="C145" s="94" t="s">
        <v>42</v>
      </c>
      <c r="D145" s="94" t="s">
        <v>42</v>
      </c>
      <c r="E145" s="94" t="s">
        <v>42</v>
      </c>
    </row>
    <row r="146" spans="1:5" ht="15.75" thickBot="1" x14ac:dyDescent="0.3">
      <c r="A146" s="635" t="s">
        <v>119</v>
      </c>
      <c r="B146" s="636"/>
      <c r="C146" s="636"/>
      <c r="D146" s="636"/>
      <c r="E146" s="637"/>
    </row>
    <row r="147" spans="1:5" ht="12.75" customHeight="1" x14ac:dyDescent="0.25">
      <c r="A147" s="610"/>
      <c r="B147" s="93">
        <v>2018</v>
      </c>
      <c r="C147" s="93">
        <v>2019</v>
      </c>
      <c r="D147" s="93">
        <v>2020</v>
      </c>
      <c r="E147" s="93">
        <v>2021</v>
      </c>
    </row>
    <row r="148" spans="1:5" ht="16.5" customHeight="1" thickBot="1" x14ac:dyDescent="0.3">
      <c r="A148" s="611"/>
      <c r="B148" s="94" t="s">
        <v>41</v>
      </c>
      <c r="C148" s="94" t="s">
        <v>42</v>
      </c>
      <c r="D148" s="94" t="s">
        <v>42</v>
      </c>
      <c r="E148" s="94" t="s">
        <v>42</v>
      </c>
    </row>
    <row r="149" spans="1:5" ht="15.75" thickBot="1" x14ac:dyDescent="0.3">
      <c r="A149" s="98" t="s">
        <v>84</v>
      </c>
      <c r="B149" s="99">
        <v>182000</v>
      </c>
      <c r="C149" s="99">
        <v>182000</v>
      </c>
      <c r="D149" s="99">
        <v>182000</v>
      </c>
      <c r="E149" s="99">
        <v>182000</v>
      </c>
    </row>
    <row r="150" spans="1:5" ht="24.75" thickBot="1" x14ac:dyDescent="0.3">
      <c r="A150" s="98" t="s">
        <v>85</v>
      </c>
      <c r="B150" s="99">
        <v>30000</v>
      </c>
      <c r="C150" s="99">
        <v>30000</v>
      </c>
      <c r="D150" s="99">
        <v>30000</v>
      </c>
      <c r="E150" s="99">
        <v>30000</v>
      </c>
    </row>
    <row r="151" spans="1:5" ht="15.75" thickBot="1" x14ac:dyDescent="0.3">
      <c r="A151" s="98" t="s">
        <v>86</v>
      </c>
      <c r="B151" s="100">
        <v>58000</v>
      </c>
      <c r="C151" s="100">
        <v>58000</v>
      </c>
      <c r="D151" s="100">
        <v>58000</v>
      </c>
      <c r="E151" s="100">
        <v>58000</v>
      </c>
    </row>
    <row r="152" spans="1:5" ht="15.75" thickBot="1" x14ac:dyDescent="0.3">
      <c r="A152" s="98" t="s">
        <v>87</v>
      </c>
      <c r="B152" s="100"/>
      <c r="C152" s="99"/>
      <c r="D152" s="99"/>
      <c r="E152" s="99"/>
    </row>
    <row r="153" spans="1:5" ht="15.75" thickBot="1" x14ac:dyDescent="0.3">
      <c r="A153" s="98" t="s">
        <v>88</v>
      </c>
      <c r="B153" s="100"/>
      <c r="C153" s="99"/>
      <c r="D153" s="99"/>
      <c r="E153" s="99"/>
    </row>
    <row r="154" spans="1:5" ht="15.75" thickBot="1" x14ac:dyDescent="0.3">
      <c r="A154" s="98" t="s">
        <v>89</v>
      </c>
      <c r="B154" s="100"/>
      <c r="C154" s="99"/>
      <c r="D154" s="99"/>
      <c r="E154" s="99"/>
    </row>
    <row r="155" spans="1:5" ht="24.75" thickBot="1" x14ac:dyDescent="0.3">
      <c r="A155" s="98" t="s">
        <v>90</v>
      </c>
      <c r="B155" s="100"/>
      <c r="C155" s="99"/>
      <c r="D155" s="99"/>
      <c r="E155" s="99"/>
    </row>
    <row r="156" spans="1:5" ht="24.75" thickBot="1" x14ac:dyDescent="0.3">
      <c r="A156" s="105" t="s">
        <v>120</v>
      </c>
      <c r="B156" s="106">
        <f>B155+B154+B153+B152+B151+B150+B149</f>
        <v>270000</v>
      </c>
      <c r="C156" s="106">
        <f>C155+C154+C153+C152+C151+C150+C149</f>
        <v>270000</v>
      </c>
      <c r="D156" s="106">
        <f>D155+D154+D153+D152+D151+D150+D149</f>
        <v>270000</v>
      </c>
      <c r="E156" s="106">
        <f>E155+E154+E153+E152+E151+E150+E149</f>
        <v>270000</v>
      </c>
    </row>
    <row r="157" spans="1:5" ht="15.75" thickBot="1" x14ac:dyDescent="0.3">
      <c r="A157" s="102" t="s">
        <v>92</v>
      </c>
      <c r="B157" s="103">
        <f>IF(B156-B139=0,0,"Error")</f>
        <v>0</v>
      </c>
      <c r="C157" s="103">
        <f>IF(C156-C139=0,0,"Error")</f>
        <v>0</v>
      </c>
      <c r="D157" s="103">
        <f>IF(D156-D139=0,0,"Error")</f>
        <v>0</v>
      </c>
      <c r="E157" s="103">
        <f>IF(E156-E139=0,0,"Error")</f>
        <v>0</v>
      </c>
    </row>
    <row r="158" spans="1:5" ht="15.75" thickBot="1" x14ac:dyDescent="0.3">
      <c r="A158" s="107"/>
      <c r="B158" s="108"/>
      <c r="C158" s="108"/>
      <c r="D158" s="108"/>
      <c r="E158" s="108"/>
    </row>
    <row r="159" spans="1:5" ht="39" customHeight="1" thickBot="1" x14ac:dyDescent="0.3">
      <c r="A159" s="109" t="s">
        <v>121</v>
      </c>
      <c r="B159" s="110">
        <f>B45+B68+B91+B117+B139</f>
        <v>542500</v>
      </c>
      <c r="C159" s="110">
        <f>C45+C68+C91+C117+C139</f>
        <v>497000</v>
      </c>
      <c r="D159" s="110">
        <f>D45+D68+D91+D117+D139</f>
        <v>498000</v>
      </c>
      <c r="E159" s="110">
        <f>E45+E68+E91+E117+E139</f>
        <v>544000</v>
      </c>
    </row>
    <row r="160" spans="1:5" ht="45.75" thickBot="1" x14ac:dyDescent="0.3">
      <c r="A160" s="109" t="s">
        <v>122</v>
      </c>
      <c r="B160" s="110">
        <f>B162+B164+B166+B168</f>
        <v>542500</v>
      </c>
      <c r="C160" s="110">
        <f t="shared" ref="C160:E160" si="11">C162+C164+C166+C168</f>
        <v>497000</v>
      </c>
      <c r="D160" s="110">
        <f t="shared" si="11"/>
        <v>498000</v>
      </c>
      <c r="E160" s="110">
        <f t="shared" si="11"/>
        <v>544000</v>
      </c>
    </row>
    <row r="161" spans="1:5" ht="45.75" thickBot="1" x14ac:dyDescent="0.3">
      <c r="A161" s="111" t="s">
        <v>123</v>
      </c>
      <c r="B161" s="112"/>
      <c r="C161" s="113">
        <f>C160/B160-1</f>
        <v>-8.3870967741935476E-2</v>
      </c>
      <c r="D161" s="113">
        <f t="shared" ref="D161:E161" si="12">D160/C160-1</f>
        <v>2.012072434607548E-3</v>
      </c>
      <c r="E161" s="113">
        <f t="shared" si="12"/>
        <v>9.2369477911646625E-2</v>
      </c>
    </row>
    <row r="162" spans="1:5" ht="15.75" thickBot="1" x14ac:dyDescent="0.3">
      <c r="A162" s="114" t="s">
        <v>84</v>
      </c>
      <c r="B162" s="115">
        <f>B53+B76+B99+B149</f>
        <v>271400</v>
      </c>
      <c r="C162" s="115">
        <f>C53+C76+C99+C149</f>
        <v>271400</v>
      </c>
      <c r="D162" s="115">
        <f>D53+D76+D99+D149</f>
        <v>271400</v>
      </c>
      <c r="E162" s="115">
        <f>E53+E76+E99+E149</f>
        <v>271400</v>
      </c>
    </row>
    <row r="163" spans="1:5" ht="32.25" customHeight="1" thickBot="1" x14ac:dyDescent="0.3">
      <c r="A163" s="116" t="s">
        <v>124</v>
      </c>
      <c r="B163" s="117"/>
      <c r="C163" s="118">
        <f>C162/B162-1</f>
        <v>0</v>
      </c>
      <c r="D163" s="118">
        <f t="shared" ref="D163:E163" si="13">D162/C162-1</f>
        <v>0</v>
      </c>
      <c r="E163" s="118">
        <f t="shared" si="13"/>
        <v>0</v>
      </c>
    </row>
    <row r="164" spans="1:5" ht="51.75" customHeight="1" thickBot="1" x14ac:dyDescent="0.3">
      <c r="A164" s="114" t="s">
        <v>85</v>
      </c>
      <c r="B164" s="115">
        <f>B54+B77+B100+B150</f>
        <v>66100</v>
      </c>
      <c r="C164" s="115">
        <f>C54+C77+C100+C150</f>
        <v>66100</v>
      </c>
      <c r="D164" s="115">
        <f>D54+D77+D100+D150</f>
        <v>66100</v>
      </c>
      <c r="E164" s="115">
        <f>E54+E77+E100+E150</f>
        <v>66100</v>
      </c>
    </row>
    <row r="165" spans="1:5" ht="45.75" thickBot="1" x14ac:dyDescent="0.3">
      <c r="A165" s="116" t="s">
        <v>125</v>
      </c>
      <c r="B165" s="117"/>
      <c r="C165" s="118">
        <f>C164/B164-1</f>
        <v>0</v>
      </c>
      <c r="D165" s="118">
        <f t="shared" ref="D165:E165" si="14">D164/C164-1</f>
        <v>0</v>
      </c>
      <c r="E165" s="118">
        <f t="shared" si="14"/>
        <v>0</v>
      </c>
    </row>
    <row r="166" spans="1:5" ht="30.75" thickBot="1" x14ac:dyDescent="0.3">
      <c r="A166" s="114" t="s">
        <v>86</v>
      </c>
      <c r="B166" s="115">
        <f>B55+B78+B101+B151</f>
        <v>195000</v>
      </c>
      <c r="C166" s="115">
        <f>C55+C78+C101+C151</f>
        <v>149500</v>
      </c>
      <c r="D166" s="115">
        <f>D55+D78+D101+D151</f>
        <v>150500</v>
      </c>
      <c r="E166" s="115">
        <f>E55+E78+E101+E151</f>
        <v>196500</v>
      </c>
    </row>
    <row r="167" spans="1:5" ht="30.75" thickBot="1" x14ac:dyDescent="0.3">
      <c r="A167" s="116" t="s">
        <v>126</v>
      </c>
      <c r="B167" s="117"/>
      <c r="C167" s="118">
        <f>C166/B166-1</f>
        <v>-0.23333333333333328</v>
      </c>
      <c r="D167" s="118">
        <f t="shared" ref="D167:E167" si="15">D166/C166-1</f>
        <v>6.6889632107023367E-3</v>
      </c>
      <c r="E167" s="118">
        <f t="shared" si="15"/>
        <v>0.30564784053156147</v>
      </c>
    </row>
    <row r="168" spans="1:5" ht="30.75" thickBot="1" x14ac:dyDescent="0.3">
      <c r="A168" s="114" t="s">
        <v>127</v>
      </c>
      <c r="B168" s="115">
        <f>B125</f>
        <v>10000</v>
      </c>
      <c r="C168" s="115">
        <f>C125</f>
        <v>10000</v>
      </c>
      <c r="D168" s="115">
        <f>D125</f>
        <v>10000</v>
      </c>
      <c r="E168" s="115">
        <f>E125</f>
        <v>10000</v>
      </c>
    </row>
    <row r="169" spans="1:5" ht="30.75" thickBot="1" x14ac:dyDescent="0.3">
      <c r="A169" s="116" t="s">
        <v>128</v>
      </c>
      <c r="B169" s="117"/>
      <c r="C169" s="118">
        <f>C168/B168-1</f>
        <v>0</v>
      </c>
      <c r="D169" s="118">
        <f t="shared" ref="D169:E169" si="16">D168/C168-1</f>
        <v>0</v>
      </c>
      <c r="E169" s="118">
        <f t="shared" si="16"/>
        <v>0</v>
      </c>
    </row>
    <row r="170" spans="1:5" ht="15.75" thickBot="1" x14ac:dyDescent="0.3">
      <c r="A170" s="102" t="s">
        <v>92</v>
      </c>
      <c r="B170" s="103">
        <f>IF(B160-B159=0,0,"Error")</f>
        <v>0</v>
      </c>
      <c r="C170" s="103">
        <f t="shared" ref="C170:E170" si="17">IF(C160-C159=0,0,"Error")</f>
        <v>0</v>
      </c>
      <c r="D170" s="103">
        <f t="shared" si="17"/>
        <v>0</v>
      </c>
      <c r="E170" s="103">
        <f t="shared" si="17"/>
        <v>0</v>
      </c>
    </row>
    <row r="171" spans="1:5" ht="44.25" customHeight="1" thickBot="1" x14ac:dyDescent="0.3">
      <c r="A171" s="119" t="s">
        <v>129</v>
      </c>
      <c r="B171" s="99" t="s">
        <v>80</v>
      </c>
      <c r="C171" s="99" t="s">
        <v>80</v>
      </c>
      <c r="D171" s="99" t="s">
        <v>80</v>
      </c>
      <c r="E171" s="99" t="s">
        <v>80</v>
      </c>
    </row>
    <row r="172" spans="1:5" ht="45.75" customHeight="1" thickBot="1" x14ac:dyDescent="0.3">
      <c r="A172" s="119" t="s">
        <v>130</v>
      </c>
      <c r="B172" s="99" t="s">
        <v>80</v>
      </c>
      <c r="C172" s="99" t="s">
        <v>80</v>
      </c>
      <c r="D172" s="99" t="s">
        <v>80</v>
      </c>
      <c r="E172" s="99" t="s">
        <v>80</v>
      </c>
    </row>
  </sheetData>
  <mergeCells count="56">
    <mergeCell ref="A146:E146"/>
    <mergeCell ref="A147:A148"/>
    <mergeCell ref="A131:A132"/>
    <mergeCell ref="B133:E133"/>
    <mergeCell ref="B134:E134"/>
    <mergeCell ref="B135:E135"/>
    <mergeCell ref="A136:A137"/>
    <mergeCell ref="A144:A145"/>
    <mergeCell ref="A130:E130"/>
    <mergeCell ref="A108:E108"/>
    <mergeCell ref="A109:E109"/>
    <mergeCell ref="B110:E110"/>
    <mergeCell ref="B111:E111"/>
    <mergeCell ref="B112:E112"/>
    <mergeCell ref="B113:E113"/>
    <mergeCell ref="A114:A115"/>
    <mergeCell ref="A122:E122"/>
    <mergeCell ref="A123:A124"/>
    <mergeCell ref="A127:A129"/>
    <mergeCell ref="B127:E129"/>
    <mergeCell ref="A97:A98"/>
    <mergeCell ref="B62:E62"/>
    <mergeCell ref="B63:E63"/>
    <mergeCell ref="B64:E64"/>
    <mergeCell ref="A65:A66"/>
    <mergeCell ref="A73:E73"/>
    <mergeCell ref="A74:A75"/>
    <mergeCell ref="B85:E85"/>
    <mergeCell ref="B86:E86"/>
    <mergeCell ref="B87:E87"/>
    <mergeCell ref="A88:A89"/>
    <mergeCell ref="A96:E96"/>
    <mergeCell ref="A51:A52"/>
    <mergeCell ref="B20:E20"/>
    <mergeCell ref="A21:A22"/>
    <mergeCell ref="B25:E25"/>
    <mergeCell ref="A26:E26"/>
    <mergeCell ref="A37:E37"/>
    <mergeCell ref="A38:E38"/>
    <mergeCell ref="B39:E39"/>
    <mergeCell ref="B40:E40"/>
    <mergeCell ref="B41:E41"/>
    <mergeCell ref="A42:A43"/>
    <mergeCell ref="A50:E50"/>
    <mergeCell ref="A17:E19"/>
    <mergeCell ref="B5:E5"/>
    <mergeCell ref="B6:E6"/>
    <mergeCell ref="B7:E7"/>
    <mergeCell ref="C8:E8"/>
    <mergeCell ref="C9:E9"/>
    <mergeCell ref="A10:E10"/>
    <mergeCell ref="A11:E11"/>
    <mergeCell ref="B13:E13"/>
    <mergeCell ref="B14:E14"/>
    <mergeCell ref="B15:E15"/>
    <mergeCell ref="A16:E16"/>
  </mergeCells>
  <printOptions horizontalCentered="1" verticalCentered="1"/>
  <pageMargins left="0.7" right="0.7" top="0.75" bottom="0.75" header="0.3" footer="0.3"/>
  <pageSetup scale="57" orientation="portrait" r:id="rId1"/>
  <rowBreaks count="1" manualBreakCount="1">
    <brk id="1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376"/>
  <sheetViews>
    <sheetView view="pageBreakPreview" topLeftCell="A351" zoomScale="60" zoomScaleNormal="100" workbookViewId="0">
      <selection activeCell="B295" sqref="B295:E295"/>
    </sheetView>
  </sheetViews>
  <sheetFormatPr defaultRowHeight="15" x14ac:dyDescent="0.25"/>
  <cols>
    <col min="1" max="1" width="24.85546875" style="404" customWidth="1"/>
    <col min="2" max="2" width="21.42578125" style="404" customWidth="1"/>
    <col min="3" max="3" width="21.7109375" style="404" customWidth="1"/>
    <col min="4" max="4" width="19.28515625" style="404" customWidth="1"/>
    <col min="5" max="5" width="21.42578125" style="404" customWidth="1"/>
    <col min="6" max="16384" width="9.140625" style="404"/>
  </cols>
  <sheetData>
    <row r="1" spans="1:5" x14ac:dyDescent="0.25">
      <c r="A1" s="402" t="s">
        <v>0</v>
      </c>
      <c r="B1" s="403"/>
      <c r="C1" s="403"/>
      <c r="D1" s="403"/>
    </row>
    <row r="2" spans="1:5" ht="18" customHeight="1" thickBot="1" x14ac:dyDescent="0.3"/>
    <row r="3" spans="1:5" ht="31.5" customHeight="1" thickBot="1" x14ac:dyDescent="0.3">
      <c r="A3" s="405" t="s">
        <v>1</v>
      </c>
      <c r="B3" s="681"/>
      <c r="C3" s="682"/>
      <c r="D3" s="682"/>
      <c r="E3" s="683"/>
    </row>
    <row r="4" spans="1:5" ht="37.5" customHeight="1" thickBot="1" x14ac:dyDescent="0.3">
      <c r="A4" s="406" t="s">
        <v>2</v>
      </c>
      <c r="B4" s="663"/>
      <c r="C4" s="664"/>
      <c r="D4" s="664"/>
      <c r="E4" s="665"/>
    </row>
    <row r="5" spans="1:5" ht="33.75" customHeight="1" thickBot="1" x14ac:dyDescent="0.3">
      <c r="A5" s="406" t="s">
        <v>614</v>
      </c>
      <c r="B5" s="684"/>
      <c r="C5" s="667"/>
      <c r="D5" s="667"/>
      <c r="E5" s="668"/>
    </row>
    <row r="6" spans="1:5" ht="18" customHeight="1" thickBot="1" x14ac:dyDescent="0.3">
      <c r="A6" s="406" t="s">
        <v>4</v>
      </c>
      <c r="B6" s="407" t="s">
        <v>619</v>
      </c>
      <c r="C6" s="685" t="s">
        <v>6</v>
      </c>
      <c r="D6" s="685"/>
      <c r="E6" s="686"/>
    </row>
    <row r="7" spans="1:5" ht="30.75" customHeight="1" thickBot="1" x14ac:dyDescent="0.3">
      <c r="A7" s="406" t="s">
        <v>620</v>
      </c>
      <c r="B7" s="409"/>
      <c r="C7" s="667"/>
      <c r="D7" s="667"/>
      <c r="E7" s="668"/>
    </row>
    <row r="8" spans="1:5" ht="49.5" customHeight="1" thickBot="1" x14ac:dyDescent="0.3">
      <c r="A8" s="406" t="s">
        <v>621</v>
      </c>
      <c r="B8" s="409"/>
      <c r="C8" s="667"/>
      <c r="D8" s="667"/>
      <c r="E8" s="668"/>
    </row>
    <row r="9" spans="1:5" ht="18" customHeight="1" x14ac:dyDescent="0.25">
      <c r="A9" s="659" t="s">
        <v>687</v>
      </c>
      <c r="B9" s="659"/>
      <c r="C9" s="659"/>
      <c r="D9" s="659"/>
      <c r="E9" s="659"/>
    </row>
    <row r="10" spans="1:5" ht="15.75" thickBot="1" x14ac:dyDescent="0.3"/>
    <row r="11" spans="1:5" ht="26.25" thickBot="1" x14ac:dyDescent="0.3">
      <c r="A11" s="410" t="s">
        <v>33</v>
      </c>
      <c r="B11" s="660" t="s">
        <v>135</v>
      </c>
      <c r="C11" s="661"/>
      <c r="D11" s="661"/>
      <c r="E11" s="662"/>
    </row>
    <row r="12" spans="1:5" ht="15.75" thickBot="1" x14ac:dyDescent="0.3">
      <c r="A12" s="410" t="s">
        <v>5</v>
      </c>
      <c r="B12" s="663" t="s">
        <v>15</v>
      </c>
      <c r="C12" s="664"/>
      <c r="D12" s="664"/>
      <c r="E12" s="665"/>
    </row>
    <row r="13" spans="1:5" ht="26.25" thickBot="1" x14ac:dyDescent="0.3">
      <c r="A13" s="410" t="s">
        <v>35</v>
      </c>
      <c r="B13" s="666" t="s">
        <v>36</v>
      </c>
      <c r="C13" s="667"/>
      <c r="D13" s="667"/>
      <c r="E13" s="668"/>
    </row>
    <row r="14" spans="1:5" ht="15.75" thickBot="1" x14ac:dyDescent="0.3">
      <c r="A14" s="669" t="s">
        <v>6</v>
      </c>
      <c r="B14" s="670"/>
      <c r="C14" s="670"/>
      <c r="D14" s="670"/>
      <c r="E14" s="671"/>
    </row>
    <row r="15" spans="1:5" ht="15.75" customHeight="1" x14ac:dyDescent="0.25">
      <c r="A15" s="672" t="s">
        <v>136</v>
      </c>
      <c r="B15" s="673"/>
      <c r="C15" s="673"/>
      <c r="D15" s="673"/>
      <c r="E15" s="674"/>
    </row>
    <row r="16" spans="1:5" ht="36.75" customHeight="1" x14ac:dyDescent="0.25">
      <c r="A16" s="675"/>
      <c r="B16" s="676"/>
      <c r="C16" s="676"/>
      <c r="D16" s="676"/>
      <c r="E16" s="677"/>
    </row>
    <row r="17" spans="1:5" ht="15.75" thickBot="1" x14ac:dyDescent="0.3">
      <c r="A17" s="678"/>
      <c r="B17" s="679"/>
      <c r="C17" s="679"/>
      <c r="D17" s="679"/>
      <c r="E17" s="680"/>
    </row>
    <row r="18" spans="1:5" ht="70.5" customHeight="1" thickBot="1" x14ac:dyDescent="0.3">
      <c r="A18" s="411" t="s">
        <v>38</v>
      </c>
      <c r="B18" s="698" t="s">
        <v>137</v>
      </c>
      <c r="C18" s="699"/>
      <c r="D18" s="699"/>
      <c r="E18" s="700"/>
    </row>
    <row r="19" spans="1:5" ht="23.25" customHeight="1" x14ac:dyDescent="0.25">
      <c r="A19" s="693" t="s">
        <v>138</v>
      </c>
      <c r="B19" s="431">
        <v>2018</v>
      </c>
      <c r="C19" s="431">
        <v>2019</v>
      </c>
      <c r="D19" s="431">
        <v>2020</v>
      </c>
      <c r="E19" s="431">
        <v>2021</v>
      </c>
    </row>
    <row r="20" spans="1:5" ht="15.75" thickBot="1" x14ac:dyDescent="0.3">
      <c r="A20" s="694"/>
      <c r="B20" s="432" t="s">
        <v>41</v>
      </c>
      <c r="C20" s="432" t="s">
        <v>42</v>
      </c>
      <c r="D20" s="432" t="s">
        <v>42</v>
      </c>
      <c r="E20" s="432" t="s">
        <v>42</v>
      </c>
    </row>
    <row r="21" spans="1:5" ht="45.75" thickBot="1" x14ac:dyDescent="0.3">
      <c r="A21" s="433" t="s">
        <v>139</v>
      </c>
      <c r="B21" s="434" t="s">
        <v>140</v>
      </c>
      <c r="C21" s="434" t="s">
        <v>141</v>
      </c>
      <c r="D21" s="434" t="s">
        <v>142</v>
      </c>
      <c r="E21" s="434" t="s">
        <v>143</v>
      </c>
    </row>
    <row r="22" spans="1:5" ht="23.25" thickBot="1" x14ac:dyDescent="0.3">
      <c r="A22" s="420" t="s">
        <v>144</v>
      </c>
      <c r="B22" s="434" t="s">
        <v>145</v>
      </c>
      <c r="C22" s="434" t="s">
        <v>146</v>
      </c>
      <c r="D22" s="434" t="s">
        <v>147</v>
      </c>
      <c r="E22" s="434" t="s">
        <v>148</v>
      </c>
    </row>
    <row r="23" spans="1:5" ht="23.25" thickBot="1" x14ac:dyDescent="0.3">
      <c r="A23" s="416" t="s">
        <v>149</v>
      </c>
      <c r="B23" s="434" t="s">
        <v>150</v>
      </c>
      <c r="C23" s="434" t="s">
        <v>151</v>
      </c>
      <c r="D23" s="434" t="s">
        <v>151</v>
      </c>
      <c r="E23" s="434" t="s">
        <v>151</v>
      </c>
    </row>
    <row r="24" spans="1:5" ht="45.75" customHeight="1" thickBot="1" x14ac:dyDescent="0.3">
      <c r="A24" s="417" t="s">
        <v>45</v>
      </c>
      <c r="B24" s="701" t="s">
        <v>152</v>
      </c>
      <c r="C24" s="702"/>
      <c r="D24" s="702"/>
      <c r="E24" s="703"/>
    </row>
    <row r="25" spans="1:5" ht="23.25" customHeight="1" thickBot="1" x14ac:dyDescent="0.3">
      <c r="A25" s="690" t="s">
        <v>153</v>
      </c>
      <c r="B25" s="691"/>
      <c r="C25" s="691"/>
      <c r="D25" s="691"/>
      <c r="E25" s="692"/>
    </row>
    <row r="26" spans="1:5" ht="34.5" thickBot="1" x14ac:dyDescent="0.3">
      <c r="A26" s="433" t="s">
        <v>154</v>
      </c>
      <c r="B26" s="435" t="s">
        <v>155</v>
      </c>
      <c r="C26" s="435" t="s">
        <v>156</v>
      </c>
      <c r="D26" s="435" t="s">
        <v>156</v>
      </c>
      <c r="E26" s="435" t="s">
        <v>156</v>
      </c>
    </row>
    <row r="27" spans="1:5" ht="23.25" thickBot="1" x14ac:dyDescent="0.3">
      <c r="A27" s="420" t="s">
        <v>157</v>
      </c>
      <c r="B27" s="435" t="s">
        <v>158</v>
      </c>
      <c r="C27" s="435" t="s">
        <v>159</v>
      </c>
      <c r="D27" s="435" t="s">
        <v>160</v>
      </c>
      <c r="E27" s="435" t="s">
        <v>156</v>
      </c>
    </row>
    <row r="28" spans="1:5" ht="15.75" thickBot="1" x14ac:dyDescent="0.3">
      <c r="A28" s="704" t="s">
        <v>68</v>
      </c>
      <c r="B28" s="705"/>
      <c r="C28" s="705"/>
      <c r="D28" s="705"/>
      <c r="E28" s="706"/>
    </row>
    <row r="29" spans="1:5" ht="15.75" thickBot="1" x14ac:dyDescent="0.3">
      <c r="A29" s="707" t="s">
        <v>69</v>
      </c>
      <c r="B29" s="708"/>
      <c r="C29" s="708"/>
      <c r="D29" s="708"/>
      <c r="E29" s="709"/>
    </row>
    <row r="30" spans="1:5" ht="15.75" customHeight="1" thickBot="1" x14ac:dyDescent="0.3">
      <c r="A30" s="419" t="s">
        <v>161</v>
      </c>
      <c r="B30" s="687" t="s">
        <v>162</v>
      </c>
      <c r="C30" s="688"/>
      <c r="D30" s="688"/>
      <c r="E30" s="689"/>
    </row>
    <row r="31" spans="1:5" ht="17.25" customHeight="1" thickBot="1" x14ac:dyDescent="0.3">
      <c r="A31" s="420" t="s">
        <v>72</v>
      </c>
      <c r="B31" s="690" t="s">
        <v>163</v>
      </c>
      <c r="C31" s="691"/>
      <c r="D31" s="691"/>
      <c r="E31" s="692"/>
    </row>
    <row r="32" spans="1:5" ht="15.75" thickBot="1" x14ac:dyDescent="0.3">
      <c r="A32" s="420" t="s">
        <v>74</v>
      </c>
      <c r="B32" s="690" t="s">
        <v>164</v>
      </c>
      <c r="C32" s="691"/>
      <c r="D32" s="691"/>
      <c r="E32" s="692"/>
    </row>
    <row r="33" spans="1:5" ht="12.75" customHeight="1" x14ac:dyDescent="0.25">
      <c r="A33" s="693"/>
      <c r="B33" s="421">
        <v>2018</v>
      </c>
      <c r="C33" s="421">
        <v>2019</v>
      </c>
      <c r="D33" s="421">
        <v>2020</v>
      </c>
      <c r="E33" s="421">
        <v>2021</v>
      </c>
    </row>
    <row r="34" spans="1:5" ht="9" customHeight="1" thickBot="1" x14ac:dyDescent="0.3">
      <c r="A34" s="694"/>
      <c r="B34" s="422" t="s">
        <v>41</v>
      </c>
      <c r="C34" s="422" t="s">
        <v>42</v>
      </c>
      <c r="D34" s="422" t="s">
        <v>42</v>
      </c>
      <c r="E34" s="422" t="s">
        <v>42</v>
      </c>
    </row>
    <row r="35" spans="1:5" ht="15.75" thickBot="1" x14ac:dyDescent="0.3">
      <c r="A35" s="420" t="s">
        <v>76</v>
      </c>
      <c r="B35" s="423">
        <v>292</v>
      </c>
      <c r="C35" s="423">
        <v>292</v>
      </c>
      <c r="D35" s="423">
        <v>292</v>
      </c>
      <c r="E35" s="423">
        <v>292</v>
      </c>
    </row>
    <row r="36" spans="1:5" ht="15.75" thickBot="1" x14ac:dyDescent="0.3">
      <c r="A36" s="420" t="s">
        <v>77</v>
      </c>
      <c r="B36" s="423">
        <v>947699081</v>
      </c>
      <c r="C36" s="423">
        <v>755023081</v>
      </c>
      <c r="D36" s="423">
        <v>735361081</v>
      </c>
      <c r="E36" s="423">
        <v>731961081</v>
      </c>
    </row>
    <row r="37" spans="1:5" ht="15.75" thickBot="1" x14ac:dyDescent="0.3">
      <c r="A37" s="420" t="s">
        <v>78</v>
      </c>
      <c r="B37" s="423">
        <f>B36/B35</f>
        <v>3245544.7979452056</v>
      </c>
      <c r="C37" s="423">
        <f>C36/C35</f>
        <v>2585695.4828767125</v>
      </c>
      <c r="D37" s="423">
        <f>D36/D35</f>
        <v>2518359.8664383562</v>
      </c>
      <c r="E37" s="423">
        <f>E36/E35</f>
        <v>2506716.0308219176</v>
      </c>
    </row>
    <row r="38" spans="1:5" ht="15.75" thickBot="1" x14ac:dyDescent="0.3">
      <c r="A38" s="420" t="s">
        <v>79</v>
      </c>
      <c r="B38" s="424" t="s">
        <v>80</v>
      </c>
      <c r="C38" s="436">
        <f>C35/B35-1</f>
        <v>0</v>
      </c>
      <c r="D38" s="436">
        <f t="shared" ref="D38:E40" si="0">D35/C35-1</f>
        <v>0</v>
      </c>
      <c r="E38" s="436">
        <f t="shared" si="0"/>
        <v>0</v>
      </c>
    </row>
    <row r="39" spans="1:5" ht="15.75" thickBot="1" x14ac:dyDescent="0.3">
      <c r="A39" s="420" t="s">
        <v>81</v>
      </c>
      <c r="B39" s="424" t="s">
        <v>80</v>
      </c>
      <c r="C39" s="436">
        <f>C36/B36-1</f>
        <v>-0.20330926120207982</v>
      </c>
      <c r="D39" s="436">
        <f t="shared" si="0"/>
        <v>-2.604158799219547E-2</v>
      </c>
      <c r="E39" s="436">
        <f t="shared" si="0"/>
        <v>-4.6235789299270413E-3</v>
      </c>
    </row>
    <row r="40" spans="1:5" ht="15.75" thickBot="1" x14ac:dyDescent="0.3">
      <c r="A40" s="420" t="s">
        <v>82</v>
      </c>
      <c r="B40" s="424" t="s">
        <v>80</v>
      </c>
      <c r="C40" s="436">
        <f>C37/B37-1</f>
        <v>-0.20330926120207982</v>
      </c>
      <c r="D40" s="436">
        <f t="shared" si="0"/>
        <v>-2.604158799219547E-2</v>
      </c>
      <c r="E40" s="436">
        <f t="shared" si="0"/>
        <v>-4.6235789299271524E-3</v>
      </c>
    </row>
    <row r="41" spans="1:5" ht="15.75" thickBot="1" x14ac:dyDescent="0.3">
      <c r="A41" s="695" t="s">
        <v>165</v>
      </c>
      <c r="B41" s="696"/>
      <c r="C41" s="696"/>
      <c r="D41" s="696"/>
      <c r="E41" s="697"/>
    </row>
    <row r="42" spans="1:5" ht="12.75" customHeight="1" x14ac:dyDescent="0.25">
      <c r="A42" s="693"/>
      <c r="B42" s="421">
        <v>2018</v>
      </c>
      <c r="C42" s="421">
        <v>2019</v>
      </c>
      <c r="D42" s="421">
        <v>2020</v>
      </c>
      <c r="E42" s="421">
        <v>2021</v>
      </c>
    </row>
    <row r="43" spans="1:5" ht="9" customHeight="1" thickBot="1" x14ac:dyDescent="0.3">
      <c r="A43" s="694"/>
      <c r="B43" s="422" t="s">
        <v>41</v>
      </c>
      <c r="C43" s="422" t="s">
        <v>42</v>
      </c>
      <c r="D43" s="422" t="s">
        <v>42</v>
      </c>
      <c r="E43" s="422" t="s">
        <v>42</v>
      </c>
    </row>
    <row r="44" spans="1:5" ht="15.75" thickBot="1" x14ac:dyDescent="0.3">
      <c r="A44" s="427" t="s">
        <v>84</v>
      </c>
      <c r="B44" s="437">
        <v>242883848</v>
      </c>
      <c r="C44" s="437">
        <v>347773848</v>
      </c>
      <c r="D44" s="437">
        <v>347773848</v>
      </c>
      <c r="E44" s="437">
        <v>347773848</v>
      </c>
    </row>
    <row r="45" spans="1:5" ht="24.75" thickBot="1" x14ac:dyDescent="0.3">
      <c r="A45" s="427" t="s">
        <v>85</v>
      </c>
      <c r="B45" s="437">
        <v>44438233</v>
      </c>
      <c r="C45" s="437">
        <v>56228233</v>
      </c>
      <c r="D45" s="437">
        <v>56228233</v>
      </c>
      <c r="E45" s="437">
        <v>56228233</v>
      </c>
    </row>
    <row r="46" spans="1:5" ht="15.75" thickBot="1" x14ac:dyDescent="0.3">
      <c r="A46" s="427" t="s">
        <v>86</v>
      </c>
      <c r="B46" s="429">
        <v>658877000</v>
      </c>
      <c r="C46" s="428">
        <v>349761000</v>
      </c>
      <c r="D46" s="428">
        <v>330099000</v>
      </c>
      <c r="E46" s="428">
        <v>326699000</v>
      </c>
    </row>
    <row r="47" spans="1:5" ht="15.75" thickBot="1" x14ac:dyDescent="0.3">
      <c r="A47" s="427" t="s">
        <v>87</v>
      </c>
      <c r="B47" s="438">
        <v>0</v>
      </c>
      <c r="C47" s="437">
        <v>0</v>
      </c>
      <c r="D47" s="437">
        <v>0</v>
      </c>
      <c r="E47" s="437">
        <v>0</v>
      </c>
    </row>
    <row r="48" spans="1:5" ht="15.75" thickBot="1" x14ac:dyDescent="0.3">
      <c r="A48" s="427" t="s">
        <v>88</v>
      </c>
      <c r="B48" s="429">
        <v>0</v>
      </c>
      <c r="C48" s="429">
        <v>0</v>
      </c>
      <c r="D48" s="429">
        <v>0</v>
      </c>
      <c r="E48" s="429">
        <v>0</v>
      </c>
    </row>
    <row r="49" spans="1:5" ht="15.75" thickBot="1" x14ac:dyDescent="0.3">
      <c r="A49" s="427" t="s">
        <v>89</v>
      </c>
      <c r="B49" s="429">
        <v>1260000</v>
      </c>
      <c r="C49" s="429">
        <v>1260000</v>
      </c>
      <c r="D49" s="429">
        <v>1260000</v>
      </c>
      <c r="E49" s="429">
        <v>1260000</v>
      </c>
    </row>
    <row r="50" spans="1:5" ht="24.75" thickBot="1" x14ac:dyDescent="0.3">
      <c r="A50" s="427" t="s">
        <v>90</v>
      </c>
      <c r="B50" s="429">
        <v>240000</v>
      </c>
      <c r="C50" s="429">
        <v>0</v>
      </c>
      <c r="D50" s="429">
        <v>0</v>
      </c>
      <c r="E50" s="429">
        <v>0</v>
      </c>
    </row>
    <row r="51" spans="1:5" ht="15.75" thickBot="1" x14ac:dyDescent="0.3">
      <c r="A51" s="430" t="s">
        <v>166</v>
      </c>
      <c r="B51" s="429">
        <f>B50+B49+B48+B47+B46+B45+B44</f>
        <v>947699081</v>
      </c>
      <c r="C51" s="429">
        <f>C50+C49+C48+C47+C46+C45+C44</f>
        <v>755023081</v>
      </c>
      <c r="D51" s="429">
        <f>D50+D49+D48+D47+D46+D45+D44</f>
        <v>735361081</v>
      </c>
      <c r="E51" s="429">
        <f>E50+E49+E48+E47+E46+E45+E44</f>
        <v>731961081</v>
      </c>
    </row>
    <row r="52" spans="1:5" ht="15.75" thickBot="1" x14ac:dyDescent="0.3">
      <c r="A52" s="439" t="s">
        <v>92</v>
      </c>
      <c r="B52" s="440">
        <f>IF(B51-B36=0,0,"Error")</f>
        <v>0</v>
      </c>
      <c r="C52" s="440">
        <f>IF(C51-C36=0,0,"Error")</f>
        <v>0</v>
      </c>
      <c r="D52" s="440">
        <f>IF(D51-D36=0,0,"Error")</f>
        <v>0</v>
      </c>
      <c r="E52" s="440">
        <f>IF(E51-E36=0,0,"Error")</f>
        <v>0</v>
      </c>
    </row>
    <row r="53" spans="1:5" ht="15.75" thickBot="1" x14ac:dyDescent="0.3">
      <c r="A53" s="707" t="s">
        <v>104</v>
      </c>
      <c r="B53" s="708"/>
      <c r="C53" s="708"/>
      <c r="D53" s="708"/>
      <c r="E53" s="709"/>
    </row>
    <row r="54" spans="1:5" ht="15.75" thickBot="1" x14ac:dyDescent="0.3">
      <c r="A54" s="707" t="s">
        <v>105</v>
      </c>
      <c r="B54" s="708"/>
      <c r="C54" s="708"/>
      <c r="D54" s="708"/>
      <c r="E54" s="709"/>
    </row>
    <row r="55" spans="1:5" ht="15.75" customHeight="1" thickBot="1" x14ac:dyDescent="0.3">
      <c r="A55" s="441" t="s">
        <v>167</v>
      </c>
      <c r="B55" s="722" t="s">
        <v>168</v>
      </c>
      <c r="C55" s="723"/>
      <c r="D55" s="723"/>
      <c r="E55" s="724"/>
    </row>
    <row r="56" spans="1:5" ht="15.75" customHeight="1" thickBot="1" x14ac:dyDescent="0.3">
      <c r="A56" s="419" t="s">
        <v>161</v>
      </c>
      <c r="B56" s="687" t="s">
        <v>162</v>
      </c>
      <c r="C56" s="688"/>
      <c r="D56" s="688"/>
      <c r="E56" s="689"/>
    </row>
    <row r="57" spans="1:5" ht="17.25" customHeight="1" thickBot="1" x14ac:dyDescent="0.3">
      <c r="A57" s="420" t="s">
        <v>72</v>
      </c>
      <c r="B57" s="690" t="s">
        <v>163</v>
      </c>
      <c r="C57" s="691"/>
      <c r="D57" s="691"/>
      <c r="E57" s="692"/>
    </row>
    <row r="58" spans="1:5" ht="15.75" thickBot="1" x14ac:dyDescent="0.3">
      <c r="A58" s="420" t="s">
        <v>74</v>
      </c>
      <c r="B58" s="690"/>
      <c r="C58" s="691"/>
      <c r="D58" s="691"/>
      <c r="E58" s="692"/>
    </row>
    <row r="59" spans="1:5" ht="12.75" customHeight="1" x14ac:dyDescent="0.25">
      <c r="A59" s="693"/>
      <c r="B59" s="421">
        <v>2018</v>
      </c>
      <c r="C59" s="421">
        <v>2019</v>
      </c>
      <c r="D59" s="421">
        <v>2020</v>
      </c>
      <c r="E59" s="421">
        <v>2021</v>
      </c>
    </row>
    <row r="60" spans="1:5" ht="13.5" customHeight="1" thickBot="1" x14ac:dyDescent="0.3">
      <c r="A60" s="694"/>
      <c r="B60" s="422" t="s">
        <v>41</v>
      </c>
      <c r="C60" s="422" t="s">
        <v>42</v>
      </c>
      <c r="D60" s="422" t="s">
        <v>42</v>
      </c>
      <c r="E60" s="422" t="s">
        <v>42</v>
      </c>
    </row>
    <row r="61" spans="1:5" ht="15.75" thickBot="1" x14ac:dyDescent="0.3">
      <c r="A61" s="420" t="s">
        <v>76</v>
      </c>
      <c r="B61" s="423"/>
      <c r="C61" s="423"/>
      <c r="D61" s="423"/>
      <c r="E61" s="423"/>
    </row>
    <row r="62" spans="1:5" ht="15.75" thickBot="1" x14ac:dyDescent="0.3">
      <c r="A62" s="420" t="s">
        <v>77</v>
      </c>
      <c r="B62" s="423">
        <v>17480000</v>
      </c>
      <c r="C62" s="423">
        <v>0</v>
      </c>
      <c r="D62" s="423">
        <v>10000000</v>
      </c>
      <c r="E62" s="423">
        <v>0</v>
      </c>
    </row>
    <row r="63" spans="1:5" ht="15.75" thickBot="1" x14ac:dyDescent="0.3">
      <c r="A63" s="420" t="s">
        <v>78</v>
      </c>
      <c r="B63" s="423" t="e">
        <f>B62/B61</f>
        <v>#DIV/0!</v>
      </c>
      <c r="C63" s="423" t="e">
        <f>C62/C61</f>
        <v>#DIV/0!</v>
      </c>
      <c r="D63" s="423" t="e">
        <f>D62/D61</f>
        <v>#DIV/0!</v>
      </c>
      <c r="E63" s="423" t="e">
        <f>E62/E61</f>
        <v>#DIV/0!</v>
      </c>
    </row>
    <row r="64" spans="1:5" ht="15.75" thickBot="1" x14ac:dyDescent="0.3">
      <c r="A64" s="420" t="s">
        <v>79</v>
      </c>
      <c r="B64" s="424" t="s">
        <v>80</v>
      </c>
      <c r="C64" s="425" t="e">
        <f>C61/B61-1</f>
        <v>#DIV/0!</v>
      </c>
      <c r="D64" s="425" t="e">
        <f t="shared" ref="D64:E66" si="1">D61/C61-1</f>
        <v>#DIV/0!</v>
      </c>
      <c r="E64" s="425" t="e">
        <f t="shared" si="1"/>
        <v>#DIV/0!</v>
      </c>
    </row>
    <row r="65" spans="1:5" ht="15.75" thickBot="1" x14ac:dyDescent="0.3">
      <c r="A65" s="420" t="s">
        <v>81</v>
      </c>
      <c r="B65" s="424" t="s">
        <v>80</v>
      </c>
      <c r="C65" s="425">
        <f>C62/B62-1</f>
        <v>-1</v>
      </c>
      <c r="D65" s="425" t="e">
        <f t="shared" si="1"/>
        <v>#DIV/0!</v>
      </c>
      <c r="E65" s="425">
        <f t="shared" si="1"/>
        <v>-1</v>
      </c>
    </row>
    <row r="66" spans="1:5" ht="15.75" thickBot="1" x14ac:dyDescent="0.3">
      <c r="A66" s="420" t="s">
        <v>82</v>
      </c>
      <c r="B66" s="424" t="s">
        <v>80</v>
      </c>
      <c r="C66" s="425" t="e">
        <f>C63/B63-1</f>
        <v>#DIV/0!</v>
      </c>
      <c r="D66" s="425" t="e">
        <f t="shared" si="1"/>
        <v>#DIV/0!</v>
      </c>
      <c r="E66" s="425" t="e">
        <f t="shared" si="1"/>
        <v>#DIV/0!</v>
      </c>
    </row>
    <row r="67" spans="1:5" ht="15.75" thickBot="1" x14ac:dyDescent="0.3">
      <c r="A67" s="695" t="s">
        <v>165</v>
      </c>
      <c r="B67" s="696"/>
      <c r="C67" s="696"/>
      <c r="D67" s="696"/>
      <c r="E67" s="697"/>
    </row>
    <row r="68" spans="1:5" ht="12.75" customHeight="1" x14ac:dyDescent="0.25">
      <c r="A68" s="693"/>
      <c r="B68" s="421">
        <v>2018</v>
      </c>
      <c r="C68" s="421">
        <v>2019</v>
      </c>
      <c r="D68" s="421">
        <v>2020</v>
      </c>
      <c r="E68" s="421">
        <v>2021</v>
      </c>
    </row>
    <row r="69" spans="1:5" ht="9" customHeight="1" thickBot="1" x14ac:dyDescent="0.3">
      <c r="A69" s="694"/>
      <c r="B69" s="422" t="s">
        <v>41</v>
      </c>
      <c r="C69" s="422" t="s">
        <v>42</v>
      </c>
      <c r="D69" s="422" t="s">
        <v>42</v>
      </c>
      <c r="E69" s="422" t="s">
        <v>42</v>
      </c>
    </row>
    <row r="70" spans="1:5" ht="15.75" thickBot="1" x14ac:dyDescent="0.3">
      <c r="A70" s="427" t="s">
        <v>169</v>
      </c>
      <c r="B70" s="428"/>
      <c r="C70" s="428"/>
      <c r="D70" s="428"/>
      <c r="E70" s="428"/>
    </row>
    <row r="71" spans="1:5" ht="15.75" thickBot="1" x14ac:dyDescent="0.3">
      <c r="A71" s="427" t="s">
        <v>112</v>
      </c>
      <c r="B71" s="438">
        <v>17480000</v>
      </c>
      <c r="C71" s="442">
        <v>0</v>
      </c>
      <c r="D71" s="442">
        <v>10000000</v>
      </c>
      <c r="E71" s="442">
        <v>0</v>
      </c>
    </row>
    <row r="72" spans="1:5" ht="15.75" thickBot="1" x14ac:dyDescent="0.3">
      <c r="A72" s="430" t="s">
        <v>166</v>
      </c>
      <c r="B72" s="429">
        <f>B71+B70</f>
        <v>17480000</v>
      </c>
      <c r="C72" s="429">
        <f>C71+C70</f>
        <v>0</v>
      </c>
      <c r="D72" s="429">
        <f>D71+D70</f>
        <v>10000000</v>
      </c>
      <c r="E72" s="429">
        <f>E71+E70</f>
        <v>0</v>
      </c>
    </row>
    <row r="73" spans="1:5" x14ac:dyDescent="0.25">
      <c r="A73" s="710" t="s">
        <v>113</v>
      </c>
      <c r="B73" s="713"/>
      <c r="C73" s="714"/>
      <c r="D73" s="714"/>
      <c r="E73" s="715"/>
    </row>
    <row r="74" spans="1:5" x14ac:dyDescent="0.25">
      <c r="A74" s="711"/>
      <c r="B74" s="716"/>
      <c r="C74" s="717"/>
      <c r="D74" s="717"/>
      <c r="E74" s="718"/>
    </row>
    <row r="75" spans="1:5" ht="15.75" thickBot="1" x14ac:dyDescent="0.3">
      <c r="A75" s="712"/>
      <c r="B75" s="719"/>
      <c r="C75" s="720"/>
      <c r="D75" s="720"/>
      <c r="E75" s="721"/>
    </row>
    <row r="76" spans="1:5" ht="15.75" thickBot="1" x14ac:dyDescent="0.3">
      <c r="A76" s="441" t="s">
        <v>688</v>
      </c>
      <c r="B76" s="722" t="s">
        <v>689</v>
      </c>
      <c r="C76" s="723"/>
      <c r="D76" s="723"/>
      <c r="E76" s="724"/>
    </row>
    <row r="77" spans="1:5" ht="15.75" thickBot="1" x14ac:dyDescent="0.3">
      <c r="A77" s="419" t="s">
        <v>161</v>
      </c>
      <c r="B77" s="687" t="s">
        <v>162</v>
      </c>
      <c r="C77" s="688"/>
      <c r="D77" s="688"/>
      <c r="E77" s="689"/>
    </row>
    <row r="78" spans="1:5" ht="15.75" customHeight="1" thickBot="1" x14ac:dyDescent="0.3">
      <c r="A78" s="420" t="s">
        <v>72</v>
      </c>
      <c r="B78" s="690" t="s">
        <v>163</v>
      </c>
      <c r="C78" s="691"/>
      <c r="D78" s="691"/>
      <c r="E78" s="692"/>
    </row>
    <row r="79" spans="1:5" ht="15.75" thickBot="1" x14ac:dyDescent="0.3">
      <c r="A79" s="420" t="s">
        <v>74</v>
      </c>
      <c r="B79" s="725"/>
      <c r="C79" s="726"/>
      <c r="D79" s="726"/>
      <c r="E79" s="727"/>
    </row>
    <row r="80" spans="1:5" ht="15.75" thickBot="1" x14ac:dyDescent="0.3">
      <c r="A80" s="420" t="s">
        <v>76</v>
      </c>
      <c r="B80" s="423"/>
      <c r="C80" s="443"/>
      <c r="D80" s="443"/>
      <c r="E80" s="443"/>
    </row>
    <row r="81" spans="1:5" ht="15.75" thickBot="1" x14ac:dyDescent="0.3">
      <c r="A81" s="420" t="s">
        <v>77</v>
      </c>
      <c r="B81" s="423">
        <v>0</v>
      </c>
      <c r="C81" s="423">
        <v>0</v>
      </c>
      <c r="D81" s="423">
        <v>15000000</v>
      </c>
      <c r="E81" s="423">
        <v>15000000</v>
      </c>
    </row>
    <row r="82" spans="1:5" ht="15.75" thickBot="1" x14ac:dyDescent="0.3">
      <c r="A82" s="420" t="s">
        <v>78</v>
      </c>
      <c r="B82" s="423"/>
      <c r="C82" s="443"/>
      <c r="D82" s="443"/>
      <c r="E82" s="443"/>
    </row>
    <row r="83" spans="1:5" ht="15.75" thickBot="1" x14ac:dyDescent="0.3">
      <c r="A83" s="420" t="s">
        <v>79</v>
      </c>
      <c r="B83" s="424"/>
      <c r="C83" s="425" t="e">
        <f t="shared" ref="C83:E85" si="2">C80/B80-1</f>
        <v>#DIV/0!</v>
      </c>
      <c r="D83" s="425" t="e">
        <f t="shared" si="2"/>
        <v>#DIV/0!</v>
      </c>
      <c r="E83" s="425" t="e">
        <f t="shared" si="2"/>
        <v>#DIV/0!</v>
      </c>
    </row>
    <row r="84" spans="1:5" ht="15.75" thickBot="1" x14ac:dyDescent="0.3">
      <c r="A84" s="420" t="s">
        <v>81</v>
      </c>
      <c r="B84" s="424"/>
      <c r="C84" s="425" t="e">
        <f t="shared" si="2"/>
        <v>#DIV/0!</v>
      </c>
      <c r="D84" s="425" t="e">
        <f t="shared" si="2"/>
        <v>#DIV/0!</v>
      </c>
      <c r="E84" s="425">
        <f t="shared" si="2"/>
        <v>0</v>
      </c>
    </row>
    <row r="85" spans="1:5" ht="15.75" thickBot="1" x14ac:dyDescent="0.3">
      <c r="A85" s="420" t="s">
        <v>82</v>
      </c>
      <c r="B85" s="424"/>
      <c r="C85" s="425" t="e">
        <f t="shared" si="2"/>
        <v>#DIV/0!</v>
      </c>
      <c r="D85" s="425" t="e">
        <f t="shared" si="2"/>
        <v>#DIV/0!</v>
      </c>
      <c r="E85" s="425" t="e">
        <f t="shared" si="2"/>
        <v>#DIV/0!</v>
      </c>
    </row>
    <row r="86" spans="1:5" ht="15.75" customHeight="1" thickBot="1" x14ac:dyDescent="0.3">
      <c r="A86" s="687" t="s">
        <v>690</v>
      </c>
      <c r="B86" s="688"/>
      <c r="C86" s="688"/>
      <c r="D86" s="688"/>
      <c r="E86" s="689"/>
    </row>
    <row r="87" spans="1:5" x14ac:dyDescent="0.25">
      <c r="A87" s="444"/>
      <c r="B87" s="421">
        <v>2018</v>
      </c>
      <c r="C87" s="421">
        <v>2019</v>
      </c>
      <c r="D87" s="421">
        <v>2020</v>
      </c>
      <c r="E87" s="421">
        <v>2021</v>
      </c>
    </row>
    <row r="88" spans="1:5" ht="15.75" thickBot="1" x14ac:dyDescent="0.3">
      <c r="A88" s="424"/>
      <c r="B88" s="422" t="s">
        <v>41</v>
      </c>
      <c r="C88" s="422" t="s">
        <v>42</v>
      </c>
      <c r="D88" s="422" t="s">
        <v>42</v>
      </c>
      <c r="E88" s="422" t="s">
        <v>42</v>
      </c>
    </row>
    <row r="89" spans="1:5" ht="15.75" thickBot="1" x14ac:dyDescent="0.3">
      <c r="A89" s="427" t="s">
        <v>127</v>
      </c>
      <c r="B89" s="428"/>
      <c r="C89" s="428"/>
      <c r="D89" s="428"/>
      <c r="E89" s="428"/>
    </row>
    <row r="90" spans="1:5" ht="15.75" thickBot="1" x14ac:dyDescent="0.3">
      <c r="A90" s="427" t="s">
        <v>232</v>
      </c>
      <c r="B90" s="428">
        <v>0</v>
      </c>
      <c r="C90" s="428">
        <v>0</v>
      </c>
      <c r="D90" s="428">
        <v>15000000</v>
      </c>
      <c r="E90" s="428">
        <v>15000000</v>
      </c>
    </row>
    <row r="91" spans="1:5" ht="15.75" thickBot="1" x14ac:dyDescent="0.3">
      <c r="A91" s="445" t="s">
        <v>691</v>
      </c>
      <c r="B91" s="428">
        <f>SUM(B89:B90)</f>
        <v>0</v>
      </c>
      <c r="C91" s="428">
        <f>SUM(C89:C90)</f>
        <v>0</v>
      </c>
      <c r="D91" s="428">
        <f>SUM(D89:D90)</f>
        <v>15000000</v>
      </c>
      <c r="E91" s="428">
        <f>SUM(E89:E90)</f>
        <v>15000000</v>
      </c>
    </row>
    <row r="92" spans="1:5" ht="15.75" thickBot="1" x14ac:dyDescent="0.3">
      <c r="A92" s="446"/>
      <c r="B92" s="447"/>
      <c r="C92" s="447"/>
      <c r="D92" s="447"/>
      <c r="E92" s="448"/>
    </row>
    <row r="93" spans="1:5" ht="15.75" thickBot="1" x14ac:dyDescent="0.3">
      <c r="A93" s="707" t="s">
        <v>104</v>
      </c>
      <c r="B93" s="708"/>
      <c r="C93" s="708"/>
      <c r="D93" s="708"/>
      <c r="E93" s="709"/>
    </row>
    <row r="94" spans="1:5" ht="15.75" thickBot="1" x14ac:dyDescent="0.3">
      <c r="A94" s="707" t="s">
        <v>170</v>
      </c>
      <c r="B94" s="708"/>
      <c r="C94" s="708"/>
      <c r="D94" s="708"/>
      <c r="E94" s="709"/>
    </row>
    <row r="95" spans="1:5" ht="15.75" thickBot="1" x14ac:dyDescent="0.3">
      <c r="A95" s="441" t="s">
        <v>171</v>
      </c>
      <c r="B95" s="722" t="s">
        <v>172</v>
      </c>
      <c r="C95" s="723"/>
      <c r="D95" s="723"/>
      <c r="E95" s="724"/>
    </row>
    <row r="96" spans="1:5" ht="15.75" thickBot="1" x14ac:dyDescent="0.3">
      <c r="A96" s="419" t="s">
        <v>161</v>
      </c>
      <c r="B96" s="687" t="s">
        <v>162</v>
      </c>
      <c r="C96" s="688"/>
      <c r="D96" s="688"/>
      <c r="E96" s="689"/>
    </row>
    <row r="97" spans="1:5" ht="17.25" customHeight="1" thickBot="1" x14ac:dyDescent="0.3">
      <c r="A97" s="420" t="s">
        <v>72</v>
      </c>
      <c r="B97" s="690" t="s">
        <v>163</v>
      </c>
      <c r="C97" s="691"/>
      <c r="D97" s="691"/>
      <c r="E97" s="692"/>
    </row>
    <row r="98" spans="1:5" ht="15.75" thickBot="1" x14ac:dyDescent="0.3">
      <c r="A98" s="420" t="s">
        <v>74</v>
      </c>
      <c r="B98" s="690" t="s">
        <v>173</v>
      </c>
      <c r="C98" s="691"/>
      <c r="D98" s="691"/>
      <c r="E98" s="692"/>
    </row>
    <row r="99" spans="1:5" ht="12.75" customHeight="1" x14ac:dyDescent="0.25">
      <c r="A99" s="693"/>
      <c r="B99" s="421">
        <v>2018</v>
      </c>
      <c r="C99" s="421">
        <v>2019</v>
      </c>
      <c r="D99" s="421">
        <v>2020</v>
      </c>
      <c r="E99" s="421">
        <v>2021</v>
      </c>
    </row>
    <row r="100" spans="1:5" ht="9" customHeight="1" thickBot="1" x14ac:dyDescent="0.3">
      <c r="A100" s="694"/>
      <c r="B100" s="422" t="s">
        <v>41</v>
      </c>
      <c r="C100" s="422" t="s">
        <v>42</v>
      </c>
      <c r="D100" s="422" t="s">
        <v>42</v>
      </c>
      <c r="E100" s="422" t="s">
        <v>42</v>
      </c>
    </row>
    <row r="101" spans="1:5" ht="15.75" thickBot="1" x14ac:dyDescent="0.3">
      <c r="A101" s="420" t="s">
        <v>76</v>
      </c>
      <c r="B101" s="423">
        <v>1</v>
      </c>
      <c r="C101" s="423">
        <v>1</v>
      </c>
      <c r="D101" s="423">
        <v>1</v>
      </c>
      <c r="E101" s="423"/>
    </row>
    <row r="102" spans="1:5" ht="15.75" thickBot="1" x14ac:dyDescent="0.3">
      <c r="A102" s="420" t="s">
        <v>77</v>
      </c>
      <c r="B102" s="423">
        <v>5520000</v>
      </c>
      <c r="C102" s="423">
        <v>6210000</v>
      </c>
      <c r="D102" s="423">
        <v>7000000</v>
      </c>
      <c r="E102" s="423"/>
    </row>
    <row r="103" spans="1:5" ht="15.75" thickBot="1" x14ac:dyDescent="0.3">
      <c r="A103" s="420" t="s">
        <v>78</v>
      </c>
      <c r="B103" s="423">
        <f>B102/B101</f>
        <v>5520000</v>
      </c>
      <c r="C103" s="423">
        <f>C102/C101</f>
        <v>6210000</v>
      </c>
      <c r="D103" s="423">
        <f>D102/D101</f>
        <v>7000000</v>
      </c>
      <c r="E103" s="423" t="e">
        <f>E102/E101</f>
        <v>#DIV/0!</v>
      </c>
    </row>
    <row r="104" spans="1:5" ht="15.75" thickBot="1" x14ac:dyDescent="0.3">
      <c r="A104" s="420" t="s">
        <v>79</v>
      </c>
      <c r="B104" s="424" t="s">
        <v>80</v>
      </c>
      <c r="C104" s="425">
        <f>C101/B101-1</f>
        <v>0</v>
      </c>
      <c r="D104" s="425">
        <f t="shared" ref="D104:E106" si="3">D101/C101-1</f>
        <v>0</v>
      </c>
      <c r="E104" s="425">
        <f t="shared" si="3"/>
        <v>-1</v>
      </c>
    </row>
    <row r="105" spans="1:5" ht="15.75" thickBot="1" x14ac:dyDescent="0.3">
      <c r="A105" s="420" t="s">
        <v>81</v>
      </c>
      <c r="B105" s="424" t="s">
        <v>80</v>
      </c>
      <c r="C105" s="425">
        <f>C102/B102-1</f>
        <v>0.125</v>
      </c>
      <c r="D105" s="425">
        <f t="shared" si="3"/>
        <v>0.12721417069243146</v>
      </c>
      <c r="E105" s="425">
        <f t="shared" si="3"/>
        <v>-1</v>
      </c>
    </row>
    <row r="106" spans="1:5" ht="15.75" thickBot="1" x14ac:dyDescent="0.3">
      <c r="A106" s="420" t="s">
        <v>82</v>
      </c>
      <c r="B106" s="424" t="s">
        <v>80</v>
      </c>
      <c r="C106" s="425">
        <f>C103/B103-1</f>
        <v>0.125</v>
      </c>
      <c r="D106" s="425">
        <f t="shared" si="3"/>
        <v>0.12721417069243146</v>
      </c>
      <c r="E106" s="425" t="e">
        <f t="shared" si="3"/>
        <v>#DIV/0!</v>
      </c>
    </row>
    <row r="107" spans="1:5" ht="15.75" thickBot="1" x14ac:dyDescent="0.3">
      <c r="A107" s="695" t="s">
        <v>165</v>
      </c>
      <c r="B107" s="696"/>
      <c r="C107" s="696"/>
      <c r="D107" s="696"/>
      <c r="E107" s="697"/>
    </row>
    <row r="108" spans="1:5" ht="12.75" customHeight="1" x14ac:dyDescent="0.25">
      <c r="A108" s="693"/>
      <c r="B108" s="421">
        <v>2018</v>
      </c>
      <c r="C108" s="421">
        <v>2019</v>
      </c>
      <c r="D108" s="421">
        <v>2020</v>
      </c>
      <c r="E108" s="421">
        <v>2021</v>
      </c>
    </row>
    <row r="109" spans="1:5" ht="9" customHeight="1" thickBot="1" x14ac:dyDescent="0.3">
      <c r="A109" s="694"/>
      <c r="B109" s="422" t="s">
        <v>41</v>
      </c>
      <c r="C109" s="422" t="s">
        <v>42</v>
      </c>
      <c r="D109" s="422" t="s">
        <v>42</v>
      </c>
      <c r="E109" s="422" t="s">
        <v>42</v>
      </c>
    </row>
    <row r="110" spans="1:5" ht="15.75" thickBot="1" x14ac:dyDescent="0.3">
      <c r="A110" s="427" t="s">
        <v>169</v>
      </c>
      <c r="B110" s="423">
        <v>5520000</v>
      </c>
      <c r="C110" s="423">
        <v>6210000</v>
      </c>
      <c r="D110" s="423">
        <v>7000000</v>
      </c>
      <c r="E110" s="423"/>
    </row>
    <row r="111" spans="1:5" ht="15.75" thickBot="1" x14ac:dyDescent="0.3">
      <c r="A111" s="427" t="s">
        <v>112</v>
      </c>
      <c r="B111" s="429"/>
      <c r="C111" s="428"/>
      <c r="D111" s="428"/>
      <c r="E111" s="428"/>
    </row>
    <row r="112" spans="1:5" ht="15.75" thickBot="1" x14ac:dyDescent="0.3">
      <c r="A112" s="430" t="s">
        <v>166</v>
      </c>
      <c r="B112" s="429">
        <f>B111+B110</f>
        <v>5520000</v>
      </c>
      <c r="C112" s="429">
        <f>C111+C110</f>
        <v>6210000</v>
      </c>
      <c r="D112" s="429">
        <f>D111+D110</f>
        <v>7000000</v>
      </c>
      <c r="E112" s="429">
        <f>E111+E110</f>
        <v>0</v>
      </c>
    </row>
    <row r="113" spans="1:5" ht="15.75" customHeight="1" thickBot="1" x14ac:dyDescent="0.3">
      <c r="A113" s="441" t="s">
        <v>174</v>
      </c>
      <c r="B113" s="722" t="s">
        <v>175</v>
      </c>
      <c r="C113" s="723"/>
      <c r="D113" s="723"/>
      <c r="E113" s="724"/>
    </row>
    <row r="114" spans="1:5" ht="15.75" customHeight="1" thickBot="1" x14ac:dyDescent="0.3">
      <c r="A114" s="419" t="s">
        <v>161</v>
      </c>
      <c r="B114" s="687" t="s">
        <v>162</v>
      </c>
      <c r="C114" s="688"/>
      <c r="D114" s="688"/>
      <c r="E114" s="689"/>
    </row>
    <row r="115" spans="1:5" ht="17.25" customHeight="1" thickBot="1" x14ac:dyDescent="0.3">
      <c r="A115" s="420" t="s">
        <v>72</v>
      </c>
      <c r="B115" s="690" t="s">
        <v>163</v>
      </c>
      <c r="C115" s="691"/>
      <c r="D115" s="691"/>
      <c r="E115" s="692"/>
    </row>
    <row r="116" spans="1:5" ht="15.75" thickBot="1" x14ac:dyDescent="0.3">
      <c r="A116" s="420" t="s">
        <v>74</v>
      </c>
      <c r="B116" s="690"/>
      <c r="C116" s="691"/>
      <c r="D116" s="691"/>
      <c r="E116" s="692"/>
    </row>
    <row r="117" spans="1:5" ht="12.75" customHeight="1" x14ac:dyDescent="0.25">
      <c r="A117" s="693"/>
      <c r="B117" s="421">
        <v>2018</v>
      </c>
      <c r="C117" s="421">
        <v>2019</v>
      </c>
      <c r="D117" s="421">
        <v>2020</v>
      </c>
      <c r="E117" s="421">
        <v>2021</v>
      </c>
    </row>
    <row r="118" spans="1:5" ht="9" customHeight="1" thickBot="1" x14ac:dyDescent="0.3">
      <c r="A118" s="694"/>
      <c r="B118" s="422" t="s">
        <v>41</v>
      </c>
      <c r="C118" s="422" t="s">
        <v>42</v>
      </c>
      <c r="D118" s="422" t="s">
        <v>42</v>
      </c>
      <c r="E118" s="422" t="s">
        <v>42</v>
      </c>
    </row>
    <row r="119" spans="1:5" ht="15.75" thickBot="1" x14ac:dyDescent="0.3">
      <c r="A119" s="420" t="s">
        <v>76</v>
      </c>
      <c r="B119" s="423"/>
      <c r="C119" s="423"/>
      <c r="D119" s="423"/>
      <c r="E119" s="423"/>
    </row>
    <row r="120" spans="1:5" ht="15.75" thickBot="1" x14ac:dyDescent="0.3">
      <c r="A120" s="420" t="s">
        <v>77</v>
      </c>
      <c r="B120" s="423">
        <v>16500000</v>
      </c>
      <c r="C120" s="423"/>
      <c r="D120" s="423"/>
      <c r="E120" s="423"/>
    </row>
    <row r="121" spans="1:5" ht="15.75" thickBot="1" x14ac:dyDescent="0.3">
      <c r="A121" s="420" t="s">
        <v>78</v>
      </c>
      <c r="B121" s="423" t="e">
        <f>B120/B119</f>
        <v>#DIV/0!</v>
      </c>
      <c r="C121" s="423" t="e">
        <f>C120/C119</f>
        <v>#DIV/0!</v>
      </c>
      <c r="D121" s="423" t="e">
        <f>D120/D119</f>
        <v>#DIV/0!</v>
      </c>
      <c r="E121" s="423" t="e">
        <f>E120/E119</f>
        <v>#DIV/0!</v>
      </c>
    </row>
    <row r="122" spans="1:5" ht="15.75" thickBot="1" x14ac:dyDescent="0.3">
      <c r="A122" s="420" t="s">
        <v>79</v>
      </c>
      <c r="B122" s="424" t="s">
        <v>80</v>
      </c>
      <c r="C122" s="425" t="e">
        <f>C119/B119-1</f>
        <v>#DIV/0!</v>
      </c>
      <c r="D122" s="425" t="e">
        <f t="shared" ref="D122:E124" si="4">D119/C119-1</f>
        <v>#DIV/0!</v>
      </c>
      <c r="E122" s="425" t="e">
        <f t="shared" si="4"/>
        <v>#DIV/0!</v>
      </c>
    </row>
    <row r="123" spans="1:5" ht="15.75" thickBot="1" x14ac:dyDescent="0.3">
      <c r="A123" s="420" t="s">
        <v>81</v>
      </c>
      <c r="B123" s="424" t="s">
        <v>80</v>
      </c>
      <c r="C123" s="425">
        <f>C120/B120-1</f>
        <v>-1</v>
      </c>
      <c r="D123" s="425" t="e">
        <f t="shared" si="4"/>
        <v>#DIV/0!</v>
      </c>
      <c r="E123" s="425" t="e">
        <f t="shared" si="4"/>
        <v>#DIV/0!</v>
      </c>
    </row>
    <row r="124" spans="1:5" ht="15.75" thickBot="1" x14ac:dyDescent="0.3">
      <c r="A124" s="420" t="s">
        <v>82</v>
      </c>
      <c r="B124" s="424" t="s">
        <v>80</v>
      </c>
      <c r="C124" s="425" t="e">
        <f>C121/B121-1</f>
        <v>#DIV/0!</v>
      </c>
      <c r="D124" s="425" t="e">
        <f t="shared" si="4"/>
        <v>#DIV/0!</v>
      </c>
      <c r="E124" s="425" t="e">
        <f t="shared" si="4"/>
        <v>#DIV/0!</v>
      </c>
    </row>
    <row r="125" spans="1:5" ht="15.75" thickBot="1" x14ac:dyDescent="0.3">
      <c r="A125" s="695" t="s">
        <v>165</v>
      </c>
      <c r="B125" s="696"/>
      <c r="C125" s="696"/>
      <c r="D125" s="696"/>
      <c r="E125" s="697"/>
    </row>
    <row r="126" spans="1:5" ht="12.75" customHeight="1" x14ac:dyDescent="0.25">
      <c r="A126" s="693"/>
      <c r="B126" s="421">
        <v>2018</v>
      </c>
      <c r="C126" s="421">
        <v>2019</v>
      </c>
      <c r="D126" s="421">
        <v>2020</v>
      </c>
      <c r="E126" s="421">
        <v>2021</v>
      </c>
    </row>
    <row r="127" spans="1:5" ht="9" customHeight="1" thickBot="1" x14ac:dyDescent="0.3">
      <c r="A127" s="694"/>
      <c r="B127" s="422" t="s">
        <v>41</v>
      </c>
      <c r="C127" s="422" t="s">
        <v>42</v>
      </c>
      <c r="D127" s="422" t="s">
        <v>42</v>
      </c>
      <c r="E127" s="422" t="s">
        <v>42</v>
      </c>
    </row>
    <row r="128" spans="1:5" ht="15.75" thickBot="1" x14ac:dyDescent="0.3">
      <c r="A128" s="427" t="s">
        <v>169</v>
      </c>
      <c r="B128" s="428"/>
      <c r="C128" s="428"/>
      <c r="D128" s="428"/>
      <c r="E128" s="428"/>
    </row>
    <row r="129" spans="1:5" ht="15.75" thickBot="1" x14ac:dyDescent="0.3">
      <c r="A129" s="427" t="s">
        <v>112</v>
      </c>
      <c r="B129" s="438">
        <v>16500000</v>
      </c>
      <c r="C129" s="437">
        <v>0</v>
      </c>
      <c r="D129" s="437">
        <v>0</v>
      </c>
      <c r="E129" s="437">
        <v>0</v>
      </c>
    </row>
    <row r="130" spans="1:5" ht="15.75" thickBot="1" x14ac:dyDescent="0.3">
      <c r="A130" s="449" t="s">
        <v>166</v>
      </c>
      <c r="B130" s="429">
        <f>B129+B128</f>
        <v>16500000</v>
      </c>
      <c r="C130" s="429">
        <f>C129+C128</f>
        <v>0</v>
      </c>
      <c r="D130" s="429">
        <f>D129+D128</f>
        <v>0</v>
      </c>
      <c r="E130" s="429">
        <f>E129+E128</f>
        <v>0</v>
      </c>
    </row>
    <row r="131" spans="1:5" ht="15.75" thickBot="1" x14ac:dyDescent="0.3">
      <c r="A131" s="450" t="s">
        <v>177</v>
      </c>
      <c r="B131" s="722" t="s">
        <v>178</v>
      </c>
      <c r="C131" s="723"/>
      <c r="D131" s="723"/>
      <c r="E131" s="724"/>
    </row>
    <row r="132" spans="1:5" ht="15.75" customHeight="1" thickBot="1" x14ac:dyDescent="0.3">
      <c r="A132" s="419" t="s">
        <v>161</v>
      </c>
      <c r="B132" s="687" t="s">
        <v>162</v>
      </c>
      <c r="C132" s="688"/>
      <c r="D132" s="688"/>
      <c r="E132" s="689"/>
    </row>
    <row r="133" spans="1:5" ht="15.75" customHeight="1" thickBot="1" x14ac:dyDescent="0.3">
      <c r="A133" s="420" t="s">
        <v>72</v>
      </c>
      <c r="B133" s="690" t="s">
        <v>163</v>
      </c>
      <c r="C133" s="691"/>
      <c r="D133" s="691"/>
      <c r="E133" s="692"/>
    </row>
    <row r="134" spans="1:5" ht="15.75" thickBot="1" x14ac:dyDescent="0.3">
      <c r="A134" s="420" t="s">
        <v>74</v>
      </c>
      <c r="B134" s="690"/>
      <c r="C134" s="691"/>
      <c r="D134" s="691"/>
      <c r="E134" s="692"/>
    </row>
    <row r="135" spans="1:5" x14ac:dyDescent="0.25">
      <c r="A135" s="693"/>
      <c r="B135" s="421">
        <v>2018</v>
      </c>
      <c r="C135" s="421">
        <v>2019</v>
      </c>
      <c r="D135" s="421">
        <v>2020</v>
      </c>
      <c r="E135" s="421">
        <v>2021</v>
      </c>
    </row>
    <row r="136" spans="1:5" ht="15.75" thickBot="1" x14ac:dyDescent="0.3">
      <c r="A136" s="694"/>
      <c r="B136" s="422" t="s">
        <v>41</v>
      </c>
      <c r="C136" s="422" t="s">
        <v>42</v>
      </c>
      <c r="D136" s="422" t="s">
        <v>42</v>
      </c>
      <c r="E136" s="422" t="s">
        <v>42</v>
      </c>
    </row>
    <row r="137" spans="1:5" ht="15.75" thickBot="1" x14ac:dyDescent="0.3">
      <c r="A137" s="420" t="s">
        <v>76</v>
      </c>
      <c r="B137" s="423"/>
      <c r="C137" s="423">
        <v>0</v>
      </c>
      <c r="D137" s="423">
        <v>0</v>
      </c>
      <c r="E137" s="423">
        <v>0</v>
      </c>
    </row>
    <row r="138" spans="1:5" ht="15.75" thickBot="1" x14ac:dyDescent="0.3">
      <c r="A138" s="420" t="s">
        <v>77</v>
      </c>
      <c r="B138" s="423">
        <v>43500000</v>
      </c>
      <c r="C138" s="423">
        <v>0</v>
      </c>
      <c r="D138" s="423">
        <v>0</v>
      </c>
      <c r="E138" s="423">
        <v>0</v>
      </c>
    </row>
    <row r="139" spans="1:5" ht="15.75" thickBot="1" x14ac:dyDescent="0.3">
      <c r="A139" s="420" t="s">
        <v>78</v>
      </c>
      <c r="B139" s="423" t="e">
        <f>B138/B137</f>
        <v>#DIV/0!</v>
      </c>
      <c r="C139" s="423" t="e">
        <f>C138/C137</f>
        <v>#DIV/0!</v>
      </c>
      <c r="D139" s="423" t="e">
        <f>D138/D137</f>
        <v>#DIV/0!</v>
      </c>
      <c r="E139" s="423" t="e">
        <f>E138/E137</f>
        <v>#DIV/0!</v>
      </c>
    </row>
    <row r="140" spans="1:5" ht="15.75" thickBot="1" x14ac:dyDescent="0.3">
      <c r="A140" s="420" t="s">
        <v>79</v>
      </c>
      <c r="B140" s="424" t="s">
        <v>80</v>
      </c>
      <c r="C140" s="436" t="e">
        <f t="shared" ref="C140:E142" si="5">C137/B137-1</f>
        <v>#DIV/0!</v>
      </c>
      <c r="D140" s="436" t="e">
        <f t="shared" si="5"/>
        <v>#DIV/0!</v>
      </c>
      <c r="E140" s="436" t="e">
        <f t="shared" si="5"/>
        <v>#DIV/0!</v>
      </c>
    </row>
    <row r="141" spans="1:5" ht="15.75" thickBot="1" x14ac:dyDescent="0.3">
      <c r="A141" s="420" t="s">
        <v>81</v>
      </c>
      <c r="B141" s="424" t="s">
        <v>80</v>
      </c>
      <c r="C141" s="436">
        <f t="shared" si="5"/>
        <v>-1</v>
      </c>
      <c r="D141" s="436" t="e">
        <f t="shared" si="5"/>
        <v>#DIV/0!</v>
      </c>
      <c r="E141" s="436" t="e">
        <f t="shared" si="5"/>
        <v>#DIV/0!</v>
      </c>
    </row>
    <row r="142" spans="1:5" ht="15.75" thickBot="1" x14ac:dyDescent="0.3">
      <c r="A142" s="420" t="s">
        <v>82</v>
      </c>
      <c r="B142" s="424" t="s">
        <v>80</v>
      </c>
      <c r="C142" s="436" t="e">
        <f t="shared" si="5"/>
        <v>#DIV/0!</v>
      </c>
      <c r="D142" s="436" t="e">
        <f t="shared" si="5"/>
        <v>#DIV/0!</v>
      </c>
      <c r="E142" s="436" t="e">
        <f t="shared" si="5"/>
        <v>#DIV/0!</v>
      </c>
    </row>
    <row r="143" spans="1:5" ht="15.75" customHeight="1" thickBot="1" x14ac:dyDescent="0.3">
      <c r="A143" s="695" t="s">
        <v>179</v>
      </c>
      <c r="B143" s="696"/>
      <c r="C143" s="696"/>
      <c r="D143" s="696"/>
      <c r="E143" s="697"/>
    </row>
    <row r="144" spans="1:5" x14ac:dyDescent="0.25">
      <c r="A144" s="693"/>
      <c r="B144" s="421">
        <v>2018</v>
      </c>
      <c r="C144" s="421">
        <v>2019</v>
      </c>
      <c r="D144" s="421">
        <v>2020</v>
      </c>
      <c r="E144" s="421">
        <v>2021</v>
      </c>
    </row>
    <row r="145" spans="1:5" ht="15.75" thickBot="1" x14ac:dyDescent="0.3">
      <c r="A145" s="694"/>
      <c r="B145" s="422" t="s">
        <v>41</v>
      </c>
      <c r="C145" s="422" t="s">
        <v>42</v>
      </c>
      <c r="D145" s="422" t="s">
        <v>42</v>
      </c>
      <c r="E145" s="422" t="s">
        <v>42</v>
      </c>
    </row>
    <row r="146" spans="1:5" ht="15.75" thickBot="1" x14ac:dyDescent="0.3">
      <c r="A146" s="451" t="s">
        <v>169</v>
      </c>
      <c r="B146" s="437"/>
      <c r="C146" s="437"/>
      <c r="D146" s="437"/>
      <c r="E146" s="437"/>
    </row>
    <row r="147" spans="1:5" ht="15.75" thickBot="1" x14ac:dyDescent="0.3">
      <c r="A147" s="451" t="s">
        <v>112</v>
      </c>
      <c r="B147" s="438">
        <v>43500000</v>
      </c>
      <c r="C147" s="437">
        <v>0</v>
      </c>
      <c r="D147" s="437">
        <v>0</v>
      </c>
      <c r="E147" s="437">
        <v>0</v>
      </c>
    </row>
    <row r="148" spans="1:5" ht="15.75" thickBot="1" x14ac:dyDescent="0.3">
      <c r="A148" s="452" t="s">
        <v>166</v>
      </c>
      <c r="B148" s="438">
        <f>B147+B146</f>
        <v>43500000</v>
      </c>
      <c r="C148" s="438">
        <f>C147+C146</f>
        <v>0</v>
      </c>
      <c r="D148" s="438">
        <f>D147+D146</f>
        <v>0</v>
      </c>
      <c r="E148" s="438">
        <f>E147+E146</f>
        <v>0</v>
      </c>
    </row>
    <row r="149" spans="1:5" ht="15.75" customHeight="1" thickBot="1" x14ac:dyDescent="0.3">
      <c r="A149" s="450" t="s">
        <v>167</v>
      </c>
      <c r="B149" s="722" t="s">
        <v>180</v>
      </c>
      <c r="C149" s="723"/>
      <c r="D149" s="723"/>
      <c r="E149" s="724"/>
    </row>
    <row r="150" spans="1:5" ht="15.75" customHeight="1" thickBot="1" x14ac:dyDescent="0.3">
      <c r="A150" s="419" t="s">
        <v>161</v>
      </c>
      <c r="B150" s="687" t="s">
        <v>162</v>
      </c>
      <c r="C150" s="688"/>
      <c r="D150" s="688"/>
      <c r="E150" s="689"/>
    </row>
    <row r="151" spans="1:5" ht="15.75" customHeight="1" thickBot="1" x14ac:dyDescent="0.3">
      <c r="A151" s="420" t="s">
        <v>72</v>
      </c>
      <c r="B151" s="690" t="s">
        <v>163</v>
      </c>
      <c r="C151" s="691"/>
      <c r="D151" s="691"/>
      <c r="E151" s="692"/>
    </row>
    <row r="152" spans="1:5" ht="15.75" thickBot="1" x14ac:dyDescent="0.3">
      <c r="A152" s="420" t="s">
        <v>74</v>
      </c>
      <c r="B152" s="690"/>
      <c r="C152" s="691"/>
      <c r="D152" s="691"/>
      <c r="E152" s="692"/>
    </row>
    <row r="153" spans="1:5" x14ac:dyDescent="0.25">
      <c r="A153" s="693"/>
      <c r="B153" s="421">
        <v>2018</v>
      </c>
      <c r="C153" s="421">
        <v>2019</v>
      </c>
      <c r="D153" s="421">
        <v>2020</v>
      </c>
      <c r="E153" s="421">
        <v>2021</v>
      </c>
    </row>
    <row r="154" spans="1:5" ht="15.75" thickBot="1" x14ac:dyDescent="0.3">
      <c r="A154" s="694"/>
      <c r="B154" s="422" t="s">
        <v>41</v>
      </c>
      <c r="C154" s="422" t="s">
        <v>42</v>
      </c>
      <c r="D154" s="422" t="s">
        <v>42</v>
      </c>
      <c r="E154" s="422" t="s">
        <v>42</v>
      </c>
    </row>
    <row r="155" spans="1:5" ht="15.75" thickBot="1" x14ac:dyDescent="0.3">
      <c r="A155" s="420" t="s">
        <v>76</v>
      </c>
      <c r="B155" s="423"/>
      <c r="C155" s="423">
        <v>0</v>
      </c>
      <c r="D155" s="423">
        <v>0</v>
      </c>
      <c r="E155" s="423">
        <v>0</v>
      </c>
    </row>
    <row r="156" spans="1:5" ht="15.75" thickBot="1" x14ac:dyDescent="0.3">
      <c r="A156" s="420" t="s">
        <v>77</v>
      </c>
      <c r="B156" s="423">
        <v>10720000</v>
      </c>
      <c r="C156" s="423">
        <v>0</v>
      </c>
      <c r="D156" s="423">
        <v>0</v>
      </c>
      <c r="E156" s="423">
        <v>0</v>
      </c>
    </row>
    <row r="157" spans="1:5" ht="15.75" thickBot="1" x14ac:dyDescent="0.3">
      <c r="A157" s="420" t="s">
        <v>78</v>
      </c>
      <c r="B157" s="423" t="e">
        <f>B156/B155</f>
        <v>#DIV/0!</v>
      </c>
      <c r="C157" s="423" t="e">
        <f>C156/C155</f>
        <v>#DIV/0!</v>
      </c>
      <c r="D157" s="423" t="e">
        <f>D156/D155</f>
        <v>#DIV/0!</v>
      </c>
      <c r="E157" s="423" t="e">
        <f>E156/E155</f>
        <v>#DIV/0!</v>
      </c>
    </row>
    <row r="158" spans="1:5" ht="15.75" thickBot="1" x14ac:dyDescent="0.3">
      <c r="A158" s="420" t="s">
        <v>79</v>
      </c>
      <c r="B158" s="424" t="s">
        <v>80</v>
      </c>
      <c r="C158" s="436" t="e">
        <f t="shared" ref="C158:E160" si="6">C155/B155-1</f>
        <v>#DIV/0!</v>
      </c>
      <c r="D158" s="436" t="e">
        <f t="shared" si="6"/>
        <v>#DIV/0!</v>
      </c>
      <c r="E158" s="436" t="e">
        <f t="shared" si="6"/>
        <v>#DIV/0!</v>
      </c>
    </row>
    <row r="159" spans="1:5" ht="15.75" thickBot="1" x14ac:dyDescent="0.3">
      <c r="A159" s="420" t="s">
        <v>81</v>
      </c>
      <c r="B159" s="424" t="s">
        <v>80</v>
      </c>
      <c r="C159" s="436">
        <f t="shared" si="6"/>
        <v>-1</v>
      </c>
      <c r="D159" s="436" t="e">
        <f t="shared" si="6"/>
        <v>#DIV/0!</v>
      </c>
      <c r="E159" s="436" t="e">
        <f t="shared" si="6"/>
        <v>#DIV/0!</v>
      </c>
    </row>
    <row r="160" spans="1:5" ht="15.75" thickBot="1" x14ac:dyDescent="0.3">
      <c r="A160" s="420" t="s">
        <v>82</v>
      </c>
      <c r="B160" s="424" t="s">
        <v>80</v>
      </c>
      <c r="C160" s="436" t="e">
        <f t="shared" si="6"/>
        <v>#DIV/0!</v>
      </c>
      <c r="D160" s="436" t="e">
        <f t="shared" si="6"/>
        <v>#DIV/0!</v>
      </c>
      <c r="E160" s="436" t="e">
        <f t="shared" si="6"/>
        <v>#DIV/0!</v>
      </c>
    </row>
    <row r="161" spans="1:5" ht="15.75" customHeight="1" thickBot="1" x14ac:dyDescent="0.3">
      <c r="A161" s="695" t="s">
        <v>165</v>
      </c>
      <c r="B161" s="696"/>
      <c r="C161" s="696"/>
      <c r="D161" s="696"/>
      <c r="E161" s="697"/>
    </row>
    <row r="162" spans="1:5" x14ac:dyDescent="0.25">
      <c r="A162" s="693"/>
      <c r="B162" s="421">
        <v>2018</v>
      </c>
      <c r="C162" s="421">
        <v>2019</v>
      </c>
      <c r="D162" s="421">
        <v>2020</v>
      </c>
      <c r="E162" s="421">
        <v>2021</v>
      </c>
    </row>
    <row r="163" spans="1:5" ht="15.75" thickBot="1" x14ac:dyDescent="0.3">
      <c r="A163" s="694"/>
      <c r="B163" s="422" t="s">
        <v>41</v>
      </c>
      <c r="C163" s="422" t="s">
        <v>42</v>
      </c>
      <c r="D163" s="422" t="s">
        <v>42</v>
      </c>
      <c r="E163" s="422" t="s">
        <v>42</v>
      </c>
    </row>
    <row r="164" spans="1:5" ht="15.75" thickBot="1" x14ac:dyDescent="0.3">
      <c r="A164" s="451" t="s">
        <v>169</v>
      </c>
      <c r="B164" s="437"/>
      <c r="C164" s="437"/>
      <c r="D164" s="437"/>
      <c r="E164" s="437"/>
    </row>
    <row r="165" spans="1:5" ht="15.75" customHeight="1" thickBot="1" x14ac:dyDescent="0.3">
      <c r="A165" s="451" t="s">
        <v>112</v>
      </c>
      <c r="B165" s="438">
        <v>10720000</v>
      </c>
      <c r="C165" s="437">
        <v>0</v>
      </c>
      <c r="D165" s="437">
        <v>0</v>
      </c>
      <c r="E165" s="437">
        <v>0</v>
      </c>
    </row>
    <row r="166" spans="1:5" ht="15.75" thickBot="1" x14ac:dyDescent="0.3">
      <c r="A166" s="452" t="s">
        <v>166</v>
      </c>
      <c r="B166" s="438">
        <f>B165+B164</f>
        <v>10720000</v>
      </c>
      <c r="C166" s="438">
        <f>C165+C164</f>
        <v>0</v>
      </c>
      <c r="D166" s="438">
        <f>D165+D164</f>
        <v>0</v>
      </c>
      <c r="E166" s="438">
        <f>E165+E164</f>
        <v>0</v>
      </c>
    </row>
    <row r="167" spans="1:5" ht="51" customHeight="1" thickBot="1" x14ac:dyDescent="0.3">
      <c r="A167" s="453" t="s">
        <v>181</v>
      </c>
      <c r="B167" s="728" t="s">
        <v>182</v>
      </c>
      <c r="C167" s="729"/>
      <c r="D167" s="729"/>
      <c r="E167" s="730"/>
    </row>
    <row r="168" spans="1:5" ht="15.75" customHeight="1" thickBot="1" x14ac:dyDescent="0.3">
      <c r="A168" s="690" t="s">
        <v>183</v>
      </c>
      <c r="B168" s="691"/>
      <c r="C168" s="691"/>
      <c r="D168" s="691"/>
      <c r="E168" s="692"/>
    </row>
    <row r="169" spans="1:5" ht="15.75" thickBot="1" x14ac:dyDescent="0.3">
      <c r="A169" s="433" t="s">
        <v>184</v>
      </c>
      <c r="B169" s="454" t="s">
        <v>185</v>
      </c>
      <c r="C169" s="435" t="s">
        <v>186</v>
      </c>
      <c r="D169" s="435" t="s">
        <v>187</v>
      </c>
      <c r="E169" s="435" t="s">
        <v>188</v>
      </c>
    </row>
    <row r="170" spans="1:5" ht="36.75" customHeight="1" thickBot="1" x14ac:dyDescent="0.3">
      <c r="A170" s="420" t="s">
        <v>189</v>
      </c>
      <c r="B170" s="455" t="s">
        <v>190</v>
      </c>
      <c r="C170" s="434" t="s">
        <v>191</v>
      </c>
      <c r="D170" s="434" t="s">
        <v>192</v>
      </c>
      <c r="E170" s="434" t="s">
        <v>192</v>
      </c>
    </row>
    <row r="171" spans="1:5" ht="36" customHeight="1" thickBot="1" x14ac:dyDescent="0.3">
      <c r="A171" s="420" t="s">
        <v>193</v>
      </c>
      <c r="B171" s="455" t="s">
        <v>194</v>
      </c>
      <c r="C171" s="456" t="s">
        <v>195</v>
      </c>
      <c r="D171" s="456" t="s">
        <v>195</v>
      </c>
      <c r="E171" s="456" t="s">
        <v>195</v>
      </c>
    </row>
    <row r="172" spans="1:5" ht="23.25" customHeight="1" thickBot="1" x14ac:dyDescent="0.3">
      <c r="A172" s="734" t="s">
        <v>196</v>
      </c>
      <c r="B172" s="735"/>
      <c r="C172" s="735"/>
      <c r="D172" s="735"/>
      <c r="E172" s="736"/>
    </row>
    <row r="173" spans="1:5" ht="23.25" customHeight="1" thickBot="1" x14ac:dyDescent="0.3">
      <c r="A173" s="737" t="s">
        <v>114</v>
      </c>
      <c r="B173" s="738"/>
      <c r="C173" s="738"/>
      <c r="D173" s="738"/>
      <c r="E173" s="739"/>
    </row>
    <row r="174" spans="1:5" ht="12.75" customHeight="1" x14ac:dyDescent="0.25">
      <c r="A174" s="693"/>
      <c r="B174" s="421">
        <v>2018</v>
      </c>
      <c r="C174" s="421">
        <v>2019</v>
      </c>
      <c r="D174" s="421">
        <v>2020</v>
      </c>
      <c r="E174" s="421">
        <v>2021</v>
      </c>
    </row>
    <row r="175" spans="1:5" ht="9" customHeight="1" thickBot="1" x14ac:dyDescent="0.3">
      <c r="A175" s="694"/>
      <c r="B175" s="422" t="s">
        <v>41</v>
      </c>
      <c r="C175" s="422" t="s">
        <v>42</v>
      </c>
      <c r="D175" s="422" t="s">
        <v>42</v>
      </c>
      <c r="E175" s="422" t="s">
        <v>42</v>
      </c>
    </row>
    <row r="176" spans="1:5" ht="26.25" customHeight="1" thickBot="1" x14ac:dyDescent="0.3">
      <c r="A176" s="419" t="s">
        <v>197</v>
      </c>
      <c r="B176" s="687" t="s">
        <v>198</v>
      </c>
      <c r="C176" s="688"/>
      <c r="D176" s="688"/>
      <c r="E176" s="689"/>
    </row>
    <row r="177" spans="1:5" ht="16.5" customHeight="1" thickBot="1" x14ac:dyDescent="0.3">
      <c r="A177" s="420" t="s">
        <v>72</v>
      </c>
      <c r="B177" s="725" t="s">
        <v>199</v>
      </c>
      <c r="C177" s="726"/>
      <c r="D177" s="726"/>
      <c r="E177" s="727"/>
    </row>
    <row r="178" spans="1:5" ht="15.75" customHeight="1" thickBot="1" x14ac:dyDescent="0.3">
      <c r="A178" s="420" t="s">
        <v>74</v>
      </c>
      <c r="B178" s="690" t="s">
        <v>164</v>
      </c>
      <c r="C178" s="691"/>
      <c r="D178" s="691"/>
      <c r="E178" s="692"/>
    </row>
    <row r="179" spans="1:5" ht="12.75" customHeight="1" x14ac:dyDescent="0.25">
      <c r="A179" s="693"/>
      <c r="B179" s="421">
        <v>2018</v>
      </c>
      <c r="C179" s="421">
        <v>2019</v>
      </c>
      <c r="D179" s="421">
        <v>2020</v>
      </c>
      <c r="E179" s="421">
        <v>2021</v>
      </c>
    </row>
    <row r="180" spans="1:5" ht="9" customHeight="1" thickBot="1" x14ac:dyDescent="0.3">
      <c r="A180" s="694"/>
      <c r="B180" s="422" t="s">
        <v>41</v>
      </c>
      <c r="C180" s="422" t="s">
        <v>42</v>
      </c>
      <c r="D180" s="422" t="s">
        <v>42</v>
      </c>
      <c r="E180" s="422" t="s">
        <v>42</v>
      </c>
    </row>
    <row r="181" spans="1:5" ht="15.75" customHeight="1" thickBot="1" x14ac:dyDescent="0.3">
      <c r="A181" s="420" t="s">
        <v>76</v>
      </c>
      <c r="B181" s="423">
        <v>311</v>
      </c>
      <c r="C181" s="423">
        <v>311</v>
      </c>
      <c r="D181" s="423">
        <v>311</v>
      </c>
      <c r="E181" s="423">
        <v>311</v>
      </c>
    </row>
    <row r="182" spans="1:5" ht="15.75" thickBot="1" x14ac:dyDescent="0.3">
      <c r="A182" s="420" t="s">
        <v>77</v>
      </c>
      <c r="B182" s="423">
        <v>419549383</v>
      </c>
      <c r="C182" s="423">
        <v>508259383</v>
      </c>
      <c r="D182" s="423">
        <v>513719383</v>
      </c>
      <c r="E182" s="423">
        <v>517119383</v>
      </c>
    </row>
    <row r="183" spans="1:5" ht="15.75" thickBot="1" x14ac:dyDescent="0.3">
      <c r="A183" s="420" t="s">
        <v>78</v>
      </c>
      <c r="B183" s="423">
        <f>B182/B181</f>
        <v>1349033.3858520901</v>
      </c>
      <c r="C183" s="423">
        <f>C182/C181</f>
        <v>1634274.5434083601</v>
      </c>
      <c r="D183" s="423">
        <f>D182/D181</f>
        <v>1651830.8135048233</v>
      </c>
      <c r="E183" s="423">
        <f>E182/E181</f>
        <v>1662763.2893890676</v>
      </c>
    </row>
    <row r="184" spans="1:5" ht="15.75" thickBot="1" x14ac:dyDescent="0.3">
      <c r="A184" s="420" t="s">
        <v>79</v>
      </c>
      <c r="B184" s="424"/>
      <c r="C184" s="425">
        <f>C181/B181-1</f>
        <v>0</v>
      </c>
      <c r="D184" s="425">
        <f t="shared" ref="D184:E186" si="7">D181/C181-1</f>
        <v>0</v>
      </c>
      <c r="E184" s="425">
        <f t="shared" si="7"/>
        <v>0</v>
      </c>
    </row>
    <row r="185" spans="1:5" ht="15.75" thickBot="1" x14ac:dyDescent="0.3">
      <c r="A185" s="420" t="s">
        <v>81</v>
      </c>
      <c r="B185" s="424"/>
      <c r="C185" s="425">
        <f>C182/B182-1</f>
        <v>0.21144114041040085</v>
      </c>
      <c r="D185" s="425">
        <f t="shared" si="7"/>
        <v>1.0742546389940433E-2</v>
      </c>
      <c r="E185" s="425">
        <f t="shared" si="7"/>
        <v>6.6183992905715083E-3</v>
      </c>
    </row>
    <row r="186" spans="1:5" ht="15.75" thickBot="1" x14ac:dyDescent="0.3">
      <c r="A186" s="420" t="s">
        <v>82</v>
      </c>
      <c r="B186" s="424"/>
      <c r="C186" s="425">
        <f>C183/B183-1</f>
        <v>0.21144114041040063</v>
      </c>
      <c r="D186" s="425">
        <f t="shared" si="7"/>
        <v>1.0742546389940433E-2</v>
      </c>
      <c r="E186" s="425">
        <f t="shared" si="7"/>
        <v>6.6183992905715083E-3</v>
      </c>
    </row>
    <row r="187" spans="1:5" ht="12.75" customHeight="1" x14ac:dyDescent="0.25">
      <c r="A187" s="693"/>
      <c r="B187" s="421">
        <v>2018</v>
      </c>
      <c r="C187" s="421">
        <v>2019</v>
      </c>
      <c r="D187" s="421">
        <v>2020</v>
      </c>
      <c r="E187" s="421">
        <v>2021</v>
      </c>
    </row>
    <row r="188" spans="1:5" ht="9" customHeight="1" thickBot="1" x14ac:dyDescent="0.3">
      <c r="A188" s="694"/>
      <c r="B188" s="422" t="s">
        <v>41</v>
      </c>
      <c r="C188" s="422" t="s">
        <v>42</v>
      </c>
      <c r="D188" s="422" t="s">
        <v>42</v>
      </c>
      <c r="E188" s="422" t="s">
        <v>42</v>
      </c>
    </row>
    <row r="189" spans="1:5" ht="15.75" thickBot="1" x14ac:dyDescent="0.3">
      <c r="A189" s="695" t="s">
        <v>200</v>
      </c>
      <c r="B189" s="696"/>
      <c r="C189" s="696"/>
      <c r="D189" s="696"/>
      <c r="E189" s="697"/>
    </row>
    <row r="190" spans="1:5" ht="12.75" customHeight="1" x14ac:dyDescent="0.25">
      <c r="A190" s="693"/>
      <c r="B190" s="421">
        <v>2018</v>
      </c>
      <c r="C190" s="421">
        <v>2019</v>
      </c>
      <c r="D190" s="421">
        <v>2020</v>
      </c>
      <c r="E190" s="421">
        <v>2021</v>
      </c>
    </row>
    <row r="191" spans="1:5" ht="9" customHeight="1" thickBot="1" x14ac:dyDescent="0.3">
      <c r="A191" s="694"/>
      <c r="B191" s="422" t="s">
        <v>41</v>
      </c>
      <c r="C191" s="422" t="s">
        <v>42</v>
      </c>
      <c r="D191" s="422" t="s">
        <v>42</v>
      </c>
      <c r="E191" s="422" t="s">
        <v>42</v>
      </c>
    </row>
    <row r="192" spans="1:5" ht="15.75" thickBot="1" x14ac:dyDescent="0.3">
      <c r="A192" s="427" t="s">
        <v>84</v>
      </c>
      <c r="B192" s="437">
        <v>261773516</v>
      </c>
      <c r="C192" s="437">
        <v>305843516</v>
      </c>
      <c r="D192" s="437">
        <v>305843516</v>
      </c>
      <c r="E192" s="437">
        <v>305843516</v>
      </c>
    </row>
    <row r="193" spans="1:5" ht="24.75" thickBot="1" x14ac:dyDescent="0.3">
      <c r="A193" s="427" t="s">
        <v>85</v>
      </c>
      <c r="B193" s="437">
        <v>49092867</v>
      </c>
      <c r="C193" s="437">
        <v>51075867</v>
      </c>
      <c r="D193" s="437">
        <v>51075867</v>
      </c>
      <c r="E193" s="437">
        <v>51075867</v>
      </c>
    </row>
    <row r="194" spans="1:5" ht="15.75" thickBot="1" x14ac:dyDescent="0.3">
      <c r="A194" s="427" t="s">
        <v>86</v>
      </c>
      <c r="B194" s="429">
        <v>108683000</v>
      </c>
      <c r="C194" s="428">
        <v>151340000</v>
      </c>
      <c r="D194" s="428">
        <v>156800000</v>
      </c>
      <c r="E194" s="428">
        <v>160200000</v>
      </c>
    </row>
    <row r="195" spans="1:5" ht="15.75" thickBot="1" x14ac:dyDescent="0.3">
      <c r="A195" s="427" t="s">
        <v>87</v>
      </c>
      <c r="B195" s="429">
        <v>0</v>
      </c>
      <c r="C195" s="429">
        <v>0</v>
      </c>
      <c r="D195" s="429">
        <v>0</v>
      </c>
      <c r="E195" s="429">
        <v>0</v>
      </c>
    </row>
    <row r="196" spans="1:5" ht="15.75" thickBot="1" x14ac:dyDescent="0.3">
      <c r="A196" s="427" t="s">
        <v>88</v>
      </c>
      <c r="B196" s="429">
        <v>0</v>
      </c>
      <c r="C196" s="429">
        <v>0</v>
      </c>
      <c r="D196" s="429">
        <v>0</v>
      </c>
      <c r="E196" s="429">
        <v>0</v>
      </c>
    </row>
    <row r="197" spans="1:5" ht="15.75" thickBot="1" x14ac:dyDescent="0.3">
      <c r="A197" s="427" t="s">
        <v>89</v>
      </c>
      <c r="B197" s="429">
        <v>0</v>
      </c>
      <c r="C197" s="429">
        <v>0</v>
      </c>
      <c r="D197" s="429">
        <v>0</v>
      </c>
      <c r="E197" s="429">
        <v>0</v>
      </c>
    </row>
    <row r="198" spans="1:5" ht="24.75" thickBot="1" x14ac:dyDescent="0.3">
      <c r="A198" s="427" t="s">
        <v>90</v>
      </c>
      <c r="B198" s="429">
        <v>0</v>
      </c>
      <c r="C198" s="429">
        <v>0</v>
      </c>
      <c r="D198" s="429">
        <v>0</v>
      </c>
      <c r="E198" s="429">
        <v>0</v>
      </c>
    </row>
    <row r="199" spans="1:5" ht="24.75" thickBot="1" x14ac:dyDescent="0.3">
      <c r="A199" s="457" t="s">
        <v>120</v>
      </c>
      <c r="B199" s="458">
        <f>B198+B197+B196+B195+B194+B193+B192</f>
        <v>419549383</v>
      </c>
      <c r="C199" s="458">
        <f>C198+C197+C196+C195+C194+C193+C192</f>
        <v>508259383</v>
      </c>
      <c r="D199" s="458">
        <f>D198+D197+D196+D195+D194+D193+D192</f>
        <v>513719383</v>
      </c>
      <c r="E199" s="458">
        <f>E198+E197+E196+E195+E194+E193+E192</f>
        <v>517119383</v>
      </c>
    </row>
    <row r="200" spans="1:5" ht="15.75" thickBot="1" x14ac:dyDescent="0.3">
      <c r="A200" s="459" t="s">
        <v>92</v>
      </c>
      <c r="B200" s="440">
        <f>IF(B199-B182=0,0,"Error")</f>
        <v>0</v>
      </c>
      <c r="C200" s="440">
        <f>IF(C199-C182=0,0,"Error")</f>
        <v>0</v>
      </c>
      <c r="D200" s="440">
        <f>IF(D199-D182=0,0,"Error")</f>
        <v>0</v>
      </c>
      <c r="E200" s="440">
        <f>IF(E199-E182=0,0,"Error")</f>
        <v>0</v>
      </c>
    </row>
    <row r="201" spans="1:5" ht="15.75" thickBot="1" x14ac:dyDescent="0.3">
      <c r="A201" s="731" t="s">
        <v>104</v>
      </c>
      <c r="B201" s="732"/>
      <c r="C201" s="732"/>
      <c r="D201" s="732"/>
      <c r="E201" s="733"/>
    </row>
    <row r="202" spans="1:5" ht="15.75" customHeight="1" thickBot="1" x14ac:dyDescent="0.3">
      <c r="A202" s="731" t="s">
        <v>170</v>
      </c>
      <c r="B202" s="732"/>
      <c r="C202" s="732"/>
      <c r="D202" s="732"/>
      <c r="E202" s="733"/>
    </row>
    <row r="203" spans="1:5" ht="30" customHeight="1" thickBot="1" x14ac:dyDescent="0.3">
      <c r="A203" s="441" t="s">
        <v>201</v>
      </c>
      <c r="B203" s="722" t="s">
        <v>202</v>
      </c>
      <c r="C203" s="723"/>
      <c r="D203" s="723"/>
      <c r="E203" s="724"/>
    </row>
    <row r="204" spans="1:5" ht="15.75" thickBot="1" x14ac:dyDescent="0.3">
      <c r="A204" s="419" t="s">
        <v>197</v>
      </c>
      <c r="B204" s="687" t="s">
        <v>198</v>
      </c>
      <c r="C204" s="688"/>
      <c r="D204" s="688"/>
      <c r="E204" s="689"/>
    </row>
    <row r="205" spans="1:5" ht="36" customHeight="1" thickBot="1" x14ac:dyDescent="0.3">
      <c r="A205" s="420" t="s">
        <v>72</v>
      </c>
      <c r="B205" s="690" t="s">
        <v>199</v>
      </c>
      <c r="C205" s="691"/>
      <c r="D205" s="691"/>
      <c r="E205" s="692"/>
    </row>
    <row r="206" spans="1:5" ht="15.75" thickBot="1" x14ac:dyDescent="0.3">
      <c r="A206" s="420" t="s">
        <v>74</v>
      </c>
      <c r="B206" s="690"/>
      <c r="C206" s="691"/>
      <c r="D206" s="691"/>
      <c r="E206" s="692"/>
    </row>
    <row r="207" spans="1:5" x14ac:dyDescent="0.25">
      <c r="A207" s="693"/>
      <c r="B207" s="421">
        <v>2018</v>
      </c>
      <c r="C207" s="421">
        <v>2019</v>
      </c>
      <c r="D207" s="421">
        <v>2020</v>
      </c>
      <c r="E207" s="421">
        <v>2021</v>
      </c>
    </row>
    <row r="208" spans="1:5" ht="15.75" thickBot="1" x14ac:dyDescent="0.3">
      <c r="A208" s="694"/>
      <c r="B208" s="422" t="s">
        <v>41</v>
      </c>
      <c r="C208" s="422" t="s">
        <v>42</v>
      </c>
      <c r="D208" s="422" t="s">
        <v>42</v>
      </c>
      <c r="E208" s="422" t="s">
        <v>42</v>
      </c>
    </row>
    <row r="209" spans="1:5" ht="15.75" thickBot="1" x14ac:dyDescent="0.3">
      <c r="A209" s="420" t="s">
        <v>76</v>
      </c>
      <c r="B209" s="423"/>
      <c r="C209" s="423"/>
      <c r="D209" s="423"/>
      <c r="E209" s="423"/>
    </row>
    <row r="210" spans="1:5" ht="15.75" thickBot="1" x14ac:dyDescent="0.3">
      <c r="A210" s="420" t="s">
        <v>77</v>
      </c>
      <c r="B210" s="423">
        <v>30000000</v>
      </c>
      <c r="C210" s="423">
        <v>0</v>
      </c>
      <c r="D210" s="423">
        <v>0</v>
      </c>
      <c r="E210" s="423">
        <v>0</v>
      </c>
    </row>
    <row r="211" spans="1:5" ht="15.75" thickBot="1" x14ac:dyDescent="0.3">
      <c r="A211" s="420" t="s">
        <v>78</v>
      </c>
      <c r="B211" s="423" t="e">
        <f>B210/B209</f>
        <v>#DIV/0!</v>
      </c>
      <c r="C211" s="423" t="e">
        <f>C210/C209</f>
        <v>#DIV/0!</v>
      </c>
      <c r="D211" s="423" t="e">
        <f>D210/D209</f>
        <v>#DIV/0!</v>
      </c>
      <c r="E211" s="423" t="e">
        <f>E210/E209</f>
        <v>#DIV/0!</v>
      </c>
    </row>
    <row r="212" spans="1:5" ht="15.75" thickBot="1" x14ac:dyDescent="0.3">
      <c r="A212" s="420" t="s">
        <v>79</v>
      </c>
      <c r="B212" s="424" t="s">
        <v>80</v>
      </c>
      <c r="C212" s="436" t="e">
        <f t="shared" ref="C212:E214" si="8">C209/B209-1</f>
        <v>#DIV/0!</v>
      </c>
      <c r="D212" s="436" t="e">
        <f t="shared" si="8"/>
        <v>#DIV/0!</v>
      </c>
      <c r="E212" s="436" t="e">
        <f t="shared" si="8"/>
        <v>#DIV/0!</v>
      </c>
    </row>
    <row r="213" spans="1:5" ht="15.75" thickBot="1" x14ac:dyDescent="0.3">
      <c r="A213" s="420" t="s">
        <v>81</v>
      </c>
      <c r="B213" s="424" t="s">
        <v>80</v>
      </c>
      <c r="C213" s="436">
        <f t="shared" si="8"/>
        <v>-1</v>
      </c>
      <c r="D213" s="436" t="e">
        <f t="shared" si="8"/>
        <v>#DIV/0!</v>
      </c>
      <c r="E213" s="436" t="e">
        <f t="shared" si="8"/>
        <v>#DIV/0!</v>
      </c>
    </row>
    <row r="214" spans="1:5" ht="15.75" thickBot="1" x14ac:dyDescent="0.3">
      <c r="A214" s="420" t="s">
        <v>82</v>
      </c>
      <c r="B214" s="424" t="s">
        <v>80</v>
      </c>
      <c r="C214" s="436" t="e">
        <f t="shared" si="8"/>
        <v>#DIV/0!</v>
      </c>
      <c r="D214" s="436" t="e">
        <f t="shared" si="8"/>
        <v>#DIV/0!</v>
      </c>
      <c r="E214" s="436" t="e">
        <f t="shared" si="8"/>
        <v>#DIV/0!</v>
      </c>
    </row>
    <row r="215" spans="1:5" ht="15.75" customHeight="1" thickBot="1" x14ac:dyDescent="0.3">
      <c r="A215" s="695" t="s">
        <v>203</v>
      </c>
      <c r="B215" s="696"/>
      <c r="C215" s="696"/>
      <c r="D215" s="696"/>
      <c r="E215" s="697"/>
    </row>
    <row r="216" spans="1:5" x14ac:dyDescent="0.25">
      <c r="A216" s="693"/>
      <c r="B216" s="421">
        <v>2018</v>
      </c>
      <c r="C216" s="421">
        <v>2019</v>
      </c>
      <c r="D216" s="421">
        <v>2020</v>
      </c>
      <c r="E216" s="421">
        <v>2021</v>
      </c>
    </row>
    <row r="217" spans="1:5" ht="15.75" thickBot="1" x14ac:dyDescent="0.3">
      <c r="A217" s="694"/>
      <c r="B217" s="422" t="s">
        <v>41</v>
      </c>
      <c r="C217" s="422" t="s">
        <v>42</v>
      </c>
      <c r="D217" s="422" t="s">
        <v>42</v>
      </c>
      <c r="E217" s="422" t="s">
        <v>42</v>
      </c>
    </row>
    <row r="218" spans="1:5" ht="15.75" thickBot="1" x14ac:dyDescent="0.3">
      <c r="A218" s="451" t="s">
        <v>169</v>
      </c>
      <c r="B218" s="437"/>
      <c r="C218" s="437"/>
      <c r="D218" s="437"/>
      <c r="E218" s="437"/>
    </row>
    <row r="219" spans="1:5" ht="15.75" thickBot="1" x14ac:dyDescent="0.3">
      <c r="A219" s="451" t="s">
        <v>112</v>
      </c>
      <c r="B219" s="438">
        <v>30000000</v>
      </c>
      <c r="C219" s="437">
        <v>0</v>
      </c>
      <c r="D219" s="437">
        <v>0</v>
      </c>
      <c r="E219" s="437">
        <v>0</v>
      </c>
    </row>
    <row r="220" spans="1:5" ht="15.75" thickBot="1" x14ac:dyDescent="0.3">
      <c r="A220" s="452" t="s">
        <v>204</v>
      </c>
      <c r="B220" s="438">
        <f>B219+B218</f>
        <v>30000000</v>
      </c>
      <c r="C220" s="438">
        <f>C219+C218</f>
        <v>0</v>
      </c>
      <c r="D220" s="438">
        <f>D219+D218</f>
        <v>0</v>
      </c>
      <c r="E220" s="438">
        <f>E219+E218</f>
        <v>0</v>
      </c>
    </row>
    <row r="221" spans="1:5" ht="15.75" thickBot="1" x14ac:dyDescent="0.3">
      <c r="A221" s="446"/>
      <c r="B221" s="447"/>
      <c r="C221" s="447"/>
      <c r="D221" s="447"/>
      <c r="E221" s="448"/>
    </row>
    <row r="222" spans="1:5" ht="15.75" thickBot="1" x14ac:dyDescent="0.3">
      <c r="A222" s="441" t="s">
        <v>692</v>
      </c>
      <c r="B222" s="722" t="s">
        <v>693</v>
      </c>
      <c r="C222" s="723"/>
      <c r="D222" s="723"/>
      <c r="E222" s="724"/>
    </row>
    <row r="223" spans="1:5" ht="15.75" thickBot="1" x14ac:dyDescent="0.3">
      <c r="A223" s="419" t="s">
        <v>205</v>
      </c>
      <c r="B223" s="687" t="s">
        <v>198</v>
      </c>
      <c r="C223" s="688"/>
      <c r="D223" s="688"/>
      <c r="E223" s="689"/>
    </row>
    <row r="224" spans="1:5" ht="26.25" customHeight="1" thickBot="1" x14ac:dyDescent="0.3">
      <c r="A224" s="420" t="s">
        <v>72</v>
      </c>
      <c r="B224" s="690" t="s">
        <v>199</v>
      </c>
      <c r="C224" s="691"/>
      <c r="D224" s="691"/>
      <c r="E224" s="692"/>
    </row>
    <row r="225" spans="1:5" ht="15.75" thickBot="1" x14ac:dyDescent="0.3">
      <c r="A225" s="420" t="s">
        <v>74</v>
      </c>
      <c r="B225" s="690"/>
      <c r="C225" s="691"/>
      <c r="D225" s="691"/>
      <c r="E225" s="692"/>
    </row>
    <row r="226" spans="1:5" x14ac:dyDescent="0.25">
      <c r="A226" s="693"/>
      <c r="B226" s="421">
        <v>2018</v>
      </c>
      <c r="C226" s="421">
        <v>2019</v>
      </c>
      <c r="D226" s="421">
        <v>2020</v>
      </c>
      <c r="E226" s="421">
        <v>2021</v>
      </c>
    </row>
    <row r="227" spans="1:5" ht="15.75" thickBot="1" x14ac:dyDescent="0.3">
      <c r="A227" s="694"/>
      <c r="B227" s="422" t="s">
        <v>41</v>
      </c>
      <c r="C227" s="422" t="s">
        <v>42</v>
      </c>
      <c r="D227" s="422" t="s">
        <v>42</v>
      </c>
      <c r="E227" s="422" t="s">
        <v>42</v>
      </c>
    </row>
    <row r="228" spans="1:5" ht="15.75" thickBot="1" x14ac:dyDescent="0.3">
      <c r="A228" s="420" t="s">
        <v>76</v>
      </c>
      <c r="B228" s="423"/>
      <c r="C228" s="423"/>
      <c r="D228" s="423"/>
      <c r="E228" s="423"/>
    </row>
    <row r="229" spans="1:5" ht="15.75" thickBot="1" x14ac:dyDescent="0.3">
      <c r="A229" s="420" t="s">
        <v>77</v>
      </c>
      <c r="B229" s="423">
        <v>259280000</v>
      </c>
      <c r="C229" s="423">
        <v>70790000</v>
      </c>
      <c r="D229" s="423">
        <v>0</v>
      </c>
      <c r="E229" s="423">
        <v>0</v>
      </c>
    </row>
    <row r="230" spans="1:5" ht="15.75" thickBot="1" x14ac:dyDescent="0.3">
      <c r="A230" s="420" t="s">
        <v>78</v>
      </c>
      <c r="B230" s="423" t="e">
        <f>B229/B228</f>
        <v>#DIV/0!</v>
      </c>
      <c r="C230" s="423" t="e">
        <f>C229/C228</f>
        <v>#DIV/0!</v>
      </c>
      <c r="D230" s="423" t="e">
        <f>D229/D228</f>
        <v>#DIV/0!</v>
      </c>
      <c r="E230" s="423" t="e">
        <f>E229/E228</f>
        <v>#DIV/0!</v>
      </c>
    </row>
    <row r="231" spans="1:5" ht="15.75" thickBot="1" x14ac:dyDescent="0.3">
      <c r="A231" s="420" t="s">
        <v>79</v>
      </c>
      <c r="B231" s="424" t="s">
        <v>80</v>
      </c>
      <c r="C231" s="436" t="e">
        <f t="shared" ref="C231:E233" si="9">C228/B228-1</f>
        <v>#DIV/0!</v>
      </c>
      <c r="D231" s="436" t="e">
        <f t="shared" si="9"/>
        <v>#DIV/0!</v>
      </c>
      <c r="E231" s="436" t="e">
        <f t="shared" si="9"/>
        <v>#DIV/0!</v>
      </c>
    </row>
    <row r="232" spans="1:5" ht="15.75" thickBot="1" x14ac:dyDescent="0.3">
      <c r="A232" s="420" t="s">
        <v>81</v>
      </c>
      <c r="B232" s="424" t="s">
        <v>80</v>
      </c>
      <c r="C232" s="436">
        <f t="shared" si="9"/>
        <v>-0.72697469916692381</v>
      </c>
      <c r="D232" s="436">
        <f t="shared" si="9"/>
        <v>-1</v>
      </c>
      <c r="E232" s="436" t="e">
        <f t="shared" si="9"/>
        <v>#DIV/0!</v>
      </c>
    </row>
    <row r="233" spans="1:5" ht="15.75" thickBot="1" x14ac:dyDescent="0.3">
      <c r="A233" s="420" t="s">
        <v>82</v>
      </c>
      <c r="B233" s="424" t="s">
        <v>80</v>
      </c>
      <c r="C233" s="436" t="e">
        <f t="shared" si="9"/>
        <v>#DIV/0!</v>
      </c>
      <c r="D233" s="436" t="e">
        <f t="shared" si="9"/>
        <v>#DIV/0!</v>
      </c>
      <c r="E233" s="436" t="e">
        <f t="shared" si="9"/>
        <v>#DIV/0!</v>
      </c>
    </row>
    <row r="234" spans="1:5" ht="15.75" customHeight="1" thickBot="1" x14ac:dyDescent="0.3">
      <c r="A234" s="695" t="s">
        <v>203</v>
      </c>
      <c r="B234" s="696"/>
      <c r="C234" s="696"/>
      <c r="D234" s="696"/>
      <c r="E234" s="697"/>
    </row>
    <row r="235" spans="1:5" x14ac:dyDescent="0.25">
      <c r="A235" s="693"/>
      <c r="B235" s="421">
        <v>2018</v>
      </c>
      <c r="C235" s="421">
        <v>2019</v>
      </c>
      <c r="D235" s="421">
        <v>2020</v>
      </c>
      <c r="E235" s="421">
        <v>2021</v>
      </c>
    </row>
    <row r="236" spans="1:5" ht="15.75" thickBot="1" x14ac:dyDescent="0.3">
      <c r="A236" s="694"/>
      <c r="B236" s="422" t="s">
        <v>41</v>
      </c>
      <c r="C236" s="422" t="s">
        <v>42</v>
      </c>
      <c r="D236" s="422" t="s">
        <v>42</v>
      </c>
      <c r="E236" s="422" t="s">
        <v>42</v>
      </c>
    </row>
    <row r="237" spans="1:5" ht="15.75" thickBot="1" x14ac:dyDescent="0.3">
      <c r="A237" s="451" t="s">
        <v>169</v>
      </c>
      <c r="B237" s="437"/>
      <c r="C237" s="437"/>
      <c r="D237" s="437"/>
      <c r="E237" s="437"/>
    </row>
    <row r="238" spans="1:5" ht="15.75" thickBot="1" x14ac:dyDescent="0.3">
      <c r="A238" s="460" t="s">
        <v>112</v>
      </c>
      <c r="B238" s="438">
        <v>259280000</v>
      </c>
      <c r="C238" s="437">
        <v>70790000</v>
      </c>
      <c r="D238" s="437">
        <v>0</v>
      </c>
      <c r="E238" s="437">
        <v>0</v>
      </c>
    </row>
    <row r="239" spans="1:5" ht="15.75" thickBot="1" x14ac:dyDescent="0.3">
      <c r="A239" s="461" t="s">
        <v>204</v>
      </c>
      <c r="B239" s="438">
        <f>B238+B237</f>
        <v>259280000</v>
      </c>
      <c r="C239" s="438">
        <f>C238+C237</f>
        <v>70790000</v>
      </c>
      <c r="D239" s="438">
        <f>D238+D237</f>
        <v>0</v>
      </c>
      <c r="E239" s="438">
        <f>E238+E237</f>
        <v>0</v>
      </c>
    </row>
    <row r="240" spans="1:5" ht="15.75" thickBot="1" x14ac:dyDescent="0.3">
      <c r="A240" s="446"/>
      <c r="B240" s="447"/>
      <c r="C240" s="447"/>
      <c r="D240" s="447"/>
      <c r="E240" s="448"/>
    </row>
    <row r="241" spans="1:5" ht="15.75" customHeight="1" thickBot="1" x14ac:dyDescent="0.3">
      <c r="A241" s="462" t="s">
        <v>688</v>
      </c>
      <c r="B241" s="723" t="s">
        <v>694</v>
      </c>
      <c r="C241" s="723"/>
      <c r="D241" s="723"/>
      <c r="E241" s="724"/>
    </row>
    <row r="242" spans="1:5" ht="15.75" thickBot="1" x14ac:dyDescent="0.3">
      <c r="A242" s="419" t="s">
        <v>205</v>
      </c>
      <c r="B242" s="687" t="s">
        <v>198</v>
      </c>
      <c r="C242" s="688"/>
      <c r="D242" s="688"/>
      <c r="E242" s="689"/>
    </row>
    <row r="243" spans="1:5" ht="25.5" customHeight="1" thickBot="1" x14ac:dyDescent="0.3">
      <c r="A243" s="420" t="s">
        <v>72</v>
      </c>
      <c r="B243" s="690" t="s">
        <v>199</v>
      </c>
      <c r="C243" s="691"/>
      <c r="D243" s="691"/>
      <c r="E243" s="692"/>
    </row>
    <row r="244" spans="1:5" ht="15.75" thickBot="1" x14ac:dyDescent="0.3">
      <c r="A244" s="420" t="s">
        <v>74</v>
      </c>
      <c r="B244" s="690"/>
      <c r="C244" s="691"/>
      <c r="D244" s="691"/>
      <c r="E244" s="692"/>
    </row>
    <row r="245" spans="1:5" x14ac:dyDescent="0.25">
      <c r="A245" s="693"/>
      <c r="B245" s="421">
        <v>2018</v>
      </c>
      <c r="C245" s="421">
        <v>2019</v>
      </c>
      <c r="D245" s="421">
        <v>2020</v>
      </c>
      <c r="E245" s="421">
        <v>2021</v>
      </c>
    </row>
    <row r="246" spans="1:5" ht="15.75" thickBot="1" x14ac:dyDescent="0.3">
      <c r="A246" s="694"/>
      <c r="B246" s="422" t="s">
        <v>41</v>
      </c>
      <c r="C246" s="422" t="s">
        <v>42</v>
      </c>
      <c r="D246" s="422" t="s">
        <v>42</v>
      </c>
      <c r="E246" s="422" t="s">
        <v>42</v>
      </c>
    </row>
    <row r="247" spans="1:5" ht="15.75" thickBot="1" x14ac:dyDescent="0.3">
      <c r="A247" s="420" t="s">
        <v>76</v>
      </c>
      <c r="B247" s="423"/>
      <c r="C247" s="423"/>
      <c r="D247" s="423"/>
      <c r="E247" s="423"/>
    </row>
    <row r="248" spans="1:5" ht="15.75" thickBot="1" x14ac:dyDescent="0.3">
      <c r="A248" s="420" t="s">
        <v>77</v>
      </c>
      <c r="B248" s="423">
        <v>0</v>
      </c>
      <c r="C248" s="423">
        <v>51000000</v>
      </c>
      <c r="D248" s="423">
        <v>51000000</v>
      </c>
      <c r="E248" s="423">
        <v>68000000</v>
      </c>
    </row>
    <row r="249" spans="1:5" ht="15.75" thickBot="1" x14ac:dyDescent="0.3">
      <c r="A249" s="420" t="s">
        <v>78</v>
      </c>
      <c r="B249" s="423" t="e">
        <f>B248/B247</f>
        <v>#DIV/0!</v>
      </c>
      <c r="C249" s="423" t="e">
        <f>C248/C247</f>
        <v>#DIV/0!</v>
      </c>
      <c r="D249" s="423" t="e">
        <f>D248/D247</f>
        <v>#DIV/0!</v>
      </c>
      <c r="E249" s="423" t="e">
        <f>E248/E247</f>
        <v>#DIV/0!</v>
      </c>
    </row>
    <row r="250" spans="1:5" ht="15.75" thickBot="1" x14ac:dyDescent="0.3">
      <c r="A250" s="420" t="s">
        <v>79</v>
      </c>
      <c r="B250" s="424" t="s">
        <v>80</v>
      </c>
      <c r="C250" s="436" t="e">
        <f t="shared" ref="C250:E252" si="10">C247/B247-1</f>
        <v>#DIV/0!</v>
      </c>
      <c r="D250" s="436" t="e">
        <f t="shared" si="10"/>
        <v>#DIV/0!</v>
      </c>
      <c r="E250" s="436" t="e">
        <f t="shared" si="10"/>
        <v>#DIV/0!</v>
      </c>
    </row>
    <row r="251" spans="1:5" ht="15.75" thickBot="1" x14ac:dyDescent="0.3">
      <c r="A251" s="420" t="s">
        <v>81</v>
      </c>
      <c r="B251" s="424" t="s">
        <v>80</v>
      </c>
      <c r="C251" s="436" t="e">
        <f t="shared" si="10"/>
        <v>#DIV/0!</v>
      </c>
      <c r="D251" s="436">
        <f t="shared" si="10"/>
        <v>0</v>
      </c>
      <c r="E251" s="436">
        <f t="shared" si="10"/>
        <v>0.33333333333333326</v>
      </c>
    </row>
    <row r="252" spans="1:5" ht="15.75" thickBot="1" x14ac:dyDescent="0.3">
      <c r="A252" s="420" t="s">
        <v>82</v>
      </c>
      <c r="B252" s="424" t="s">
        <v>80</v>
      </c>
      <c r="C252" s="436" t="e">
        <f t="shared" si="10"/>
        <v>#DIV/0!</v>
      </c>
      <c r="D252" s="436" t="e">
        <f t="shared" si="10"/>
        <v>#DIV/0!</v>
      </c>
      <c r="E252" s="436" t="e">
        <f t="shared" si="10"/>
        <v>#DIV/0!</v>
      </c>
    </row>
    <row r="253" spans="1:5" ht="15.75" customHeight="1" thickBot="1" x14ac:dyDescent="0.3">
      <c r="A253" s="695" t="s">
        <v>203</v>
      </c>
      <c r="B253" s="696"/>
      <c r="C253" s="696"/>
      <c r="D253" s="696"/>
      <c r="E253" s="697"/>
    </row>
    <row r="254" spans="1:5" x14ac:dyDescent="0.25">
      <c r="A254" s="693"/>
      <c r="B254" s="421">
        <v>2018</v>
      </c>
      <c r="C254" s="421">
        <v>2019</v>
      </c>
      <c r="D254" s="421">
        <v>2020</v>
      </c>
      <c r="E254" s="421">
        <v>2021</v>
      </c>
    </row>
    <row r="255" spans="1:5" ht="15.75" thickBot="1" x14ac:dyDescent="0.3">
      <c r="A255" s="694"/>
      <c r="B255" s="422" t="s">
        <v>41</v>
      </c>
      <c r="C255" s="422" t="s">
        <v>42</v>
      </c>
      <c r="D255" s="422" t="s">
        <v>42</v>
      </c>
      <c r="E255" s="422" t="s">
        <v>42</v>
      </c>
    </row>
    <row r="256" spans="1:5" ht="15.75" thickBot="1" x14ac:dyDescent="0.3">
      <c r="A256" s="451" t="s">
        <v>169</v>
      </c>
      <c r="B256" s="437"/>
      <c r="C256" s="437"/>
      <c r="D256" s="437"/>
      <c r="E256" s="437"/>
    </row>
    <row r="257" spans="1:5" ht="15.75" thickBot="1" x14ac:dyDescent="0.3">
      <c r="A257" s="460" t="s">
        <v>112</v>
      </c>
      <c r="B257" s="438">
        <v>0</v>
      </c>
      <c r="C257" s="437">
        <v>51000000</v>
      </c>
      <c r="D257" s="437">
        <v>51000000</v>
      </c>
      <c r="E257" s="437">
        <v>68000000</v>
      </c>
    </row>
    <row r="258" spans="1:5" ht="15.75" thickBot="1" x14ac:dyDescent="0.3">
      <c r="A258" s="461" t="s">
        <v>204</v>
      </c>
      <c r="B258" s="438">
        <f>B257+B256</f>
        <v>0</v>
      </c>
      <c r="C258" s="438">
        <f>C257+C256</f>
        <v>51000000</v>
      </c>
      <c r="D258" s="438">
        <f>D257+D256</f>
        <v>51000000</v>
      </c>
      <c r="E258" s="438">
        <f>E257+E256</f>
        <v>68000000</v>
      </c>
    </row>
    <row r="259" spans="1:5" ht="15.75" thickBot="1" x14ac:dyDescent="0.3">
      <c r="A259" s="461"/>
      <c r="B259" s="438"/>
      <c r="C259" s="438"/>
      <c r="D259" s="438"/>
      <c r="E259" s="438"/>
    </row>
    <row r="260" spans="1:5" ht="15.75" customHeight="1" thickBot="1" x14ac:dyDescent="0.3">
      <c r="A260" s="441" t="s">
        <v>688</v>
      </c>
      <c r="B260" s="722" t="s">
        <v>695</v>
      </c>
      <c r="C260" s="723"/>
      <c r="D260" s="723"/>
      <c r="E260" s="724"/>
    </row>
    <row r="261" spans="1:5" ht="15.75" thickBot="1" x14ac:dyDescent="0.3">
      <c r="A261" s="419" t="s">
        <v>197</v>
      </c>
      <c r="B261" s="687" t="s">
        <v>696</v>
      </c>
      <c r="C261" s="688"/>
      <c r="D261" s="688"/>
      <c r="E261" s="689"/>
    </row>
    <row r="262" spans="1:5" ht="24.75" customHeight="1" thickBot="1" x14ac:dyDescent="0.3">
      <c r="A262" s="420" t="s">
        <v>72</v>
      </c>
      <c r="B262" s="690" t="s">
        <v>199</v>
      </c>
      <c r="C262" s="691"/>
      <c r="D262" s="691"/>
      <c r="E262" s="692"/>
    </row>
    <row r="263" spans="1:5" ht="15.75" customHeight="1" thickBot="1" x14ac:dyDescent="0.3">
      <c r="A263" s="420" t="s">
        <v>74</v>
      </c>
      <c r="B263" s="725"/>
      <c r="C263" s="726"/>
      <c r="D263" s="726"/>
      <c r="E263" s="727"/>
    </row>
    <row r="264" spans="1:5" ht="15.75" customHeight="1" thickBot="1" x14ac:dyDescent="0.3">
      <c r="A264" s="420" t="s">
        <v>76</v>
      </c>
      <c r="B264" s="423"/>
      <c r="C264" s="443"/>
      <c r="D264" s="443"/>
      <c r="E264" s="443"/>
    </row>
    <row r="265" spans="1:5" ht="15.75" customHeight="1" thickBot="1" x14ac:dyDescent="0.3">
      <c r="A265" s="420" t="s">
        <v>77</v>
      </c>
      <c r="B265" s="423">
        <v>0</v>
      </c>
      <c r="C265" s="423">
        <v>30000000</v>
      </c>
      <c r="D265" s="423">
        <v>0</v>
      </c>
      <c r="E265" s="423">
        <v>0</v>
      </c>
    </row>
    <row r="266" spans="1:5" ht="15.75" customHeight="1" thickBot="1" x14ac:dyDescent="0.3">
      <c r="A266" s="420" t="s">
        <v>78</v>
      </c>
      <c r="B266" s="423"/>
      <c r="C266" s="443"/>
      <c r="D266" s="443"/>
      <c r="E266" s="443"/>
    </row>
    <row r="267" spans="1:5" ht="15.75" customHeight="1" thickBot="1" x14ac:dyDescent="0.3">
      <c r="A267" s="420" t="s">
        <v>79</v>
      </c>
      <c r="B267" s="424"/>
      <c r="C267" s="425" t="e">
        <f t="shared" ref="C267:E269" si="11">C264/B264-1</f>
        <v>#DIV/0!</v>
      </c>
      <c r="D267" s="425" t="e">
        <f t="shared" si="11"/>
        <v>#DIV/0!</v>
      </c>
      <c r="E267" s="425" t="e">
        <f t="shared" si="11"/>
        <v>#DIV/0!</v>
      </c>
    </row>
    <row r="268" spans="1:5" ht="15.75" customHeight="1" thickBot="1" x14ac:dyDescent="0.3">
      <c r="A268" s="420" t="s">
        <v>81</v>
      </c>
      <c r="B268" s="424"/>
      <c r="C268" s="425" t="e">
        <f t="shared" si="11"/>
        <v>#DIV/0!</v>
      </c>
      <c r="D268" s="425">
        <f t="shared" si="11"/>
        <v>-1</v>
      </c>
      <c r="E268" s="425" t="e">
        <f t="shared" si="11"/>
        <v>#DIV/0!</v>
      </c>
    </row>
    <row r="269" spans="1:5" ht="15.75" customHeight="1" thickBot="1" x14ac:dyDescent="0.3">
      <c r="A269" s="420" t="s">
        <v>82</v>
      </c>
      <c r="B269" s="424"/>
      <c r="C269" s="425" t="e">
        <f t="shared" si="11"/>
        <v>#DIV/0!</v>
      </c>
      <c r="D269" s="425" t="e">
        <f t="shared" si="11"/>
        <v>#DIV/0!</v>
      </c>
      <c r="E269" s="425" t="e">
        <f t="shared" si="11"/>
        <v>#DIV/0!</v>
      </c>
    </row>
    <row r="270" spans="1:5" ht="15.75" customHeight="1" thickBot="1" x14ac:dyDescent="0.3">
      <c r="A270" s="695" t="s">
        <v>203</v>
      </c>
      <c r="B270" s="696"/>
      <c r="C270" s="696"/>
      <c r="D270" s="696"/>
      <c r="E270" s="697"/>
    </row>
    <row r="271" spans="1:5" ht="15.75" customHeight="1" x14ac:dyDescent="0.25">
      <c r="A271" s="693"/>
      <c r="B271" s="421">
        <v>2018</v>
      </c>
      <c r="C271" s="421">
        <v>2019</v>
      </c>
      <c r="D271" s="421">
        <v>2020</v>
      </c>
      <c r="E271" s="421">
        <v>2021</v>
      </c>
    </row>
    <row r="272" spans="1:5" ht="15.75" customHeight="1" thickBot="1" x14ac:dyDescent="0.3">
      <c r="A272" s="694"/>
      <c r="B272" s="422" t="s">
        <v>41</v>
      </c>
      <c r="C272" s="422" t="s">
        <v>42</v>
      </c>
      <c r="D272" s="422" t="s">
        <v>42</v>
      </c>
      <c r="E272" s="422" t="s">
        <v>42</v>
      </c>
    </row>
    <row r="273" spans="1:5" ht="15.75" customHeight="1" thickBot="1" x14ac:dyDescent="0.3">
      <c r="A273" s="451" t="s">
        <v>169</v>
      </c>
      <c r="B273" s="437"/>
      <c r="C273" s="437"/>
      <c r="D273" s="437"/>
      <c r="E273" s="437"/>
    </row>
    <row r="274" spans="1:5" ht="15.75" customHeight="1" thickBot="1" x14ac:dyDescent="0.3">
      <c r="A274" s="460" t="s">
        <v>112</v>
      </c>
      <c r="B274" s="438">
        <v>0</v>
      </c>
      <c r="C274" s="437">
        <v>30000000</v>
      </c>
      <c r="D274" s="437">
        <v>0</v>
      </c>
      <c r="E274" s="437">
        <v>0</v>
      </c>
    </row>
    <row r="275" spans="1:5" ht="15.75" customHeight="1" thickBot="1" x14ac:dyDescent="0.3">
      <c r="A275" s="461" t="s">
        <v>204</v>
      </c>
      <c r="B275" s="438">
        <f>B274+B273</f>
        <v>0</v>
      </c>
      <c r="C275" s="438">
        <f>C274+C273</f>
        <v>30000000</v>
      </c>
      <c r="D275" s="438">
        <f>D274+D273</f>
        <v>0</v>
      </c>
      <c r="E275" s="438">
        <f>E274+E273</f>
        <v>0</v>
      </c>
    </row>
    <row r="276" spans="1:5" ht="15.75" customHeight="1" thickBot="1" x14ac:dyDescent="0.3">
      <c r="A276" s="461"/>
      <c r="B276" s="438"/>
      <c r="C276" s="438"/>
      <c r="D276" s="438"/>
      <c r="E276" s="438"/>
    </row>
    <row r="277" spans="1:5" ht="15.75" customHeight="1" thickBot="1" x14ac:dyDescent="0.3">
      <c r="A277" s="446"/>
      <c r="B277" s="447"/>
      <c r="C277" s="447"/>
      <c r="D277" s="447"/>
      <c r="E277" s="448"/>
    </row>
    <row r="278" spans="1:5" ht="15.75" customHeight="1" thickBot="1" x14ac:dyDescent="0.3">
      <c r="A278" s="441" t="s">
        <v>688</v>
      </c>
      <c r="B278" s="722" t="s">
        <v>697</v>
      </c>
      <c r="C278" s="723"/>
      <c r="D278" s="723"/>
      <c r="E278" s="724"/>
    </row>
    <row r="279" spans="1:5" ht="15.75" customHeight="1" thickBot="1" x14ac:dyDescent="0.3">
      <c r="A279" s="419" t="s">
        <v>197</v>
      </c>
      <c r="B279" s="687" t="s">
        <v>696</v>
      </c>
      <c r="C279" s="688"/>
      <c r="D279" s="688"/>
      <c r="E279" s="689"/>
    </row>
    <row r="280" spans="1:5" ht="23.25" customHeight="1" thickBot="1" x14ac:dyDescent="0.3">
      <c r="A280" s="420" t="s">
        <v>72</v>
      </c>
      <c r="B280" s="690" t="s">
        <v>199</v>
      </c>
      <c r="C280" s="691"/>
      <c r="D280" s="691"/>
      <c r="E280" s="692"/>
    </row>
    <row r="281" spans="1:5" ht="15.75" customHeight="1" thickBot="1" x14ac:dyDescent="0.3">
      <c r="A281" s="420" t="s">
        <v>74</v>
      </c>
      <c r="B281" s="725"/>
      <c r="C281" s="726"/>
      <c r="D281" s="726"/>
      <c r="E281" s="727"/>
    </row>
    <row r="282" spans="1:5" ht="15.75" customHeight="1" thickBot="1" x14ac:dyDescent="0.3">
      <c r="A282" s="420" t="s">
        <v>76</v>
      </c>
      <c r="B282" s="423"/>
      <c r="C282" s="443"/>
      <c r="D282" s="443"/>
      <c r="E282" s="443"/>
    </row>
    <row r="283" spans="1:5" ht="15.75" customHeight="1" thickBot="1" x14ac:dyDescent="0.3">
      <c r="A283" s="420" t="s">
        <v>77</v>
      </c>
      <c r="B283" s="423">
        <v>0</v>
      </c>
      <c r="C283" s="423">
        <v>25000000</v>
      </c>
      <c r="D283" s="423">
        <v>0</v>
      </c>
      <c r="E283" s="423">
        <v>0</v>
      </c>
    </row>
    <row r="284" spans="1:5" ht="15.75" customHeight="1" thickBot="1" x14ac:dyDescent="0.3">
      <c r="A284" s="420" t="s">
        <v>78</v>
      </c>
      <c r="B284" s="423"/>
      <c r="C284" s="443"/>
      <c r="D284" s="443"/>
      <c r="E284" s="443"/>
    </row>
    <row r="285" spans="1:5" ht="15.75" customHeight="1" thickBot="1" x14ac:dyDescent="0.3">
      <c r="A285" s="420" t="s">
        <v>79</v>
      </c>
      <c r="B285" s="424"/>
      <c r="C285" s="425" t="e">
        <f t="shared" ref="C285:E287" si="12">C282/B282-1</f>
        <v>#DIV/0!</v>
      </c>
      <c r="D285" s="425" t="e">
        <f t="shared" si="12"/>
        <v>#DIV/0!</v>
      </c>
      <c r="E285" s="425" t="e">
        <f t="shared" si="12"/>
        <v>#DIV/0!</v>
      </c>
    </row>
    <row r="286" spans="1:5" ht="15.75" customHeight="1" thickBot="1" x14ac:dyDescent="0.3">
      <c r="A286" s="420" t="s">
        <v>81</v>
      </c>
      <c r="B286" s="424"/>
      <c r="C286" s="425" t="e">
        <f t="shared" si="12"/>
        <v>#DIV/0!</v>
      </c>
      <c r="D286" s="425">
        <f t="shared" si="12"/>
        <v>-1</v>
      </c>
      <c r="E286" s="425" t="e">
        <f t="shared" si="12"/>
        <v>#DIV/0!</v>
      </c>
    </row>
    <row r="287" spans="1:5" ht="15.75" customHeight="1" thickBot="1" x14ac:dyDescent="0.3">
      <c r="A287" s="420" t="s">
        <v>82</v>
      </c>
      <c r="B287" s="424"/>
      <c r="C287" s="425" t="e">
        <f t="shared" si="12"/>
        <v>#DIV/0!</v>
      </c>
      <c r="D287" s="425" t="e">
        <f t="shared" si="12"/>
        <v>#DIV/0!</v>
      </c>
      <c r="E287" s="425" t="e">
        <f t="shared" si="12"/>
        <v>#DIV/0!</v>
      </c>
    </row>
    <row r="288" spans="1:5" ht="15.75" customHeight="1" thickBot="1" x14ac:dyDescent="0.3">
      <c r="A288" s="687" t="s">
        <v>698</v>
      </c>
      <c r="B288" s="688"/>
      <c r="C288" s="688"/>
      <c r="D288" s="688"/>
      <c r="E288" s="689"/>
    </row>
    <row r="289" spans="1:5" ht="15.75" customHeight="1" x14ac:dyDescent="0.25">
      <c r="A289" s="444"/>
      <c r="B289" s="421">
        <v>2018</v>
      </c>
      <c r="C289" s="421">
        <v>2019</v>
      </c>
      <c r="D289" s="421">
        <v>2020</v>
      </c>
      <c r="E289" s="421">
        <v>2021</v>
      </c>
    </row>
    <row r="290" spans="1:5" ht="15.75" customHeight="1" thickBot="1" x14ac:dyDescent="0.3">
      <c r="A290" s="424"/>
      <c r="B290" s="422" t="s">
        <v>41</v>
      </c>
      <c r="C290" s="422" t="s">
        <v>42</v>
      </c>
      <c r="D290" s="422" t="s">
        <v>42</v>
      </c>
      <c r="E290" s="422" t="s">
        <v>42</v>
      </c>
    </row>
    <row r="291" spans="1:5" ht="15.75" customHeight="1" thickBot="1" x14ac:dyDescent="0.3">
      <c r="A291" s="427" t="s">
        <v>127</v>
      </c>
      <c r="B291" s="428"/>
      <c r="C291" s="428"/>
      <c r="D291" s="428"/>
      <c r="E291" s="428"/>
    </row>
    <row r="292" spans="1:5" ht="15.75" customHeight="1" thickBot="1" x14ac:dyDescent="0.3">
      <c r="A292" s="427" t="s">
        <v>232</v>
      </c>
      <c r="B292" s="428">
        <v>0</v>
      </c>
      <c r="C292" s="428">
        <v>25000000</v>
      </c>
      <c r="D292" s="428">
        <v>0</v>
      </c>
      <c r="E292" s="428">
        <v>0</v>
      </c>
    </row>
    <row r="293" spans="1:5" ht="15.75" customHeight="1" thickBot="1" x14ac:dyDescent="0.3">
      <c r="A293" s="445" t="s">
        <v>691</v>
      </c>
      <c r="B293" s="428">
        <f>SUM(B291:B292)</f>
        <v>0</v>
      </c>
      <c r="C293" s="428">
        <f>SUM(C291:C292)</f>
        <v>25000000</v>
      </c>
      <c r="D293" s="428">
        <f>SUM(D291:D292)</f>
        <v>0</v>
      </c>
      <c r="E293" s="428">
        <f>SUM(E291:E292)</f>
        <v>0</v>
      </c>
    </row>
    <row r="294" spans="1:5" ht="15.75" customHeight="1" thickBot="1" x14ac:dyDescent="0.3">
      <c r="A294" s="446"/>
      <c r="B294" s="447"/>
      <c r="C294" s="447"/>
      <c r="D294" s="447"/>
      <c r="E294" s="448"/>
    </row>
    <row r="295" spans="1:5" ht="49.5" customHeight="1" thickBot="1" x14ac:dyDescent="0.3">
      <c r="A295" s="463" t="s">
        <v>206</v>
      </c>
      <c r="B295" s="740" t="s">
        <v>207</v>
      </c>
      <c r="C295" s="729"/>
      <c r="D295" s="729"/>
      <c r="E295" s="730"/>
    </row>
    <row r="296" spans="1:5" ht="15.75" customHeight="1" thickBot="1" x14ac:dyDescent="0.3">
      <c r="A296" s="741" t="s">
        <v>208</v>
      </c>
      <c r="B296" s="742"/>
      <c r="C296" s="742"/>
      <c r="D296" s="742"/>
      <c r="E296" s="743"/>
    </row>
    <row r="297" spans="1:5" ht="34.5" thickBot="1" x14ac:dyDescent="0.3">
      <c r="A297" s="433" t="s">
        <v>209</v>
      </c>
      <c r="B297" s="455" t="s">
        <v>210</v>
      </c>
      <c r="C297" s="434" t="s">
        <v>211</v>
      </c>
      <c r="D297" s="434" t="s">
        <v>211</v>
      </c>
      <c r="E297" s="434" t="s">
        <v>211</v>
      </c>
    </row>
    <row r="298" spans="1:5" ht="23.25" thickBot="1" x14ac:dyDescent="0.3">
      <c r="A298" s="420" t="s">
        <v>212</v>
      </c>
      <c r="B298" s="455" t="s">
        <v>213</v>
      </c>
      <c r="C298" s="456" t="s">
        <v>214</v>
      </c>
      <c r="D298" s="456" t="s">
        <v>215</v>
      </c>
      <c r="E298" s="456" t="s">
        <v>215</v>
      </c>
    </row>
    <row r="299" spans="1:5" ht="25.5" customHeight="1" thickBot="1" x14ac:dyDescent="0.3">
      <c r="A299" s="416" t="s">
        <v>149</v>
      </c>
      <c r="B299" s="434" t="s">
        <v>150</v>
      </c>
      <c r="C299" s="434" t="s">
        <v>151</v>
      </c>
      <c r="D299" s="434" t="s">
        <v>151</v>
      </c>
      <c r="E299" s="434" t="s">
        <v>151</v>
      </c>
    </row>
    <row r="300" spans="1:5" ht="15.75" thickBot="1" x14ac:dyDescent="0.3">
      <c r="A300" s="734" t="s">
        <v>216</v>
      </c>
      <c r="B300" s="735"/>
      <c r="C300" s="735"/>
      <c r="D300" s="735"/>
      <c r="E300" s="736"/>
    </row>
    <row r="301" spans="1:5" ht="15.75" customHeight="1" thickBot="1" x14ac:dyDescent="0.3">
      <c r="A301" s="419" t="s">
        <v>217</v>
      </c>
      <c r="B301" s="687" t="s">
        <v>218</v>
      </c>
      <c r="C301" s="688"/>
      <c r="D301" s="688"/>
      <c r="E301" s="689"/>
    </row>
    <row r="302" spans="1:5" ht="31.5" customHeight="1" thickBot="1" x14ac:dyDescent="0.3">
      <c r="A302" s="420" t="s">
        <v>72</v>
      </c>
      <c r="B302" s="690" t="s">
        <v>219</v>
      </c>
      <c r="C302" s="691"/>
      <c r="D302" s="691"/>
      <c r="E302" s="692"/>
    </row>
    <row r="303" spans="1:5" ht="15.75" thickBot="1" x14ac:dyDescent="0.3">
      <c r="A303" s="420" t="s">
        <v>74</v>
      </c>
      <c r="B303" s="690" t="s">
        <v>220</v>
      </c>
      <c r="C303" s="691"/>
      <c r="D303" s="691"/>
      <c r="E303" s="692"/>
    </row>
    <row r="304" spans="1:5" ht="12.75" customHeight="1" x14ac:dyDescent="0.25">
      <c r="A304" s="693"/>
      <c r="B304" s="421">
        <v>2018</v>
      </c>
      <c r="C304" s="421">
        <v>2019</v>
      </c>
      <c r="D304" s="421">
        <v>2020</v>
      </c>
      <c r="E304" s="421">
        <v>2021</v>
      </c>
    </row>
    <row r="305" spans="1:5" ht="9" customHeight="1" thickBot="1" x14ac:dyDescent="0.3">
      <c r="A305" s="694"/>
      <c r="B305" s="422" t="s">
        <v>41</v>
      </c>
      <c r="C305" s="422" t="s">
        <v>42</v>
      </c>
      <c r="D305" s="422" t="s">
        <v>42</v>
      </c>
      <c r="E305" s="422" t="s">
        <v>42</v>
      </c>
    </row>
    <row r="306" spans="1:5" ht="15.75" thickBot="1" x14ac:dyDescent="0.3">
      <c r="A306" s="420" t="s">
        <v>76</v>
      </c>
      <c r="B306" s="423">
        <v>62088</v>
      </c>
      <c r="C306" s="423">
        <v>65100</v>
      </c>
      <c r="D306" s="423">
        <v>67150</v>
      </c>
      <c r="E306" s="423">
        <v>67200</v>
      </c>
    </row>
    <row r="307" spans="1:5" ht="15.75" thickBot="1" x14ac:dyDescent="0.3">
      <c r="A307" s="420" t="s">
        <v>77</v>
      </c>
      <c r="B307" s="423">
        <v>827821779</v>
      </c>
      <c r="C307" s="423">
        <v>917520779</v>
      </c>
      <c r="D307" s="423">
        <v>931722779</v>
      </c>
      <c r="E307" s="423">
        <v>931722779</v>
      </c>
    </row>
    <row r="308" spans="1:5" ht="15.75" thickBot="1" x14ac:dyDescent="0.3">
      <c r="A308" s="420" t="s">
        <v>78</v>
      </c>
      <c r="B308" s="423">
        <f>B307/B306</f>
        <v>13333.039862775415</v>
      </c>
      <c r="C308" s="423">
        <f>C307/C306</f>
        <v>14094.021182795699</v>
      </c>
      <c r="D308" s="423">
        <f>D307/D306</f>
        <v>13875.246150409532</v>
      </c>
      <c r="E308" s="423">
        <f>E307/E306</f>
        <v>13864.92230654762</v>
      </c>
    </row>
    <row r="309" spans="1:5" ht="15.75" thickBot="1" x14ac:dyDescent="0.3">
      <c r="A309" s="420" t="s">
        <v>79</v>
      </c>
      <c r="B309" s="424"/>
      <c r="C309" s="425">
        <f>C306/B306-1</f>
        <v>4.8511789717819775E-2</v>
      </c>
      <c r="D309" s="425">
        <f t="shared" ref="D309:E311" si="13">D306/C306-1</f>
        <v>3.149001536098317E-2</v>
      </c>
      <c r="E309" s="425">
        <f t="shared" si="13"/>
        <v>7.446016381236209E-4</v>
      </c>
    </row>
    <row r="310" spans="1:5" ht="15.75" thickBot="1" x14ac:dyDescent="0.3">
      <c r="A310" s="420" t="s">
        <v>81</v>
      </c>
      <c r="B310" s="424"/>
      <c r="C310" s="425">
        <f>C307/B307-1</f>
        <v>0.10835544832893307</v>
      </c>
      <c r="D310" s="425">
        <f t="shared" si="13"/>
        <v>1.5478668521794914E-2</v>
      </c>
      <c r="E310" s="425">
        <f t="shared" si="13"/>
        <v>0</v>
      </c>
    </row>
    <row r="311" spans="1:5" ht="15.75" thickBot="1" x14ac:dyDescent="0.3">
      <c r="A311" s="420" t="s">
        <v>82</v>
      </c>
      <c r="B311" s="424"/>
      <c r="C311" s="425">
        <f>C308/B308-1</f>
        <v>5.7074855235742072E-2</v>
      </c>
      <c r="D311" s="425">
        <f t="shared" si="13"/>
        <v>-1.5522541760702224E-2</v>
      </c>
      <c r="E311" s="425">
        <f t="shared" si="13"/>
        <v>-7.4404761904767192E-4</v>
      </c>
    </row>
    <row r="312" spans="1:5" ht="15.75" thickBot="1" x14ac:dyDescent="0.3">
      <c r="A312" s="695" t="s">
        <v>221</v>
      </c>
      <c r="B312" s="696"/>
      <c r="C312" s="696"/>
      <c r="D312" s="696"/>
      <c r="E312" s="697"/>
    </row>
    <row r="313" spans="1:5" ht="12.75" customHeight="1" x14ac:dyDescent="0.25">
      <c r="A313" s="693"/>
      <c r="B313" s="421">
        <v>2018</v>
      </c>
      <c r="C313" s="421">
        <v>2019</v>
      </c>
      <c r="D313" s="421">
        <v>2020</v>
      </c>
      <c r="E313" s="421">
        <v>2021</v>
      </c>
    </row>
    <row r="314" spans="1:5" ht="9" customHeight="1" thickBot="1" x14ac:dyDescent="0.3">
      <c r="A314" s="694"/>
      <c r="B314" s="422" t="s">
        <v>41</v>
      </c>
      <c r="C314" s="422" t="s">
        <v>42</v>
      </c>
      <c r="D314" s="422" t="s">
        <v>42</v>
      </c>
      <c r="E314" s="422" t="s">
        <v>42</v>
      </c>
    </row>
    <row r="315" spans="1:5" ht="15.75" thickBot="1" x14ac:dyDescent="0.3">
      <c r="A315" s="427" t="s">
        <v>84</v>
      </c>
      <c r="B315" s="437">
        <v>679684472</v>
      </c>
      <c r="C315" s="437">
        <v>749684472</v>
      </c>
      <c r="D315" s="437">
        <v>749684472</v>
      </c>
      <c r="E315" s="437">
        <v>749684472</v>
      </c>
    </row>
    <row r="316" spans="1:5" ht="24.75" thickBot="1" x14ac:dyDescent="0.3">
      <c r="A316" s="427" t="s">
        <v>85</v>
      </c>
      <c r="B316" s="437">
        <v>115197307</v>
      </c>
      <c r="C316" s="437">
        <v>125197307</v>
      </c>
      <c r="D316" s="437">
        <v>125197307</v>
      </c>
      <c r="E316" s="437">
        <v>125197307</v>
      </c>
    </row>
    <row r="317" spans="1:5" ht="15.75" thickBot="1" x14ac:dyDescent="0.3">
      <c r="A317" s="427" t="s">
        <v>86</v>
      </c>
      <c r="B317" s="438">
        <v>32940000</v>
      </c>
      <c r="C317" s="437">
        <v>42639000</v>
      </c>
      <c r="D317" s="437">
        <v>56841000</v>
      </c>
      <c r="E317" s="437">
        <v>56841000</v>
      </c>
    </row>
    <row r="318" spans="1:5" ht="15.75" thickBot="1" x14ac:dyDescent="0.3">
      <c r="A318" s="427" t="s">
        <v>87</v>
      </c>
      <c r="B318" s="429">
        <v>0</v>
      </c>
      <c r="C318" s="428">
        <v>0</v>
      </c>
      <c r="D318" s="428">
        <v>0</v>
      </c>
      <c r="E318" s="428">
        <v>0</v>
      </c>
    </row>
    <row r="319" spans="1:5" ht="15.75" thickBot="1" x14ac:dyDescent="0.3">
      <c r="A319" s="427" t="s">
        <v>88</v>
      </c>
      <c r="B319" s="429">
        <v>0</v>
      </c>
      <c r="C319" s="428">
        <v>0</v>
      </c>
      <c r="D319" s="428">
        <v>0</v>
      </c>
      <c r="E319" s="428">
        <v>0</v>
      </c>
    </row>
    <row r="320" spans="1:5" ht="15.75" thickBot="1" x14ac:dyDescent="0.3">
      <c r="A320" s="427" t="s">
        <v>89</v>
      </c>
      <c r="B320" s="429">
        <v>0</v>
      </c>
      <c r="C320" s="428">
        <v>0</v>
      </c>
      <c r="D320" s="428">
        <v>0</v>
      </c>
      <c r="E320" s="428">
        <v>0</v>
      </c>
    </row>
    <row r="321" spans="1:5" ht="24.75" thickBot="1" x14ac:dyDescent="0.3">
      <c r="A321" s="464" t="s">
        <v>90</v>
      </c>
      <c r="B321" s="429">
        <v>0</v>
      </c>
      <c r="C321" s="428">
        <v>0</v>
      </c>
      <c r="D321" s="428">
        <v>0</v>
      </c>
      <c r="E321" s="428">
        <v>0</v>
      </c>
    </row>
    <row r="322" spans="1:5" ht="24.75" thickBot="1" x14ac:dyDescent="0.3">
      <c r="A322" s="465" t="s">
        <v>120</v>
      </c>
      <c r="B322" s="466">
        <f>B321+B319+B320+B318+B317+B316+B315</f>
        <v>827821779</v>
      </c>
      <c r="C322" s="466">
        <f>C321+C319+C320+C318+C317+C316+C315</f>
        <v>917520779</v>
      </c>
      <c r="D322" s="466">
        <f>D321+D319+D320+D318+D317+D316+D315</f>
        <v>931722779</v>
      </c>
      <c r="E322" s="466">
        <f>E321+E319+E320+E318+E317+E316+E315</f>
        <v>931722779</v>
      </c>
    </row>
    <row r="323" spans="1:5" ht="15.75" thickBot="1" x14ac:dyDescent="0.3">
      <c r="A323" s="439" t="s">
        <v>92</v>
      </c>
      <c r="B323" s="440">
        <f>IF(B322-B307=0,0,"Error")</f>
        <v>0</v>
      </c>
      <c r="C323" s="440">
        <f>IF(C322-C307=0,0,"Error")</f>
        <v>0</v>
      </c>
      <c r="D323" s="440">
        <f>IF(D322-D307=0,0,"Error")</f>
        <v>0</v>
      </c>
      <c r="E323" s="440">
        <f>IF(E322-E307=0,0,"Error")</f>
        <v>0</v>
      </c>
    </row>
    <row r="324" spans="1:5" ht="15.75" thickBot="1" x14ac:dyDescent="0.3">
      <c r="A324" s="419" t="s">
        <v>222</v>
      </c>
      <c r="B324" s="687" t="s">
        <v>223</v>
      </c>
      <c r="C324" s="688"/>
      <c r="D324" s="688"/>
      <c r="E324" s="689"/>
    </row>
    <row r="325" spans="1:5" ht="15.75" thickBot="1" x14ac:dyDescent="0.3">
      <c r="A325" s="420" t="s">
        <v>72</v>
      </c>
      <c r="B325" s="690" t="s">
        <v>224</v>
      </c>
      <c r="C325" s="691"/>
      <c r="D325" s="691"/>
      <c r="E325" s="692"/>
    </row>
    <row r="326" spans="1:5" ht="15.75" thickBot="1" x14ac:dyDescent="0.3">
      <c r="A326" s="420" t="s">
        <v>74</v>
      </c>
      <c r="B326" s="690" t="s">
        <v>225</v>
      </c>
      <c r="C326" s="691"/>
      <c r="D326" s="691"/>
      <c r="E326" s="692"/>
    </row>
    <row r="327" spans="1:5" x14ac:dyDescent="0.25">
      <c r="A327" s="693"/>
      <c r="B327" s="421">
        <v>2018</v>
      </c>
      <c r="C327" s="421">
        <v>2019</v>
      </c>
      <c r="D327" s="421">
        <v>2020</v>
      </c>
      <c r="E327" s="421">
        <v>2021</v>
      </c>
    </row>
    <row r="328" spans="1:5" ht="15.75" thickBot="1" x14ac:dyDescent="0.3">
      <c r="A328" s="694"/>
      <c r="B328" s="422" t="s">
        <v>41</v>
      </c>
      <c r="C328" s="422" t="s">
        <v>42</v>
      </c>
      <c r="D328" s="422" t="s">
        <v>42</v>
      </c>
      <c r="E328" s="422" t="s">
        <v>42</v>
      </c>
    </row>
    <row r="329" spans="1:5" ht="15.75" thickBot="1" x14ac:dyDescent="0.3">
      <c r="A329" s="420" t="s">
        <v>76</v>
      </c>
      <c r="B329" s="423">
        <v>136</v>
      </c>
      <c r="C329" s="423">
        <v>136</v>
      </c>
      <c r="D329" s="423">
        <v>136</v>
      </c>
      <c r="E329" s="423">
        <v>136</v>
      </c>
    </row>
    <row r="330" spans="1:5" ht="15.75" thickBot="1" x14ac:dyDescent="0.3">
      <c r="A330" s="420" t="s">
        <v>77</v>
      </c>
      <c r="B330" s="423">
        <v>171196757</v>
      </c>
      <c r="C330" s="423">
        <v>171196757</v>
      </c>
      <c r="D330" s="423">
        <v>171196757</v>
      </c>
      <c r="E330" s="423">
        <v>171196757</v>
      </c>
    </row>
    <row r="331" spans="1:5" ht="15.75" thickBot="1" x14ac:dyDescent="0.3">
      <c r="A331" s="420" t="s">
        <v>78</v>
      </c>
      <c r="B331" s="423">
        <f>B330/B329</f>
        <v>1258799.6838235294</v>
      </c>
      <c r="C331" s="423">
        <f>C330/C329</f>
        <v>1258799.6838235294</v>
      </c>
      <c r="D331" s="423">
        <f>D330/D329</f>
        <v>1258799.6838235294</v>
      </c>
      <c r="E331" s="423">
        <f>E330/E329</f>
        <v>1258799.6838235294</v>
      </c>
    </row>
    <row r="332" spans="1:5" ht="15.75" thickBot="1" x14ac:dyDescent="0.3">
      <c r="A332" s="420" t="s">
        <v>79</v>
      </c>
      <c r="B332" s="424"/>
      <c r="C332" s="436">
        <f>C329/B329-1</f>
        <v>0</v>
      </c>
      <c r="D332" s="436">
        <f t="shared" ref="D332:E334" si="14">D329/C329-1</f>
        <v>0</v>
      </c>
      <c r="E332" s="436">
        <f t="shared" si="14"/>
        <v>0</v>
      </c>
    </row>
    <row r="333" spans="1:5" ht="15.75" thickBot="1" x14ac:dyDescent="0.3">
      <c r="A333" s="420" t="s">
        <v>81</v>
      </c>
      <c r="B333" s="424"/>
      <c r="C333" s="436">
        <f>C330/B330-1</f>
        <v>0</v>
      </c>
      <c r="D333" s="436">
        <f t="shared" si="14"/>
        <v>0</v>
      </c>
      <c r="E333" s="436">
        <v>0</v>
      </c>
    </row>
    <row r="334" spans="1:5" ht="15.75" thickBot="1" x14ac:dyDescent="0.3">
      <c r="A334" s="420" t="s">
        <v>82</v>
      </c>
      <c r="B334" s="424"/>
      <c r="C334" s="436">
        <f>C331/B331-1</f>
        <v>0</v>
      </c>
      <c r="D334" s="436">
        <f t="shared" si="14"/>
        <v>0</v>
      </c>
      <c r="E334" s="436">
        <f t="shared" si="14"/>
        <v>0</v>
      </c>
    </row>
    <row r="335" spans="1:5" x14ac:dyDescent="0.25">
      <c r="A335" s="693"/>
      <c r="B335" s="421">
        <v>2018</v>
      </c>
      <c r="C335" s="421">
        <v>2019</v>
      </c>
      <c r="D335" s="421">
        <v>2020</v>
      </c>
      <c r="E335" s="421">
        <v>2021</v>
      </c>
    </row>
    <row r="336" spans="1:5" ht="15.75" thickBot="1" x14ac:dyDescent="0.3">
      <c r="A336" s="694"/>
      <c r="B336" s="422" t="s">
        <v>41</v>
      </c>
      <c r="C336" s="422" t="s">
        <v>42</v>
      </c>
      <c r="D336" s="422" t="s">
        <v>42</v>
      </c>
      <c r="E336" s="422" t="s">
        <v>42</v>
      </c>
    </row>
    <row r="337" spans="1:5" ht="15.75" thickBot="1" x14ac:dyDescent="0.3">
      <c r="A337" s="695" t="s">
        <v>226</v>
      </c>
      <c r="B337" s="696"/>
      <c r="C337" s="696"/>
      <c r="D337" s="696"/>
      <c r="E337" s="697"/>
    </row>
    <row r="338" spans="1:5" x14ac:dyDescent="0.25">
      <c r="A338" s="693"/>
      <c r="B338" s="421">
        <v>2018</v>
      </c>
      <c r="C338" s="421">
        <v>2019</v>
      </c>
      <c r="D338" s="421">
        <v>2020</v>
      </c>
      <c r="E338" s="421">
        <v>2021</v>
      </c>
    </row>
    <row r="339" spans="1:5" ht="15.75" thickBot="1" x14ac:dyDescent="0.3">
      <c r="A339" s="694"/>
      <c r="B339" s="422" t="s">
        <v>41</v>
      </c>
      <c r="C339" s="422" t="s">
        <v>42</v>
      </c>
      <c r="D339" s="422" t="s">
        <v>42</v>
      </c>
      <c r="E339" s="422" t="s">
        <v>42</v>
      </c>
    </row>
    <row r="340" spans="1:5" ht="15.75" thickBot="1" x14ac:dyDescent="0.3">
      <c r="A340" s="451" t="s">
        <v>84</v>
      </c>
      <c r="B340" s="437">
        <v>146698164</v>
      </c>
      <c r="C340" s="437">
        <v>146698164</v>
      </c>
      <c r="D340" s="437">
        <v>146698164</v>
      </c>
      <c r="E340" s="437">
        <v>146698164</v>
      </c>
    </row>
    <row r="341" spans="1:5" ht="24.75" thickBot="1" x14ac:dyDescent="0.3">
      <c r="A341" s="451" t="s">
        <v>85</v>
      </c>
      <c r="B341" s="437">
        <v>24498593</v>
      </c>
      <c r="C341" s="437">
        <v>24498593</v>
      </c>
      <c r="D341" s="437">
        <v>24498593</v>
      </c>
      <c r="E341" s="437">
        <v>24498593</v>
      </c>
    </row>
    <row r="342" spans="1:5" ht="15.75" thickBot="1" x14ac:dyDescent="0.3">
      <c r="A342" s="451" t="s">
        <v>86</v>
      </c>
      <c r="B342" s="467">
        <v>0</v>
      </c>
      <c r="C342" s="442">
        <v>0</v>
      </c>
      <c r="D342" s="442">
        <v>0</v>
      </c>
      <c r="E342" s="442">
        <v>0</v>
      </c>
    </row>
    <row r="343" spans="1:5" ht="15.75" thickBot="1" x14ac:dyDescent="0.3">
      <c r="A343" s="451" t="s">
        <v>87</v>
      </c>
      <c r="B343" s="438">
        <v>0</v>
      </c>
      <c r="C343" s="438">
        <v>0</v>
      </c>
      <c r="D343" s="438">
        <v>0</v>
      </c>
      <c r="E343" s="438">
        <v>0</v>
      </c>
    </row>
    <row r="344" spans="1:5" ht="15.75" thickBot="1" x14ac:dyDescent="0.3">
      <c r="A344" s="451" t="s">
        <v>88</v>
      </c>
      <c r="B344" s="438">
        <v>0</v>
      </c>
      <c r="C344" s="438">
        <v>0</v>
      </c>
      <c r="D344" s="438">
        <v>0</v>
      </c>
      <c r="E344" s="438">
        <v>0</v>
      </c>
    </row>
    <row r="345" spans="1:5" ht="15.75" thickBot="1" x14ac:dyDescent="0.3">
      <c r="A345" s="451" t="s">
        <v>89</v>
      </c>
      <c r="B345" s="438">
        <v>0</v>
      </c>
      <c r="C345" s="438">
        <v>0</v>
      </c>
      <c r="D345" s="438">
        <v>0</v>
      </c>
      <c r="E345" s="438">
        <v>0</v>
      </c>
    </row>
    <row r="346" spans="1:5" ht="24.75" thickBot="1" x14ac:dyDescent="0.3">
      <c r="A346" s="451" t="s">
        <v>90</v>
      </c>
      <c r="B346" s="438">
        <v>0</v>
      </c>
      <c r="C346" s="438">
        <v>0</v>
      </c>
      <c r="D346" s="438">
        <v>0</v>
      </c>
      <c r="E346" s="438">
        <v>0</v>
      </c>
    </row>
    <row r="347" spans="1:5" ht="24.75" thickBot="1" x14ac:dyDescent="0.3">
      <c r="A347" s="468" t="s">
        <v>120</v>
      </c>
      <c r="B347" s="469">
        <f>B346+B345+B344+B343+B342+B341+B340</f>
        <v>171196757</v>
      </c>
      <c r="C347" s="469">
        <f>C346+C345+C344+C343+C342+C341+C340</f>
        <v>171196757</v>
      </c>
      <c r="D347" s="469">
        <f>D346+D345+D344+D343+D342+D341+D340</f>
        <v>171196757</v>
      </c>
      <c r="E347" s="469">
        <f>E346+E345+E344+E343+E342+E341+E340</f>
        <v>171196757</v>
      </c>
    </row>
    <row r="348" spans="1:5" x14ac:dyDescent="0.25">
      <c r="A348" s="710" t="s">
        <v>227</v>
      </c>
      <c r="B348" s="744" t="s">
        <v>80</v>
      </c>
      <c r="C348" s="744"/>
      <c r="D348" s="744"/>
      <c r="E348" s="745"/>
    </row>
    <row r="349" spans="1:5" x14ac:dyDescent="0.25">
      <c r="A349" s="711"/>
      <c r="B349" s="746"/>
      <c r="C349" s="746"/>
      <c r="D349" s="746"/>
      <c r="E349" s="747"/>
    </row>
    <row r="350" spans="1:5" ht="15.75" thickBot="1" x14ac:dyDescent="0.3">
      <c r="A350" s="712"/>
      <c r="B350" s="742"/>
      <c r="C350" s="742"/>
      <c r="D350" s="742"/>
      <c r="E350" s="743"/>
    </row>
    <row r="351" spans="1:5" ht="15.75" thickBot="1" x14ac:dyDescent="0.3">
      <c r="A351" s="439" t="s">
        <v>92</v>
      </c>
      <c r="B351" s="470">
        <f>IF(B347-B330=0,0,"Error")</f>
        <v>0</v>
      </c>
      <c r="C351" s="470">
        <f>IF(C347-C330=0,0,"Error")</f>
        <v>0</v>
      </c>
      <c r="D351" s="470">
        <f>IF(D347-D330=0,0,"Error")</f>
        <v>0</v>
      </c>
      <c r="E351" s="470">
        <f>IF(E347-E330=0,0,"Error")</f>
        <v>0</v>
      </c>
    </row>
    <row r="352" spans="1:5" ht="15.75" thickBot="1" x14ac:dyDescent="0.3">
      <c r="A352" s="471"/>
      <c r="B352" s="472"/>
      <c r="C352" s="472"/>
      <c r="D352" s="472"/>
      <c r="E352" s="472"/>
    </row>
    <row r="353" spans="1:5" ht="35.25" customHeight="1" thickBot="1" x14ac:dyDescent="0.3">
      <c r="A353" s="417" t="s">
        <v>121</v>
      </c>
      <c r="B353" s="473">
        <f>B36+B62+B81+B102+B120+B138+B156+B182+B210+B229+B248++B265+B283+B307+B330</f>
        <v>2749267000</v>
      </c>
      <c r="C353" s="473">
        <f t="shared" ref="C353:E353" si="15">C36+C62+C81+C102+C120+C138+C156+C182+C210+C229+C248++C265+C283+C307+C330</f>
        <v>2535000000</v>
      </c>
      <c r="D353" s="473">
        <f t="shared" si="15"/>
        <v>2435000000</v>
      </c>
      <c r="E353" s="473">
        <f t="shared" si="15"/>
        <v>2435000000</v>
      </c>
    </row>
    <row r="354" spans="1:5" ht="39" customHeight="1" thickBot="1" x14ac:dyDescent="0.3">
      <c r="A354" s="417" t="s">
        <v>122</v>
      </c>
      <c r="B354" s="473">
        <f>B356+B358+B360+B362+B364+B366+B368+B370+B372</f>
        <v>2749267000</v>
      </c>
      <c r="C354" s="473">
        <f t="shared" ref="C354:E354" si="16">C356+C358+C360+C362+C364+C366+C368+C370+C372</f>
        <v>2535000000</v>
      </c>
      <c r="D354" s="473">
        <f>D356+D358+D360+D362+D364+D366+D368+D370+D372</f>
        <v>2435000000</v>
      </c>
      <c r="E354" s="473">
        <f t="shared" si="16"/>
        <v>2435000000</v>
      </c>
    </row>
    <row r="355" spans="1:5" ht="24.75" thickBot="1" x14ac:dyDescent="0.3">
      <c r="A355" s="474" t="s">
        <v>123</v>
      </c>
      <c r="B355" s="475"/>
      <c r="C355" s="476">
        <f>C354/B354-1</f>
        <v>-7.7936046226139588E-2</v>
      </c>
      <c r="D355" s="476">
        <f>D354/C354-1</f>
        <v>-3.9447731755424043E-2</v>
      </c>
      <c r="E355" s="476">
        <f>E354/D354-1</f>
        <v>0</v>
      </c>
    </row>
    <row r="356" spans="1:5" ht="21" customHeight="1" thickBot="1" x14ac:dyDescent="0.3">
      <c r="A356" s="427" t="s">
        <v>84</v>
      </c>
      <c r="B356" s="428">
        <f>B44+B192+B315+B340</f>
        <v>1331040000</v>
      </c>
      <c r="C356" s="428">
        <f>C44+C192+C315+C340</f>
        <v>1550000000</v>
      </c>
      <c r="D356" s="428">
        <f>D44+D192+D315+D340</f>
        <v>1550000000</v>
      </c>
      <c r="E356" s="428">
        <f>E44+E192+E315+E340</f>
        <v>1550000000</v>
      </c>
    </row>
    <row r="357" spans="1:5" ht="27.75" customHeight="1" thickBot="1" x14ac:dyDescent="0.3">
      <c r="A357" s="477" t="s">
        <v>124</v>
      </c>
      <c r="B357" s="429"/>
      <c r="C357" s="478">
        <f>C356/B356-1</f>
        <v>0.16450294506551266</v>
      </c>
      <c r="D357" s="478">
        <f>D356/C356-1</f>
        <v>0</v>
      </c>
      <c r="E357" s="478">
        <f>E356/D356-1</f>
        <v>0</v>
      </c>
    </row>
    <row r="358" spans="1:5" ht="24.75" thickBot="1" x14ac:dyDescent="0.3">
      <c r="A358" s="427" t="s">
        <v>85</v>
      </c>
      <c r="B358" s="428">
        <f>B45+B193+B316+B341</f>
        <v>233227000</v>
      </c>
      <c r="C358" s="428">
        <f>C45+C193+C316+C341</f>
        <v>257000000</v>
      </c>
      <c r="D358" s="428">
        <f>D45+D193+D316+D341</f>
        <v>257000000</v>
      </c>
      <c r="E358" s="428">
        <f>E45+E193+E316+E341</f>
        <v>257000000</v>
      </c>
    </row>
    <row r="359" spans="1:5" ht="24.75" thickBot="1" x14ac:dyDescent="0.3">
      <c r="A359" s="477" t="s">
        <v>125</v>
      </c>
      <c r="B359" s="429"/>
      <c r="C359" s="478">
        <f>C358/B358-1</f>
        <v>0.10193073700729327</v>
      </c>
      <c r="D359" s="478">
        <f>D358/C358-1</f>
        <v>0</v>
      </c>
      <c r="E359" s="478">
        <f>E358/D358-1</f>
        <v>0</v>
      </c>
    </row>
    <row r="360" spans="1:5" ht="15.75" thickBot="1" x14ac:dyDescent="0.3">
      <c r="A360" s="427" t="s">
        <v>86</v>
      </c>
      <c r="B360" s="428">
        <f>B46+B194+B317+B342</f>
        <v>800500000</v>
      </c>
      <c r="C360" s="428">
        <f>C46+C194+C317+C342</f>
        <v>543740000</v>
      </c>
      <c r="D360" s="428">
        <f>D46+D194+D317+D342</f>
        <v>543740000</v>
      </c>
      <c r="E360" s="428">
        <f>E46+E194+E317+E342</f>
        <v>543740000</v>
      </c>
    </row>
    <row r="361" spans="1:5" ht="24.75" thickBot="1" x14ac:dyDescent="0.3">
      <c r="A361" s="477" t="s">
        <v>126</v>
      </c>
      <c r="B361" s="429"/>
      <c r="C361" s="478">
        <f>C360/B360-1</f>
        <v>-0.32074953154278574</v>
      </c>
      <c r="D361" s="478">
        <f>D360/C360-1</f>
        <v>0</v>
      </c>
      <c r="E361" s="478">
        <f>E360/D360-1</f>
        <v>0</v>
      </c>
    </row>
    <row r="362" spans="1:5" ht="15.75" thickBot="1" x14ac:dyDescent="0.3">
      <c r="A362" s="427" t="s">
        <v>87</v>
      </c>
      <c r="B362" s="428">
        <f>B318+B195+B47+B343</f>
        <v>0</v>
      </c>
      <c r="C362" s="428">
        <f>C318+C195+C47+C343</f>
        <v>0</v>
      </c>
      <c r="D362" s="428">
        <f>D318+D195+D47+D343</f>
        <v>0</v>
      </c>
      <c r="E362" s="428">
        <f>E318+E195+E47+E343</f>
        <v>0</v>
      </c>
    </row>
    <row r="363" spans="1:5" ht="15.75" thickBot="1" x14ac:dyDescent="0.3">
      <c r="A363" s="477" t="s">
        <v>228</v>
      </c>
      <c r="B363" s="429"/>
      <c r="C363" s="478" t="e">
        <f>C362/B362-1</f>
        <v>#DIV/0!</v>
      </c>
      <c r="D363" s="478" t="e">
        <f>D362/C362-1</f>
        <v>#DIV/0!</v>
      </c>
      <c r="E363" s="478" t="e">
        <f>E362/D362-1</f>
        <v>#DIV/0!</v>
      </c>
    </row>
    <row r="364" spans="1:5" ht="15.75" thickBot="1" x14ac:dyDescent="0.3">
      <c r="A364" s="427" t="s">
        <v>88</v>
      </c>
      <c r="B364" s="428">
        <f>B48+B196+B319+B344</f>
        <v>0</v>
      </c>
      <c r="C364" s="428">
        <f>C47+C195+C318+C343</f>
        <v>0</v>
      </c>
      <c r="D364" s="428">
        <f>D47+D195+D318+D343</f>
        <v>0</v>
      </c>
      <c r="E364" s="428">
        <f>E47+E195+E318+E343</f>
        <v>0</v>
      </c>
    </row>
    <row r="365" spans="1:5" ht="24.75" thickBot="1" x14ac:dyDescent="0.3">
      <c r="A365" s="477" t="s">
        <v>229</v>
      </c>
      <c r="B365" s="429"/>
      <c r="C365" s="478" t="e">
        <f>C364/B364-1</f>
        <v>#DIV/0!</v>
      </c>
      <c r="D365" s="478" t="e">
        <f>D364/C364-1</f>
        <v>#DIV/0!</v>
      </c>
      <c r="E365" s="478" t="e">
        <f>E364/D364-1</f>
        <v>#DIV/0!</v>
      </c>
    </row>
    <row r="366" spans="1:5" ht="15.75" thickBot="1" x14ac:dyDescent="0.3">
      <c r="A366" s="427" t="s">
        <v>89</v>
      </c>
      <c r="B366" s="428">
        <f>B49+B197+B320+B345</f>
        <v>1260000</v>
      </c>
      <c r="C366" s="428">
        <f>C49+C197+C320+C345</f>
        <v>1260000</v>
      </c>
      <c r="D366" s="428">
        <f>D49+D197+D320+D345</f>
        <v>1260000</v>
      </c>
      <c r="E366" s="428">
        <f>E49+E197+E320+E345</f>
        <v>1260000</v>
      </c>
    </row>
    <row r="367" spans="1:5" ht="24.75" thickBot="1" x14ac:dyDescent="0.3">
      <c r="A367" s="477" t="s">
        <v>230</v>
      </c>
      <c r="B367" s="429"/>
      <c r="C367" s="478">
        <f>C366/B366-1</f>
        <v>0</v>
      </c>
      <c r="D367" s="478">
        <f>D366/C366-1</f>
        <v>0</v>
      </c>
      <c r="E367" s="478">
        <f>E366/D366-1</f>
        <v>0</v>
      </c>
    </row>
    <row r="368" spans="1:5" ht="24.75" thickBot="1" x14ac:dyDescent="0.3">
      <c r="A368" s="427" t="s">
        <v>90</v>
      </c>
      <c r="B368" s="428">
        <f>B50+B198+B321+B346</f>
        <v>240000</v>
      </c>
      <c r="C368" s="428">
        <f>C50+C198+C321+C346</f>
        <v>0</v>
      </c>
      <c r="D368" s="428">
        <f>D50+D198+D321+D346</f>
        <v>0</v>
      </c>
      <c r="E368" s="428">
        <f>E50+E198+E321+E346</f>
        <v>0</v>
      </c>
    </row>
    <row r="369" spans="1:5" ht="24.75" thickBot="1" x14ac:dyDescent="0.3">
      <c r="A369" s="477" t="s">
        <v>231</v>
      </c>
      <c r="B369" s="429"/>
      <c r="C369" s="478">
        <f>C368/B368-1</f>
        <v>-1</v>
      </c>
      <c r="D369" s="478" t="e">
        <f>D368/C368-1</f>
        <v>#DIV/0!</v>
      </c>
      <c r="E369" s="478" t="e">
        <f>E368/D368-1</f>
        <v>#DIV/0!</v>
      </c>
    </row>
    <row r="370" spans="1:5" ht="15.75" thickBot="1" x14ac:dyDescent="0.3">
      <c r="A370" s="427" t="s">
        <v>127</v>
      </c>
      <c r="B370" s="428">
        <f>B70+B110+B128+B146+B164+B218+B237</f>
        <v>5520000</v>
      </c>
      <c r="C370" s="428">
        <f>C70+C110+C128+C146+C164+C218+C237</f>
        <v>6210000</v>
      </c>
      <c r="D370" s="428">
        <f>D70+D110+D128+D146+D164+D218+D237</f>
        <v>7000000</v>
      </c>
      <c r="E370" s="428">
        <f>E70+E110+E128+E146+E164+E218+E237</f>
        <v>0</v>
      </c>
    </row>
    <row r="371" spans="1:5" ht="24.75" thickBot="1" x14ac:dyDescent="0.3">
      <c r="A371" s="477" t="s">
        <v>128</v>
      </c>
      <c r="B371" s="429"/>
      <c r="C371" s="478">
        <f>C370/B370-1</f>
        <v>0.125</v>
      </c>
      <c r="D371" s="478">
        <f>D370/C370-1</f>
        <v>0.12721417069243146</v>
      </c>
      <c r="E371" s="478">
        <f>E370/D370-1</f>
        <v>-1</v>
      </c>
    </row>
    <row r="372" spans="1:5" ht="15.75" thickBot="1" x14ac:dyDescent="0.3">
      <c r="A372" s="427" t="s">
        <v>232</v>
      </c>
      <c r="B372" s="428">
        <f>B71+B111+B129+B147+B165+B219+B238</f>
        <v>377480000</v>
      </c>
      <c r="C372" s="428">
        <f>C71+C90+C111+C129+C147+C165+C219+C238+C257+C274+C292</f>
        <v>176790000</v>
      </c>
      <c r="D372" s="428">
        <f t="shared" ref="D372:E372" si="17">D71+D90+D111+D129+D147+D165+D219+D238+D257+D274+D292</f>
        <v>76000000</v>
      </c>
      <c r="E372" s="428">
        <f t="shared" si="17"/>
        <v>83000000</v>
      </c>
    </row>
    <row r="373" spans="1:5" ht="24.75" thickBot="1" x14ac:dyDescent="0.3">
      <c r="A373" s="477" t="s">
        <v>233</v>
      </c>
      <c r="B373" s="429"/>
      <c r="C373" s="478">
        <f>C372/B372-1</f>
        <v>-0.5316573063473562</v>
      </c>
      <c r="D373" s="478">
        <f>D372/C372-1</f>
        <v>-0.57011143164206124</v>
      </c>
      <c r="E373" s="478">
        <f>E372/D372-1</f>
        <v>9.210526315789469E-2</v>
      </c>
    </row>
    <row r="374" spans="1:5" ht="15.75" thickBot="1" x14ac:dyDescent="0.3">
      <c r="A374" s="439" t="s">
        <v>92</v>
      </c>
      <c r="B374" s="440">
        <f>IF(B354-B353=0,0,"Error")</f>
        <v>0</v>
      </c>
      <c r="C374" s="440">
        <f>IF(C354-C353=0,0,"Error")</f>
        <v>0</v>
      </c>
      <c r="D374" s="440">
        <f>IF(D354-D353=0,0,"Error")</f>
        <v>0</v>
      </c>
      <c r="E374" s="440">
        <f>IF(E354-E353=0,0,"Error")</f>
        <v>0</v>
      </c>
    </row>
    <row r="375" spans="1:5" ht="32.25" customHeight="1" thickBot="1" x14ac:dyDescent="0.3">
      <c r="A375" s="445" t="s">
        <v>129</v>
      </c>
      <c r="B375" s="437">
        <v>1512</v>
      </c>
      <c r="C375" s="437">
        <v>1512</v>
      </c>
      <c r="D375" s="437">
        <v>1512</v>
      </c>
      <c r="E375" s="437">
        <v>1512</v>
      </c>
    </row>
    <row r="376" spans="1:5" ht="36.75" thickBot="1" x14ac:dyDescent="0.3">
      <c r="A376" s="445" t="s">
        <v>130</v>
      </c>
      <c r="B376" s="437">
        <v>330</v>
      </c>
      <c r="C376" s="437">
        <v>286</v>
      </c>
      <c r="D376" s="437">
        <v>256</v>
      </c>
      <c r="E376" s="437">
        <v>256</v>
      </c>
    </row>
  </sheetData>
  <mergeCells count="134">
    <mergeCell ref="A348:A350"/>
    <mergeCell ref="B348:E350"/>
    <mergeCell ref="B325:E325"/>
    <mergeCell ref="B326:E326"/>
    <mergeCell ref="A327:A328"/>
    <mergeCell ref="A335:A336"/>
    <mergeCell ref="A337:E337"/>
    <mergeCell ref="A338:A339"/>
    <mergeCell ref="B302:E302"/>
    <mergeCell ref="B303:E303"/>
    <mergeCell ref="A304:A305"/>
    <mergeCell ref="A312:E312"/>
    <mergeCell ref="A313:A314"/>
    <mergeCell ref="B324:E324"/>
    <mergeCell ref="B281:E281"/>
    <mergeCell ref="A288:E288"/>
    <mergeCell ref="B295:E295"/>
    <mergeCell ref="A296:E296"/>
    <mergeCell ref="A300:E300"/>
    <mergeCell ref="B301:E301"/>
    <mergeCell ref="B263:E263"/>
    <mergeCell ref="A270:E270"/>
    <mergeCell ref="A271:A272"/>
    <mergeCell ref="B278:E278"/>
    <mergeCell ref="B279:E279"/>
    <mergeCell ref="B280:E280"/>
    <mergeCell ref="A245:A246"/>
    <mergeCell ref="A253:E253"/>
    <mergeCell ref="A254:A255"/>
    <mergeCell ref="B260:E260"/>
    <mergeCell ref="B261:E261"/>
    <mergeCell ref="B262:E262"/>
    <mergeCell ref="A234:E234"/>
    <mergeCell ref="A235:A236"/>
    <mergeCell ref="B241:E241"/>
    <mergeCell ref="B242:E242"/>
    <mergeCell ref="B243:E243"/>
    <mergeCell ref="B244:E244"/>
    <mergeCell ref="A216:A217"/>
    <mergeCell ref="B222:E222"/>
    <mergeCell ref="B223:E223"/>
    <mergeCell ref="B224:E224"/>
    <mergeCell ref="B225:E225"/>
    <mergeCell ref="A226:A227"/>
    <mergeCell ref="B203:E203"/>
    <mergeCell ref="B204:E204"/>
    <mergeCell ref="B205:E205"/>
    <mergeCell ref="B206:E206"/>
    <mergeCell ref="A207:A208"/>
    <mergeCell ref="A215:E215"/>
    <mergeCell ref="A179:A180"/>
    <mergeCell ref="A187:A188"/>
    <mergeCell ref="A189:E189"/>
    <mergeCell ref="A190:A191"/>
    <mergeCell ref="A201:E201"/>
    <mergeCell ref="A202:E202"/>
    <mergeCell ref="A172:E172"/>
    <mergeCell ref="A173:E173"/>
    <mergeCell ref="A174:A175"/>
    <mergeCell ref="B176:E176"/>
    <mergeCell ref="B177:E177"/>
    <mergeCell ref="B178:E178"/>
    <mergeCell ref="B152:E152"/>
    <mergeCell ref="A153:A154"/>
    <mergeCell ref="A161:E161"/>
    <mergeCell ref="A162:A163"/>
    <mergeCell ref="B167:E167"/>
    <mergeCell ref="A168:E168"/>
    <mergeCell ref="A135:A136"/>
    <mergeCell ref="A143:E143"/>
    <mergeCell ref="A144:A145"/>
    <mergeCell ref="B149:E149"/>
    <mergeCell ref="B150:E150"/>
    <mergeCell ref="B151:E151"/>
    <mergeCell ref="A125:E125"/>
    <mergeCell ref="A126:A127"/>
    <mergeCell ref="B131:E131"/>
    <mergeCell ref="B132:E132"/>
    <mergeCell ref="B133:E133"/>
    <mergeCell ref="B134:E134"/>
    <mergeCell ref="A108:A109"/>
    <mergeCell ref="B113:E113"/>
    <mergeCell ref="B114:E114"/>
    <mergeCell ref="B115:E115"/>
    <mergeCell ref="B116:E116"/>
    <mergeCell ref="A117:A118"/>
    <mergeCell ref="B95:E95"/>
    <mergeCell ref="B96:E96"/>
    <mergeCell ref="B97:E97"/>
    <mergeCell ref="B98:E98"/>
    <mergeCell ref="A99:A100"/>
    <mergeCell ref="A107:E107"/>
    <mergeCell ref="B77:E77"/>
    <mergeCell ref="B78:E78"/>
    <mergeCell ref="B79:E79"/>
    <mergeCell ref="A86:E86"/>
    <mergeCell ref="A93:E93"/>
    <mergeCell ref="A94:E94"/>
    <mergeCell ref="A59:A60"/>
    <mergeCell ref="A67:E67"/>
    <mergeCell ref="A68:A69"/>
    <mergeCell ref="A73:A75"/>
    <mergeCell ref="B73:E75"/>
    <mergeCell ref="B76:E76"/>
    <mergeCell ref="A53:E53"/>
    <mergeCell ref="A54:E54"/>
    <mergeCell ref="B55:E55"/>
    <mergeCell ref="B56:E56"/>
    <mergeCell ref="B57:E57"/>
    <mergeCell ref="B58:E58"/>
    <mergeCell ref="B30:E30"/>
    <mergeCell ref="B31:E31"/>
    <mergeCell ref="B32:E32"/>
    <mergeCell ref="A33:A34"/>
    <mergeCell ref="A41:E41"/>
    <mergeCell ref="A42:A43"/>
    <mergeCell ref="B18:E18"/>
    <mergeCell ref="A19:A20"/>
    <mergeCell ref="B24:E24"/>
    <mergeCell ref="A25:E25"/>
    <mergeCell ref="A28:E28"/>
    <mergeCell ref="A29:E29"/>
    <mergeCell ref="A9:E9"/>
    <mergeCell ref="B11:E11"/>
    <mergeCell ref="B12:E12"/>
    <mergeCell ref="B13:E13"/>
    <mergeCell ref="A14:E14"/>
    <mergeCell ref="A15:E17"/>
    <mergeCell ref="B3:E3"/>
    <mergeCell ref="B4:E4"/>
    <mergeCell ref="B5:E5"/>
    <mergeCell ref="C6:E6"/>
    <mergeCell ref="C7:E7"/>
    <mergeCell ref="C8:E8"/>
  </mergeCells>
  <printOptions horizontalCentered="1" verticalCentered="1"/>
  <pageMargins left="0.25" right="0.25" top="0.75" bottom="0.75" header="0.3" footer="0.3"/>
  <pageSetup scale="63" fitToHeight="0" orientation="portrait" r:id="rId1"/>
  <rowBreaks count="3" manualBreakCount="3">
    <brk id="52" max="16383" man="1"/>
    <brk id="106" max="16383" man="1"/>
    <brk id="31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73"/>
  <sheetViews>
    <sheetView view="pageBreakPreview" topLeftCell="A343" zoomScale="60" zoomScaleNormal="115" workbookViewId="0">
      <selection activeCell="K58" sqref="K58"/>
    </sheetView>
  </sheetViews>
  <sheetFormatPr defaultRowHeight="24" customHeight="1" x14ac:dyDescent="0.25"/>
  <cols>
    <col min="1" max="1" width="25.28515625" style="198" customWidth="1"/>
    <col min="2" max="2" width="16.85546875" style="198" customWidth="1"/>
    <col min="3" max="3" width="20.7109375" style="198" customWidth="1"/>
    <col min="4" max="4" width="16.5703125" style="198" customWidth="1"/>
    <col min="5" max="5" width="17.28515625" style="198" customWidth="1"/>
    <col min="6" max="7" width="9.85546875" style="198" bestFit="1" customWidth="1"/>
    <col min="8" max="16384" width="9.140625" style="198"/>
  </cols>
  <sheetData>
    <row r="1" spans="1:5" ht="24" customHeight="1" x14ac:dyDescent="0.25">
      <c r="A1" s="120" t="s">
        <v>0</v>
      </c>
      <c r="B1" s="121"/>
      <c r="C1" s="121"/>
      <c r="D1" s="121"/>
      <c r="E1" s="122"/>
    </row>
    <row r="2" spans="1:5" ht="24" customHeight="1" thickBot="1" x14ac:dyDescent="0.3">
      <c r="A2" s="122"/>
      <c r="B2" s="122"/>
      <c r="C2" s="122"/>
      <c r="D2" s="122"/>
      <c r="E2" s="122"/>
    </row>
    <row r="3" spans="1:5" ht="33" customHeight="1" thickBot="1" x14ac:dyDescent="0.3">
      <c r="A3" s="123" t="s">
        <v>1</v>
      </c>
      <c r="B3" s="782" t="s">
        <v>650</v>
      </c>
      <c r="C3" s="783"/>
      <c r="D3" s="783"/>
      <c r="E3" s="784"/>
    </row>
    <row r="4" spans="1:5" ht="36" customHeight="1" thickBot="1" x14ac:dyDescent="0.3">
      <c r="A4" s="124" t="s">
        <v>2</v>
      </c>
      <c r="B4" s="785" t="s">
        <v>17</v>
      </c>
      <c r="C4" s="786"/>
      <c r="D4" s="786"/>
      <c r="E4" s="787"/>
    </row>
    <row r="5" spans="1:5" ht="165.75" customHeight="1" thickBot="1" x14ac:dyDescent="0.3">
      <c r="A5" s="124" t="s">
        <v>614</v>
      </c>
      <c r="B5" s="788" t="s">
        <v>651</v>
      </c>
      <c r="C5" s="789"/>
      <c r="D5" s="789"/>
      <c r="E5" s="790"/>
    </row>
    <row r="6" spans="1:5" ht="34.5" customHeight="1" thickBot="1" x14ac:dyDescent="0.3">
      <c r="A6" s="124" t="s">
        <v>4</v>
      </c>
      <c r="B6" s="125" t="s">
        <v>619</v>
      </c>
      <c r="C6" s="791" t="s">
        <v>6</v>
      </c>
      <c r="D6" s="791"/>
      <c r="E6" s="792"/>
    </row>
    <row r="7" spans="1:5" ht="50.25" customHeight="1" thickBot="1" x14ac:dyDescent="0.3">
      <c r="A7" s="124" t="s">
        <v>16</v>
      </c>
      <c r="B7" s="199" t="s">
        <v>17</v>
      </c>
      <c r="C7" s="793" t="s">
        <v>652</v>
      </c>
      <c r="D7" s="793"/>
      <c r="E7" s="794"/>
    </row>
    <row r="8" spans="1:5" ht="24" customHeight="1" thickBot="1" x14ac:dyDescent="0.3">
      <c r="A8" s="124" t="s">
        <v>621</v>
      </c>
      <c r="B8" s="126"/>
      <c r="C8" s="793"/>
      <c r="D8" s="793"/>
      <c r="E8" s="794"/>
    </row>
    <row r="9" spans="1:5" ht="24" customHeight="1" x14ac:dyDescent="0.25">
      <c r="A9" s="771" t="s">
        <v>32</v>
      </c>
      <c r="B9" s="771"/>
      <c r="C9" s="771"/>
      <c r="D9" s="771"/>
      <c r="E9" s="771"/>
    </row>
    <row r="10" spans="1:5" ht="12" customHeight="1" x14ac:dyDescent="0.25">
      <c r="A10" s="771" t="s">
        <v>653</v>
      </c>
      <c r="B10" s="771"/>
      <c r="C10" s="771"/>
      <c r="D10" s="771"/>
      <c r="E10" s="771"/>
    </row>
    <row r="11" spans="1:5" ht="10.5" customHeight="1" thickBot="1" x14ac:dyDescent="0.3"/>
    <row r="12" spans="1:5" ht="24" customHeight="1" thickBot="1" x14ac:dyDescent="0.3">
      <c r="A12" s="200" t="s">
        <v>33</v>
      </c>
      <c r="B12" s="772" t="s">
        <v>234</v>
      </c>
      <c r="C12" s="772"/>
      <c r="D12" s="772"/>
      <c r="E12" s="772"/>
    </row>
    <row r="13" spans="1:5" ht="14.25" customHeight="1" thickBot="1" x14ac:dyDescent="0.3">
      <c r="A13" s="200" t="s">
        <v>5</v>
      </c>
      <c r="B13" s="773" t="s">
        <v>17</v>
      </c>
      <c r="C13" s="774"/>
      <c r="D13" s="774"/>
      <c r="E13" s="775"/>
    </row>
    <row r="14" spans="1:5" ht="24" customHeight="1" thickBot="1" x14ac:dyDescent="0.3">
      <c r="A14" s="200" t="s">
        <v>35</v>
      </c>
      <c r="B14" s="776" t="s">
        <v>36</v>
      </c>
      <c r="C14" s="777"/>
      <c r="D14" s="777"/>
      <c r="E14" s="778"/>
    </row>
    <row r="15" spans="1:5" ht="18" customHeight="1" thickBot="1" x14ac:dyDescent="0.3">
      <c r="A15" s="779" t="s">
        <v>6</v>
      </c>
      <c r="B15" s="780"/>
      <c r="C15" s="780"/>
      <c r="D15" s="780"/>
      <c r="E15" s="781"/>
    </row>
    <row r="16" spans="1:5" ht="15.75" customHeight="1" thickBot="1" x14ac:dyDescent="0.3">
      <c r="A16" s="759" t="s">
        <v>235</v>
      </c>
      <c r="B16" s="760"/>
      <c r="C16" s="760"/>
      <c r="D16" s="760"/>
      <c r="E16" s="761"/>
    </row>
    <row r="17" spans="1:8" ht="9.75" customHeight="1" thickBot="1" x14ac:dyDescent="0.3">
      <c r="A17" s="759"/>
      <c r="B17" s="760"/>
      <c r="C17" s="760"/>
      <c r="D17" s="760"/>
      <c r="E17" s="761"/>
    </row>
    <row r="18" spans="1:8" ht="8.25" customHeight="1" thickBot="1" x14ac:dyDescent="0.3">
      <c r="A18" s="759"/>
      <c r="B18" s="760"/>
      <c r="C18" s="760"/>
      <c r="D18" s="760"/>
      <c r="E18" s="761"/>
    </row>
    <row r="19" spans="1:8" ht="24" customHeight="1" thickBot="1" x14ac:dyDescent="0.3">
      <c r="A19" s="201" t="s">
        <v>38</v>
      </c>
      <c r="B19" s="777" t="s">
        <v>236</v>
      </c>
      <c r="C19" s="754"/>
      <c r="D19" s="754"/>
      <c r="E19" s="755"/>
    </row>
    <row r="20" spans="1:8" ht="18" customHeight="1" x14ac:dyDescent="0.25">
      <c r="A20" s="748" t="s">
        <v>138</v>
      </c>
      <c r="B20" s="202">
        <v>2018</v>
      </c>
      <c r="C20" s="202">
        <v>2019</v>
      </c>
      <c r="D20" s="202">
        <v>2020</v>
      </c>
      <c r="E20" s="202">
        <v>2021</v>
      </c>
    </row>
    <row r="21" spans="1:8" ht="11.25" customHeight="1" thickBot="1" x14ac:dyDescent="0.3">
      <c r="A21" s="749"/>
      <c r="B21" s="203" t="s">
        <v>41</v>
      </c>
      <c r="C21" s="203" t="s">
        <v>42</v>
      </c>
      <c r="D21" s="203" t="s">
        <v>42</v>
      </c>
      <c r="E21" s="203" t="s">
        <v>42</v>
      </c>
    </row>
    <row r="22" spans="1:8" ht="24" customHeight="1" thickBot="1" x14ac:dyDescent="0.3">
      <c r="A22" s="204" t="s">
        <v>237</v>
      </c>
      <c r="B22" s="205">
        <v>1</v>
      </c>
      <c r="C22" s="205">
        <v>1</v>
      </c>
      <c r="D22" s="205">
        <v>1</v>
      </c>
      <c r="E22" s="206">
        <v>1</v>
      </c>
    </row>
    <row r="23" spans="1:8" ht="33.75" customHeight="1" thickBot="1" x14ac:dyDescent="0.3">
      <c r="A23" s="207" t="s">
        <v>45</v>
      </c>
      <c r="B23" s="759" t="s">
        <v>238</v>
      </c>
      <c r="C23" s="760"/>
      <c r="D23" s="760"/>
      <c r="E23" s="761"/>
    </row>
    <row r="24" spans="1:8" ht="18" customHeight="1" thickBot="1" x14ac:dyDescent="0.3">
      <c r="A24" s="750" t="s">
        <v>47</v>
      </c>
      <c r="B24" s="751"/>
      <c r="C24" s="751"/>
      <c r="D24" s="751"/>
      <c r="E24" s="752"/>
      <c r="F24" s="208"/>
      <c r="G24" s="208"/>
      <c r="H24" s="208"/>
    </row>
    <row r="25" spans="1:8" ht="24" customHeight="1" thickBot="1" x14ac:dyDescent="0.3">
      <c r="A25" s="209" t="s">
        <v>239</v>
      </c>
      <c r="B25" s="210">
        <v>0.1</v>
      </c>
      <c r="C25" s="211">
        <v>0.12</v>
      </c>
      <c r="D25" s="211">
        <v>0.14399999999999999</v>
      </c>
      <c r="E25" s="211">
        <v>0.16800000000000001</v>
      </c>
      <c r="F25" s="208"/>
      <c r="G25" s="212"/>
      <c r="H25" s="208"/>
    </row>
    <row r="26" spans="1:8" ht="24" customHeight="1" thickBot="1" x14ac:dyDescent="0.3">
      <c r="A26" s="209" t="s">
        <v>240</v>
      </c>
      <c r="B26" s="210">
        <v>0.1</v>
      </c>
      <c r="C26" s="211">
        <v>0.12</v>
      </c>
      <c r="D26" s="211">
        <v>0.14399999999999999</v>
      </c>
      <c r="E26" s="211">
        <v>0.16800000000000001</v>
      </c>
      <c r="F26" s="213"/>
      <c r="G26" s="213"/>
      <c r="H26" s="213"/>
    </row>
    <row r="27" spans="1:8" ht="24" customHeight="1" thickBot="1" x14ac:dyDescent="0.3">
      <c r="A27" s="209" t="s">
        <v>241</v>
      </c>
      <c r="B27" s="210">
        <v>0.08</v>
      </c>
      <c r="C27" s="211">
        <v>9.6000000000000002E-2</v>
      </c>
      <c r="D27" s="214" t="s">
        <v>242</v>
      </c>
      <c r="E27" s="211">
        <v>0.14000000000000001</v>
      </c>
      <c r="F27" s="213"/>
      <c r="G27" s="213"/>
      <c r="H27" s="213"/>
    </row>
    <row r="28" spans="1:8" ht="24" customHeight="1" thickBot="1" x14ac:dyDescent="0.3">
      <c r="A28" s="215" t="s">
        <v>243</v>
      </c>
      <c r="B28" s="211">
        <v>0.02</v>
      </c>
      <c r="C28" s="211">
        <v>0.02</v>
      </c>
      <c r="D28" s="211">
        <v>0.02</v>
      </c>
      <c r="E28" s="211">
        <v>0.02</v>
      </c>
      <c r="F28" s="213"/>
      <c r="G28" s="213"/>
      <c r="H28" s="213"/>
    </row>
    <row r="29" spans="1:8" ht="24" customHeight="1" thickBot="1" x14ac:dyDescent="0.3">
      <c r="A29" s="216" t="s">
        <v>244</v>
      </c>
      <c r="B29" s="210">
        <v>0.03</v>
      </c>
      <c r="C29" s="211">
        <v>0.04</v>
      </c>
      <c r="D29" s="211">
        <v>0.05</v>
      </c>
      <c r="E29" s="211">
        <v>0.06</v>
      </c>
      <c r="F29" s="213"/>
      <c r="G29" s="213"/>
      <c r="H29" s="213"/>
    </row>
    <row r="30" spans="1:8" ht="24" customHeight="1" thickBot="1" x14ac:dyDescent="0.3">
      <c r="A30" s="215" t="s">
        <v>245</v>
      </c>
      <c r="B30" s="210" t="s">
        <v>246</v>
      </c>
      <c r="C30" s="211" t="s">
        <v>247</v>
      </c>
      <c r="D30" s="211" t="s">
        <v>247</v>
      </c>
      <c r="E30" s="211" t="s">
        <v>247</v>
      </c>
      <c r="F30" s="213"/>
      <c r="G30" s="213"/>
      <c r="H30" s="213"/>
    </row>
    <row r="31" spans="1:8" ht="12" customHeight="1" thickBot="1" x14ac:dyDescent="0.3">
      <c r="A31" s="756" t="s">
        <v>68</v>
      </c>
      <c r="B31" s="757"/>
      <c r="C31" s="757"/>
      <c r="D31" s="757"/>
      <c r="E31" s="758"/>
    </row>
    <row r="32" spans="1:8" ht="15.75" customHeight="1" thickBot="1" x14ac:dyDescent="0.3">
      <c r="A32" s="753" t="s">
        <v>69</v>
      </c>
      <c r="B32" s="754"/>
      <c r="C32" s="754"/>
      <c r="D32" s="754"/>
      <c r="E32" s="755"/>
    </row>
    <row r="33" spans="1:7" ht="15.75" customHeight="1" thickBot="1" x14ac:dyDescent="0.3">
      <c r="A33" s="215" t="s">
        <v>108</v>
      </c>
      <c r="B33" s="756" t="s">
        <v>248</v>
      </c>
      <c r="C33" s="757"/>
      <c r="D33" s="757"/>
      <c r="E33" s="758"/>
    </row>
    <row r="34" spans="1:7" ht="18.75" customHeight="1" thickBot="1" x14ac:dyDescent="0.3">
      <c r="A34" s="215" t="s">
        <v>72</v>
      </c>
      <c r="B34" s="756" t="s">
        <v>248</v>
      </c>
      <c r="C34" s="757"/>
      <c r="D34" s="757"/>
      <c r="E34" s="758"/>
    </row>
    <row r="35" spans="1:7" ht="18" customHeight="1" thickBot="1" x14ac:dyDescent="0.3">
      <c r="A35" s="215" t="s">
        <v>74</v>
      </c>
      <c r="B35" s="756" t="s">
        <v>249</v>
      </c>
      <c r="C35" s="757"/>
      <c r="D35" s="757"/>
      <c r="E35" s="758"/>
    </row>
    <row r="36" spans="1:7" ht="14.25" customHeight="1" x14ac:dyDescent="0.25">
      <c r="A36" s="748"/>
      <c r="B36" s="202">
        <v>2018</v>
      </c>
      <c r="C36" s="202">
        <v>2019</v>
      </c>
      <c r="D36" s="202">
        <v>2020</v>
      </c>
      <c r="E36" s="202">
        <v>2021</v>
      </c>
    </row>
    <row r="37" spans="1:7" ht="11.25" customHeight="1" thickBot="1" x14ac:dyDescent="0.3">
      <c r="A37" s="749"/>
      <c r="B37" s="203" t="s">
        <v>41</v>
      </c>
      <c r="C37" s="203" t="s">
        <v>42</v>
      </c>
      <c r="D37" s="203" t="s">
        <v>42</v>
      </c>
      <c r="E37" s="203" t="s">
        <v>42</v>
      </c>
    </row>
    <row r="38" spans="1:7" ht="16.5" customHeight="1" thickBot="1" x14ac:dyDescent="0.3">
      <c r="A38" s="215" t="s">
        <v>76</v>
      </c>
      <c r="B38" s="217">
        <v>620000</v>
      </c>
      <c r="C38" s="217">
        <v>638600</v>
      </c>
      <c r="D38" s="217">
        <v>657758</v>
      </c>
      <c r="E38" s="217">
        <v>677490.74</v>
      </c>
    </row>
    <row r="39" spans="1:7" ht="16.5" customHeight="1" thickBot="1" x14ac:dyDescent="0.3">
      <c r="A39" s="215" t="s">
        <v>77</v>
      </c>
      <c r="B39" s="217">
        <v>1355551</v>
      </c>
      <c r="C39" s="217">
        <f>C54</f>
        <v>1264236</v>
      </c>
      <c r="D39" s="217">
        <f t="shared" ref="D39:E39" si="0">D54</f>
        <v>1175096</v>
      </c>
      <c r="E39" s="217">
        <f t="shared" si="0"/>
        <v>1120706</v>
      </c>
    </row>
    <row r="40" spans="1:7" ht="16.5" customHeight="1" thickBot="1" x14ac:dyDescent="0.3">
      <c r="A40" s="215" t="s">
        <v>78</v>
      </c>
      <c r="B40" s="217">
        <f>B39/B38</f>
        <v>2.1863725806451613</v>
      </c>
      <c r="C40" s="217">
        <f t="shared" ref="C40:E40" si="1">C39/C38</f>
        <v>1.9796993423113061</v>
      </c>
      <c r="D40" s="217">
        <f t="shared" si="1"/>
        <v>1.7865172297410294</v>
      </c>
      <c r="E40" s="217">
        <f t="shared" si="1"/>
        <v>1.6542012072371646</v>
      </c>
    </row>
    <row r="41" spans="1:7" ht="18" customHeight="1" thickBot="1" x14ac:dyDescent="0.3">
      <c r="A41" s="215" t="s">
        <v>79</v>
      </c>
      <c r="B41" s="218" t="s">
        <v>80</v>
      </c>
      <c r="C41" s="219">
        <f>C38/B38-1</f>
        <v>3.0000000000000027E-2</v>
      </c>
      <c r="D41" s="219">
        <f t="shared" ref="D41:E43" si="2">D38/C38-1</f>
        <v>3.0000000000000027E-2</v>
      </c>
      <c r="E41" s="219">
        <f t="shared" si="2"/>
        <v>3.0000000000000027E-2</v>
      </c>
      <c r="F41" s="220"/>
      <c r="G41" s="220"/>
    </row>
    <row r="42" spans="1:7" ht="18" customHeight="1" thickBot="1" x14ac:dyDescent="0.3">
      <c r="A42" s="215" t="s">
        <v>81</v>
      </c>
      <c r="B42" s="218" t="s">
        <v>80</v>
      </c>
      <c r="C42" s="219">
        <f>C39/B39-1</f>
        <v>-6.7363750976540127E-2</v>
      </c>
      <c r="D42" s="219">
        <f t="shared" si="2"/>
        <v>-7.0508987246052146E-2</v>
      </c>
      <c r="E42" s="219">
        <f t="shared" si="2"/>
        <v>-4.6285580071755872E-2</v>
      </c>
    </row>
    <row r="43" spans="1:7" ht="20.25" customHeight="1" thickBot="1" x14ac:dyDescent="0.3">
      <c r="A43" s="215" t="s">
        <v>82</v>
      </c>
      <c r="B43" s="218" t="s">
        <v>80</v>
      </c>
      <c r="C43" s="219">
        <f>C40/B40-1</f>
        <v>-9.4527913569456445E-2</v>
      </c>
      <c r="D43" s="219">
        <f t="shared" si="2"/>
        <v>-9.7581541015584583E-2</v>
      </c>
      <c r="E43" s="219">
        <f t="shared" si="2"/>
        <v>-7.4063669972578516E-2</v>
      </c>
    </row>
    <row r="44" spans="1:7" ht="16.5" customHeight="1" thickBot="1" x14ac:dyDescent="0.3">
      <c r="A44" s="750" t="s">
        <v>131</v>
      </c>
      <c r="B44" s="751"/>
      <c r="C44" s="751"/>
      <c r="D44" s="751"/>
      <c r="E44" s="752"/>
    </row>
    <row r="45" spans="1:7" ht="14.25" customHeight="1" x14ac:dyDescent="0.25">
      <c r="A45" s="748"/>
      <c r="B45" s="202">
        <v>2018</v>
      </c>
      <c r="C45" s="202">
        <v>2019</v>
      </c>
      <c r="D45" s="202">
        <v>2020</v>
      </c>
      <c r="E45" s="202">
        <v>2021</v>
      </c>
    </row>
    <row r="46" spans="1:7" ht="14.25" customHeight="1" thickBot="1" x14ac:dyDescent="0.3">
      <c r="A46" s="749"/>
      <c r="B46" s="203" t="s">
        <v>41</v>
      </c>
      <c r="C46" s="203" t="s">
        <v>42</v>
      </c>
      <c r="D46" s="203" t="s">
        <v>42</v>
      </c>
      <c r="E46" s="203" t="s">
        <v>42</v>
      </c>
    </row>
    <row r="47" spans="1:7" ht="24" customHeight="1" thickBot="1" x14ac:dyDescent="0.3">
      <c r="A47" s="221" t="s">
        <v>84</v>
      </c>
      <c r="B47" s="222">
        <v>850901</v>
      </c>
      <c r="C47" s="222">
        <v>822941</v>
      </c>
      <c r="D47" s="222">
        <v>822941</v>
      </c>
      <c r="E47" s="222">
        <v>822941</v>
      </c>
    </row>
    <row r="48" spans="1:7" ht="24" customHeight="1" thickBot="1" x14ac:dyDescent="0.3">
      <c r="A48" s="221" t="s">
        <v>85</v>
      </c>
      <c r="B48" s="222">
        <v>117309</v>
      </c>
      <c r="C48" s="222">
        <v>120269</v>
      </c>
      <c r="D48" s="222">
        <v>120269</v>
      </c>
      <c r="E48" s="222">
        <v>120269</v>
      </c>
    </row>
    <row r="49" spans="1:5" ht="24" customHeight="1" thickBot="1" x14ac:dyDescent="0.3">
      <c r="A49" s="221" t="s">
        <v>86</v>
      </c>
      <c r="B49" s="222">
        <v>381419</v>
      </c>
      <c r="C49" s="222">
        <v>308159</v>
      </c>
      <c r="D49" s="222">
        <v>218313</v>
      </c>
      <c r="E49" s="222">
        <v>173946</v>
      </c>
    </row>
    <row r="50" spans="1:5" ht="24" customHeight="1" thickBot="1" x14ac:dyDescent="0.3">
      <c r="A50" s="221" t="s">
        <v>87</v>
      </c>
      <c r="B50" s="222">
        <v>0</v>
      </c>
      <c r="C50" s="222">
        <v>0</v>
      </c>
      <c r="D50" s="222">
        <v>0</v>
      </c>
      <c r="E50" s="222">
        <v>0</v>
      </c>
    </row>
    <row r="51" spans="1:5" ht="24" customHeight="1" thickBot="1" x14ac:dyDescent="0.3">
      <c r="A51" s="221" t="s">
        <v>88</v>
      </c>
      <c r="B51" s="222">
        <v>0</v>
      </c>
      <c r="C51" s="222">
        <v>0</v>
      </c>
      <c r="D51" s="222">
        <v>0</v>
      </c>
      <c r="E51" s="222">
        <v>0</v>
      </c>
    </row>
    <row r="52" spans="1:5" ht="24" customHeight="1" thickBot="1" x14ac:dyDescent="0.3">
      <c r="A52" s="221" t="s">
        <v>89</v>
      </c>
      <c r="B52" s="222">
        <v>5922</v>
      </c>
      <c r="C52" s="222">
        <v>12867</v>
      </c>
      <c r="D52" s="222">
        <v>13573</v>
      </c>
      <c r="E52" s="222">
        <v>3550</v>
      </c>
    </row>
    <row r="53" spans="1:5" ht="24" customHeight="1" thickBot="1" x14ac:dyDescent="0.3">
      <c r="A53" s="221" t="s">
        <v>90</v>
      </c>
      <c r="B53" s="222"/>
      <c r="C53" s="222"/>
      <c r="D53" s="222"/>
      <c r="E53" s="222"/>
    </row>
    <row r="54" spans="1:5" ht="18" customHeight="1" thickBot="1" x14ac:dyDescent="0.3">
      <c r="A54" s="223" t="s">
        <v>91</v>
      </c>
      <c r="B54" s="222">
        <f>B53+B52+B51+B50+B49+B48+B47</f>
        <v>1355551</v>
      </c>
      <c r="C54" s="222">
        <f>C53+C52+C51+C50+C49+C48+C47</f>
        <v>1264236</v>
      </c>
      <c r="D54" s="222">
        <f>D53+D52+D51+D50+D49+D48+D47</f>
        <v>1175096</v>
      </c>
      <c r="E54" s="222">
        <f>E53+E52+E51+E50+E49+E48+E47</f>
        <v>1120706</v>
      </c>
    </row>
    <row r="55" spans="1:5" ht="17.25" customHeight="1" thickBot="1" x14ac:dyDescent="0.3">
      <c r="A55" s="207" t="s">
        <v>92</v>
      </c>
      <c r="B55" s="224">
        <f>IF(B54-B39=0,0,"Error")</f>
        <v>0</v>
      </c>
      <c r="C55" s="224">
        <f>IF(C54-C39=0,0,"Error")</f>
        <v>0</v>
      </c>
      <c r="D55" s="224">
        <f>IF(D54-D39=0,0,"Error")</f>
        <v>0</v>
      </c>
      <c r="E55" s="224">
        <f>IF(E54-E39=0,0,"Error")</f>
        <v>0</v>
      </c>
    </row>
    <row r="56" spans="1:5" ht="24" customHeight="1" thickBot="1" x14ac:dyDescent="0.3">
      <c r="A56" s="225" t="s">
        <v>93</v>
      </c>
      <c r="B56" s="756" t="s">
        <v>250</v>
      </c>
      <c r="C56" s="757"/>
      <c r="D56" s="757"/>
      <c r="E56" s="758"/>
    </row>
    <row r="57" spans="1:5" ht="31.5" customHeight="1" thickBot="1" x14ac:dyDescent="0.3">
      <c r="A57" s="215" t="s">
        <v>72</v>
      </c>
      <c r="B57" s="750" t="s">
        <v>251</v>
      </c>
      <c r="C57" s="751"/>
      <c r="D57" s="751"/>
      <c r="E57" s="752"/>
    </row>
    <row r="58" spans="1:5" ht="16.5" customHeight="1" thickBot="1" x14ac:dyDescent="0.3">
      <c r="A58" s="215" t="s">
        <v>74</v>
      </c>
      <c r="B58" s="750" t="s">
        <v>252</v>
      </c>
      <c r="C58" s="751"/>
      <c r="D58" s="751"/>
      <c r="E58" s="752"/>
    </row>
    <row r="59" spans="1:5" ht="21" customHeight="1" thickBot="1" x14ac:dyDescent="0.3">
      <c r="A59" s="215" t="s">
        <v>76</v>
      </c>
      <c r="B59" s="217">
        <v>13</v>
      </c>
      <c r="C59" s="217"/>
      <c r="D59" s="217"/>
      <c r="E59" s="217"/>
    </row>
    <row r="60" spans="1:5" ht="18.75" customHeight="1" x14ac:dyDescent="0.25">
      <c r="A60" s="748"/>
      <c r="B60" s="202">
        <v>2018</v>
      </c>
      <c r="C60" s="202">
        <v>2019</v>
      </c>
      <c r="D60" s="202">
        <v>2020</v>
      </c>
      <c r="E60" s="202">
        <v>2021</v>
      </c>
    </row>
    <row r="61" spans="1:5" ht="15" customHeight="1" thickBot="1" x14ac:dyDescent="0.3">
      <c r="A61" s="749"/>
      <c r="B61" s="203" t="s">
        <v>41</v>
      </c>
      <c r="C61" s="203" t="s">
        <v>42</v>
      </c>
      <c r="D61" s="203" t="s">
        <v>42</v>
      </c>
      <c r="E61" s="203" t="s">
        <v>42</v>
      </c>
    </row>
    <row r="62" spans="1:5" ht="18.75" customHeight="1" thickBot="1" x14ac:dyDescent="0.3">
      <c r="A62" s="215" t="s">
        <v>77</v>
      </c>
      <c r="B62" s="217">
        <v>25064</v>
      </c>
      <c r="C62" s="217">
        <v>0</v>
      </c>
      <c r="D62" s="217">
        <v>0</v>
      </c>
      <c r="E62" s="217">
        <v>0</v>
      </c>
    </row>
    <row r="63" spans="1:5" ht="18.75" customHeight="1" thickBot="1" x14ac:dyDescent="0.3">
      <c r="A63" s="215" t="s">
        <v>78</v>
      </c>
      <c r="B63" s="217">
        <f>B62/B59</f>
        <v>1928</v>
      </c>
      <c r="C63" s="217">
        <v>0</v>
      </c>
      <c r="D63" s="217">
        <v>0</v>
      </c>
      <c r="E63" s="217">
        <v>0</v>
      </c>
    </row>
    <row r="64" spans="1:5" ht="18.75" customHeight="1" thickBot="1" x14ac:dyDescent="0.3">
      <c r="A64" s="215" t="s">
        <v>79</v>
      </c>
      <c r="B64" s="218"/>
      <c r="C64" s="217">
        <v>0</v>
      </c>
      <c r="D64" s="217">
        <v>0</v>
      </c>
      <c r="E64" s="217">
        <v>0</v>
      </c>
    </row>
    <row r="65" spans="1:5" ht="18.75" customHeight="1" thickBot="1" x14ac:dyDescent="0.3">
      <c r="A65" s="215" t="s">
        <v>81</v>
      </c>
      <c r="B65" s="218"/>
      <c r="C65" s="217">
        <v>0</v>
      </c>
      <c r="D65" s="217">
        <v>0</v>
      </c>
      <c r="E65" s="217">
        <v>0</v>
      </c>
    </row>
    <row r="66" spans="1:5" ht="24" customHeight="1" thickBot="1" x14ac:dyDescent="0.3">
      <c r="A66" s="215" t="s">
        <v>82</v>
      </c>
      <c r="B66" s="218"/>
      <c r="C66" s="217">
        <v>0</v>
      </c>
      <c r="D66" s="217">
        <v>0</v>
      </c>
      <c r="E66" s="217">
        <v>0</v>
      </c>
    </row>
    <row r="67" spans="1:5" ht="24" customHeight="1" thickBot="1" x14ac:dyDescent="0.3">
      <c r="A67" s="750" t="s">
        <v>132</v>
      </c>
      <c r="B67" s="751"/>
      <c r="C67" s="751"/>
      <c r="D67" s="751"/>
      <c r="E67" s="752"/>
    </row>
    <row r="68" spans="1:5" ht="12" customHeight="1" x14ac:dyDescent="0.25">
      <c r="A68" s="748"/>
      <c r="B68" s="202">
        <v>2018</v>
      </c>
      <c r="C68" s="202">
        <v>2019</v>
      </c>
      <c r="D68" s="202">
        <v>2020</v>
      </c>
      <c r="E68" s="202">
        <v>2021</v>
      </c>
    </row>
    <row r="69" spans="1:5" ht="12" customHeight="1" thickBot="1" x14ac:dyDescent="0.3">
      <c r="A69" s="749"/>
      <c r="B69" s="203" t="s">
        <v>41</v>
      </c>
      <c r="C69" s="203" t="s">
        <v>42</v>
      </c>
      <c r="D69" s="203" t="s">
        <v>42</v>
      </c>
      <c r="E69" s="203" t="s">
        <v>42</v>
      </c>
    </row>
    <row r="70" spans="1:5" ht="12" customHeight="1" thickBot="1" x14ac:dyDescent="0.3">
      <c r="A70" s="221" t="s">
        <v>84</v>
      </c>
      <c r="B70" s="224">
        <v>0</v>
      </c>
      <c r="C70" s="224">
        <v>0</v>
      </c>
      <c r="D70" s="224">
        <v>0</v>
      </c>
      <c r="E70" s="224">
        <v>0</v>
      </c>
    </row>
    <row r="71" spans="1:5" ht="12" customHeight="1" thickBot="1" x14ac:dyDescent="0.3">
      <c r="A71" s="221" t="s">
        <v>85</v>
      </c>
      <c r="B71" s="224">
        <v>0</v>
      </c>
      <c r="C71" s="224">
        <v>0</v>
      </c>
      <c r="D71" s="224">
        <v>0</v>
      </c>
      <c r="E71" s="224">
        <v>0</v>
      </c>
    </row>
    <row r="72" spans="1:5" ht="12" customHeight="1" thickBot="1" x14ac:dyDescent="0.3">
      <c r="A72" s="221" t="s">
        <v>86</v>
      </c>
      <c r="B72" s="224">
        <v>25064</v>
      </c>
      <c r="C72" s="224">
        <v>0</v>
      </c>
      <c r="D72" s="224">
        <v>0</v>
      </c>
      <c r="E72" s="224">
        <v>0</v>
      </c>
    </row>
    <row r="73" spans="1:5" ht="12" customHeight="1" thickBot="1" x14ac:dyDescent="0.3">
      <c r="A73" s="221" t="s">
        <v>87</v>
      </c>
      <c r="B73" s="226">
        <v>0</v>
      </c>
      <c r="C73" s="224">
        <v>0</v>
      </c>
      <c r="D73" s="224">
        <v>0</v>
      </c>
      <c r="E73" s="224">
        <v>0</v>
      </c>
    </row>
    <row r="74" spans="1:5" ht="12" customHeight="1" thickBot="1" x14ac:dyDescent="0.3">
      <c r="A74" s="221" t="s">
        <v>88</v>
      </c>
      <c r="B74" s="226">
        <v>0</v>
      </c>
      <c r="C74" s="224">
        <v>0</v>
      </c>
      <c r="D74" s="224">
        <v>0</v>
      </c>
      <c r="E74" s="224">
        <v>0</v>
      </c>
    </row>
    <row r="75" spans="1:5" ht="12" customHeight="1" thickBot="1" x14ac:dyDescent="0.3">
      <c r="A75" s="221" t="s">
        <v>89</v>
      </c>
      <c r="B75" s="226">
        <v>0</v>
      </c>
      <c r="C75" s="224">
        <v>0</v>
      </c>
      <c r="D75" s="224">
        <v>0</v>
      </c>
      <c r="E75" s="224">
        <v>0</v>
      </c>
    </row>
    <row r="76" spans="1:5" ht="12" customHeight="1" thickBot="1" x14ac:dyDescent="0.3">
      <c r="A76" s="227" t="s">
        <v>90</v>
      </c>
      <c r="B76" s="226">
        <v>0</v>
      </c>
      <c r="C76" s="224">
        <v>0</v>
      </c>
      <c r="D76" s="224">
        <v>0</v>
      </c>
      <c r="E76" s="224">
        <v>0</v>
      </c>
    </row>
    <row r="77" spans="1:5" ht="12" customHeight="1" thickBot="1" x14ac:dyDescent="0.3">
      <c r="A77" s="228" t="s">
        <v>98</v>
      </c>
      <c r="B77" s="224">
        <f>B76+B75+B74+B73+B72+B71+B70</f>
        <v>25064</v>
      </c>
      <c r="C77" s="226">
        <f>C76+C75+C74+C73+C72+C71+C70</f>
        <v>0</v>
      </c>
      <c r="D77" s="226">
        <f>D76+D75+D74+D73+D72+D71+D70</f>
        <v>0</v>
      </c>
      <c r="E77" s="226">
        <f>E76+E75+E74+E73+E72+E71+E70</f>
        <v>0</v>
      </c>
    </row>
    <row r="78" spans="1:5" ht="12" customHeight="1" thickBot="1" x14ac:dyDescent="0.3">
      <c r="A78" s="207" t="s">
        <v>92</v>
      </c>
      <c r="B78" s="224">
        <f>IF(B77-B62=0,0,"Error")</f>
        <v>0</v>
      </c>
      <c r="C78" s="224">
        <f>IF(C77-C62=0,0,"Error")</f>
        <v>0</v>
      </c>
      <c r="D78" s="224">
        <f>IF(D77-D62=0,0,"Error")</f>
        <v>0</v>
      </c>
      <c r="E78" s="224">
        <f>IF(E77-E62=0,0,"Error")</f>
        <v>0</v>
      </c>
    </row>
    <row r="79" spans="1:5" ht="12" customHeight="1" thickBot="1" x14ac:dyDescent="0.3">
      <c r="A79" s="753" t="s">
        <v>104</v>
      </c>
      <c r="B79" s="754"/>
      <c r="C79" s="754"/>
      <c r="D79" s="754"/>
      <c r="E79" s="755"/>
    </row>
    <row r="80" spans="1:5" ht="12" customHeight="1" thickBot="1" x14ac:dyDescent="0.3">
      <c r="A80" s="753" t="s">
        <v>105</v>
      </c>
      <c r="B80" s="754"/>
      <c r="C80" s="754"/>
      <c r="D80" s="754"/>
      <c r="E80" s="755"/>
    </row>
    <row r="81" spans="1:7" ht="12" customHeight="1" thickBot="1" x14ac:dyDescent="0.3">
      <c r="A81" s="215" t="s">
        <v>106</v>
      </c>
      <c r="B81" s="765" t="s">
        <v>253</v>
      </c>
      <c r="C81" s="766"/>
      <c r="D81" s="766"/>
      <c r="E81" s="767"/>
    </row>
    <row r="82" spans="1:7" ht="12" customHeight="1" thickBot="1" x14ac:dyDescent="0.3">
      <c r="A82" s="215" t="s">
        <v>99</v>
      </c>
      <c r="B82" s="765" t="s">
        <v>254</v>
      </c>
      <c r="C82" s="766"/>
      <c r="D82" s="766"/>
      <c r="E82" s="767"/>
    </row>
    <row r="83" spans="1:7" ht="12" customHeight="1" thickBot="1" x14ac:dyDescent="0.3">
      <c r="A83" s="215" t="s">
        <v>72</v>
      </c>
      <c r="B83" s="756" t="s">
        <v>255</v>
      </c>
      <c r="C83" s="757"/>
      <c r="D83" s="757"/>
      <c r="E83" s="758"/>
    </row>
    <row r="84" spans="1:7" ht="12" customHeight="1" thickBot="1" x14ac:dyDescent="0.3">
      <c r="A84" s="215" t="s">
        <v>74</v>
      </c>
      <c r="B84" s="756" t="s">
        <v>256</v>
      </c>
      <c r="C84" s="757"/>
      <c r="D84" s="757"/>
      <c r="E84" s="758"/>
    </row>
    <row r="85" spans="1:7" ht="12" customHeight="1" x14ac:dyDescent="0.25">
      <c r="A85" s="748"/>
      <c r="B85" s="202">
        <v>2018</v>
      </c>
      <c r="C85" s="202">
        <v>2019</v>
      </c>
      <c r="D85" s="202">
        <v>2020</v>
      </c>
      <c r="E85" s="202">
        <v>2021</v>
      </c>
    </row>
    <row r="86" spans="1:7" ht="12" customHeight="1" thickBot="1" x14ac:dyDescent="0.3">
      <c r="A86" s="749"/>
      <c r="B86" s="203" t="s">
        <v>41</v>
      </c>
      <c r="C86" s="203" t="s">
        <v>42</v>
      </c>
      <c r="D86" s="203" t="s">
        <v>42</v>
      </c>
      <c r="E86" s="203" t="s">
        <v>42</v>
      </c>
    </row>
    <row r="87" spans="1:7" ht="12" customHeight="1" thickBot="1" x14ac:dyDescent="0.3">
      <c r="A87" s="215" t="s">
        <v>76</v>
      </c>
      <c r="B87" s="217">
        <f>376+127</f>
        <v>503</v>
      </c>
      <c r="C87" s="217">
        <v>0</v>
      </c>
      <c r="D87" s="217">
        <v>208</v>
      </c>
      <c r="E87" s="217">
        <v>208</v>
      </c>
    </row>
    <row r="88" spans="1:7" ht="12" customHeight="1" thickBot="1" x14ac:dyDescent="0.3">
      <c r="A88" s="215" t="s">
        <v>77</v>
      </c>
      <c r="B88" s="217">
        <v>88934</v>
      </c>
      <c r="C88" s="217">
        <v>0</v>
      </c>
      <c r="D88" s="217">
        <v>15000</v>
      </c>
      <c r="E88" s="217">
        <v>15000</v>
      </c>
    </row>
    <row r="89" spans="1:7" ht="12" customHeight="1" thickBot="1" x14ac:dyDescent="0.3">
      <c r="A89" s="215" t="s">
        <v>78</v>
      </c>
      <c r="B89" s="217">
        <f>B88/B87</f>
        <v>176.80715705765408</v>
      </c>
      <c r="C89" s="217">
        <v>0</v>
      </c>
      <c r="D89" s="217">
        <f t="shared" ref="D89:E89" si="3">D88/D87</f>
        <v>72.115384615384613</v>
      </c>
      <c r="E89" s="217">
        <f t="shared" si="3"/>
        <v>72.115384615384613</v>
      </c>
    </row>
    <row r="90" spans="1:7" ht="12" customHeight="1" thickBot="1" x14ac:dyDescent="0.3">
      <c r="A90" s="215" t="s">
        <v>79</v>
      </c>
      <c r="B90" s="218" t="s">
        <v>80</v>
      </c>
      <c r="C90" s="218" t="s">
        <v>80</v>
      </c>
      <c r="D90" s="218" t="s">
        <v>80</v>
      </c>
      <c r="E90" s="219">
        <f t="shared" ref="E90:E92" si="4">E87/D87-1</f>
        <v>0</v>
      </c>
      <c r="F90" s="220"/>
      <c r="G90" s="220"/>
    </row>
    <row r="91" spans="1:7" ht="12" customHeight="1" thickBot="1" x14ac:dyDescent="0.3">
      <c r="A91" s="215" t="s">
        <v>81</v>
      </c>
      <c r="B91" s="218" t="s">
        <v>80</v>
      </c>
      <c r="C91" s="218" t="s">
        <v>80</v>
      </c>
      <c r="D91" s="218" t="s">
        <v>80</v>
      </c>
      <c r="E91" s="219">
        <f t="shared" si="4"/>
        <v>0</v>
      </c>
    </row>
    <row r="92" spans="1:7" ht="12" customHeight="1" thickBot="1" x14ac:dyDescent="0.3">
      <c r="A92" s="215" t="s">
        <v>82</v>
      </c>
      <c r="B92" s="218" t="s">
        <v>80</v>
      </c>
      <c r="C92" s="218" t="s">
        <v>80</v>
      </c>
      <c r="D92" s="218" t="s">
        <v>80</v>
      </c>
      <c r="E92" s="219">
        <f t="shared" si="4"/>
        <v>0</v>
      </c>
    </row>
    <row r="93" spans="1:7" ht="12" customHeight="1" thickBot="1" x14ac:dyDescent="0.3">
      <c r="A93" s="750" t="s">
        <v>133</v>
      </c>
      <c r="B93" s="751"/>
      <c r="C93" s="751"/>
      <c r="D93" s="751"/>
      <c r="E93" s="752"/>
    </row>
    <row r="94" spans="1:7" ht="12" customHeight="1" x14ac:dyDescent="0.25">
      <c r="A94" s="748"/>
      <c r="B94" s="202">
        <v>2018</v>
      </c>
      <c r="C94" s="202">
        <v>2019</v>
      </c>
      <c r="D94" s="202">
        <v>2020</v>
      </c>
      <c r="E94" s="202">
        <v>2021</v>
      </c>
    </row>
    <row r="95" spans="1:7" ht="12" customHeight="1" thickBot="1" x14ac:dyDescent="0.3">
      <c r="A95" s="749"/>
      <c r="B95" s="203" t="s">
        <v>41</v>
      </c>
      <c r="C95" s="203" t="s">
        <v>42</v>
      </c>
      <c r="D95" s="203" t="s">
        <v>42</v>
      </c>
      <c r="E95" s="203" t="s">
        <v>42</v>
      </c>
    </row>
    <row r="96" spans="1:7" ht="12" customHeight="1" thickBot="1" x14ac:dyDescent="0.3">
      <c r="A96" s="221" t="s">
        <v>169</v>
      </c>
      <c r="B96" s="224">
        <v>0</v>
      </c>
      <c r="C96" s="224">
        <v>0</v>
      </c>
      <c r="D96" s="224">
        <v>0</v>
      </c>
      <c r="E96" s="224">
        <v>0</v>
      </c>
    </row>
    <row r="97" spans="1:7" ht="12" customHeight="1" thickBot="1" x14ac:dyDescent="0.3">
      <c r="A97" s="221" t="s">
        <v>112</v>
      </c>
      <c r="B97" s="226">
        <v>88934</v>
      </c>
      <c r="C97" s="224">
        <v>0</v>
      </c>
      <c r="D97" s="224">
        <v>15000</v>
      </c>
      <c r="E97" s="224">
        <v>15000</v>
      </c>
    </row>
    <row r="98" spans="1:7" ht="12" customHeight="1" thickBot="1" x14ac:dyDescent="0.3">
      <c r="A98" s="223" t="s">
        <v>103</v>
      </c>
      <c r="B98" s="226">
        <f>B97+B96</f>
        <v>88934</v>
      </c>
      <c r="C98" s="226">
        <f t="shared" ref="C98:E98" si="5">C97+C96</f>
        <v>0</v>
      </c>
      <c r="D98" s="226">
        <f t="shared" si="5"/>
        <v>15000</v>
      </c>
      <c r="E98" s="226">
        <f t="shared" si="5"/>
        <v>15000</v>
      </c>
    </row>
    <row r="99" spans="1:7" ht="12" customHeight="1" thickBot="1" x14ac:dyDescent="0.3">
      <c r="A99" s="229" t="s">
        <v>257</v>
      </c>
      <c r="B99" s="766" t="s">
        <v>258</v>
      </c>
      <c r="C99" s="766"/>
      <c r="D99" s="766"/>
      <c r="E99" s="767"/>
    </row>
    <row r="100" spans="1:7" ht="12" customHeight="1" thickBot="1" x14ac:dyDescent="0.3">
      <c r="A100" s="215" t="s">
        <v>115</v>
      </c>
      <c r="B100" s="756" t="s">
        <v>259</v>
      </c>
      <c r="C100" s="757"/>
      <c r="D100" s="757"/>
      <c r="E100" s="758"/>
    </row>
    <row r="101" spans="1:7" ht="12" customHeight="1" thickBot="1" x14ac:dyDescent="0.3">
      <c r="A101" s="215" t="s">
        <v>72</v>
      </c>
      <c r="B101" s="750" t="s">
        <v>260</v>
      </c>
      <c r="C101" s="751"/>
      <c r="D101" s="751"/>
      <c r="E101" s="752"/>
    </row>
    <row r="102" spans="1:7" ht="12" customHeight="1" thickBot="1" x14ac:dyDescent="0.3">
      <c r="A102" s="215" t="s">
        <v>74</v>
      </c>
      <c r="B102" s="756" t="s">
        <v>261</v>
      </c>
      <c r="C102" s="757"/>
      <c r="D102" s="757"/>
      <c r="E102" s="758"/>
    </row>
    <row r="103" spans="1:7" ht="12" customHeight="1" x14ac:dyDescent="0.25">
      <c r="A103" s="748"/>
      <c r="B103" s="202">
        <v>2018</v>
      </c>
      <c r="C103" s="202">
        <v>2019</v>
      </c>
      <c r="D103" s="202">
        <v>2020</v>
      </c>
      <c r="E103" s="202">
        <v>2021</v>
      </c>
    </row>
    <row r="104" spans="1:7" ht="12" customHeight="1" thickBot="1" x14ac:dyDescent="0.3">
      <c r="A104" s="749"/>
      <c r="B104" s="203" t="s">
        <v>41</v>
      </c>
      <c r="C104" s="203" t="s">
        <v>42</v>
      </c>
      <c r="D104" s="203" t="s">
        <v>42</v>
      </c>
      <c r="E104" s="203" t="s">
        <v>42</v>
      </c>
    </row>
    <row r="105" spans="1:7" ht="12" customHeight="1" thickBot="1" x14ac:dyDescent="0.3">
      <c r="A105" s="215" t="s">
        <v>76</v>
      </c>
      <c r="B105" s="217">
        <v>8</v>
      </c>
      <c r="C105" s="217">
        <v>8</v>
      </c>
      <c r="D105" s="217">
        <v>0</v>
      </c>
      <c r="E105" s="217">
        <v>500</v>
      </c>
    </row>
    <row r="106" spans="1:7" ht="12" customHeight="1" thickBot="1" x14ac:dyDescent="0.3">
      <c r="A106" s="215" t="s">
        <v>77</v>
      </c>
      <c r="B106" s="217">
        <f>31085-280</f>
        <v>30805</v>
      </c>
      <c r="C106" s="217">
        <v>400</v>
      </c>
      <c r="D106" s="217">
        <v>0</v>
      </c>
      <c r="E106" s="217">
        <v>30195</v>
      </c>
    </row>
    <row r="107" spans="1:7" ht="12" customHeight="1" thickBot="1" x14ac:dyDescent="0.3">
      <c r="A107" s="215" t="s">
        <v>78</v>
      </c>
      <c r="B107" s="217">
        <f>B106/B105</f>
        <v>3850.625</v>
      </c>
      <c r="C107" s="217">
        <v>0</v>
      </c>
      <c r="D107" s="217">
        <v>0</v>
      </c>
      <c r="E107" s="217">
        <f t="shared" ref="E107" si="6">E106/E105</f>
        <v>60.39</v>
      </c>
    </row>
    <row r="108" spans="1:7" ht="12" customHeight="1" thickBot="1" x14ac:dyDescent="0.3">
      <c r="A108" s="215" t="s">
        <v>79</v>
      </c>
      <c r="B108" s="218" t="s">
        <v>80</v>
      </c>
      <c r="C108" s="217">
        <v>0</v>
      </c>
      <c r="D108" s="217">
        <v>0</v>
      </c>
      <c r="E108" s="217">
        <v>0</v>
      </c>
      <c r="F108" s="220"/>
      <c r="G108" s="220"/>
    </row>
    <row r="109" spans="1:7" ht="12" customHeight="1" thickBot="1" x14ac:dyDescent="0.3">
      <c r="A109" s="215" t="s">
        <v>81</v>
      </c>
      <c r="B109" s="218" t="s">
        <v>80</v>
      </c>
      <c r="C109" s="217">
        <v>0</v>
      </c>
      <c r="D109" s="217">
        <v>0</v>
      </c>
      <c r="E109" s="217">
        <v>0</v>
      </c>
    </row>
    <row r="110" spans="1:7" ht="12" customHeight="1" thickBot="1" x14ac:dyDescent="0.3">
      <c r="A110" s="215" t="s">
        <v>82</v>
      </c>
      <c r="B110" s="218" t="s">
        <v>80</v>
      </c>
      <c r="C110" s="217">
        <v>0</v>
      </c>
      <c r="D110" s="217">
        <v>0</v>
      </c>
      <c r="E110" s="217">
        <v>0</v>
      </c>
    </row>
    <row r="111" spans="1:7" ht="12" customHeight="1" thickBot="1" x14ac:dyDescent="0.3">
      <c r="A111" s="750" t="s">
        <v>134</v>
      </c>
      <c r="B111" s="751"/>
      <c r="C111" s="751"/>
      <c r="D111" s="751"/>
      <c r="E111" s="752"/>
    </row>
    <row r="112" spans="1:7" ht="12" customHeight="1" x14ac:dyDescent="0.25">
      <c r="A112" s="748"/>
      <c r="B112" s="202">
        <v>2018</v>
      </c>
      <c r="C112" s="202">
        <v>2019</v>
      </c>
      <c r="D112" s="202">
        <v>2020</v>
      </c>
      <c r="E112" s="202">
        <v>2021</v>
      </c>
    </row>
    <row r="113" spans="1:7" ht="12" customHeight="1" thickBot="1" x14ac:dyDescent="0.3">
      <c r="A113" s="749"/>
      <c r="B113" s="203" t="s">
        <v>41</v>
      </c>
      <c r="C113" s="203" t="s">
        <v>42</v>
      </c>
      <c r="D113" s="203" t="s">
        <v>42</v>
      </c>
      <c r="E113" s="203" t="s">
        <v>42</v>
      </c>
    </row>
    <row r="114" spans="1:7" ht="12" customHeight="1" thickBot="1" x14ac:dyDescent="0.3">
      <c r="A114" s="221" t="s">
        <v>169</v>
      </c>
      <c r="B114" s="224">
        <v>0</v>
      </c>
      <c r="C114" s="224">
        <v>0</v>
      </c>
      <c r="D114" s="224">
        <v>0</v>
      </c>
      <c r="E114" s="224">
        <v>0</v>
      </c>
    </row>
    <row r="115" spans="1:7" ht="12" customHeight="1" thickBot="1" x14ac:dyDescent="0.3">
      <c r="A115" s="227" t="s">
        <v>112</v>
      </c>
      <c r="B115" s="226">
        <v>30805</v>
      </c>
      <c r="C115" s="224">
        <v>400</v>
      </c>
      <c r="D115" s="224">
        <v>0</v>
      </c>
      <c r="E115" s="224">
        <v>30195</v>
      </c>
    </row>
    <row r="116" spans="1:7" ht="12" customHeight="1" thickBot="1" x14ac:dyDescent="0.3">
      <c r="A116" s="230" t="s">
        <v>262</v>
      </c>
      <c r="B116" s="226">
        <f>B115+B114</f>
        <v>30805</v>
      </c>
      <c r="C116" s="226">
        <f t="shared" ref="C116:E116" si="7">C115+C114</f>
        <v>400</v>
      </c>
      <c r="D116" s="226">
        <v>0</v>
      </c>
      <c r="E116" s="226">
        <f t="shared" si="7"/>
        <v>30195</v>
      </c>
    </row>
    <row r="117" spans="1:7" ht="15" customHeight="1" thickBot="1" x14ac:dyDescent="0.3">
      <c r="A117" s="215" t="s">
        <v>257</v>
      </c>
      <c r="B117" s="765" t="s">
        <v>263</v>
      </c>
      <c r="C117" s="766"/>
      <c r="D117" s="766"/>
      <c r="E117" s="767"/>
    </row>
    <row r="118" spans="1:7" ht="12" customHeight="1" thickBot="1" x14ac:dyDescent="0.3">
      <c r="A118" s="215" t="s">
        <v>264</v>
      </c>
      <c r="B118" s="756" t="s">
        <v>263</v>
      </c>
      <c r="C118" s="757"/>
      <c r="D118" s="757"/>
      <c r="E118" s="758"/>
    </row>
    <row r="119" spans="1:7" ht="30" customHeight="1" thickBot="1" x14ac:dyDescent="0.3">
      <c r="A119" s="215" t="s">
        <v>72</v>
      </c>
      <c r="B119" s="750" t="s">
        <v>654</v>
      </c>
      <c r="C119" s="751"/>
      <c r="D119" s="751"/>
      <c r="E119" s="752"/>
    </row>
    <row r="120" spans="1:7" ht="12" customHeight="1" thickBot="1" x14ac:dyDescent="0.3">
      <c r="A120" s="215" t="s">
        <v>74</v>
      </c>
      <c r="B120" s="756" t="s">
        <v>261</v>
      </c>
      <c r="C120" s="757"/>
      <c r="D120" s="757"/>
      <c r="E120" s="758"/>
    </row>
    <row r="121" spans="1:7" ht="12" customHeight="1" x14ac:dyDescent="0.25">
      <c r="A121" s="748"/>
      <c r="B121" s="202">
        <v>2018</v>
      </c>
      <c r="C121" s="202">
        <v>2019</v>
      </c>
      <c r="D121" s="202">
        <v>2020</v>
      </c>
      <c r="E121" s="202">
        <v>2021</v>
      </c>
    </row>
    <row r="122" spans="1:7" ht="12" customHeight="1" thickBot="1" x14ac:dyDescent="0.3">
      <c r="A122" s="749"/>
      <c r="B122" s="203" t="s">
        <v>41</v>
      </c>
      <c r="C122" s="203" t="s">
        <v>42</v>
      </c>
      <c r="D122" s="203" t="s">
        <v>42</v>
      </c>
      <c r="E122" s="203" t="s">
        <v>42</v>
      </c>
    </row>
    <row r="123" spans="1:7" ht="12" customHeight="1" thickBot="1" x14ac:dyDescent="0.3">
      <c r="A123" s="215" t="s">
        <v>76</v>
      </c>
      <c r="B123" s="217">
        <f>11</f>
        <v>11</v>
      </c>
      <c r="C123" s="217">
        <v>4</v>
      </c>
      <c r="D123" s="217">
        <v>2</v>
      </c>
      <c r="E123" s="217">
        <v>9</v>
      </c>
    </row>
    <row r="124" spans="1:7" ht="12" customHeight="1" thickBot="1" x14ac:dyDescent="0.3">
      <c r="A124" s="215" t="s">
        <v>77</v>
      </c>
      <c r="B124" s="217">
        <f>67300-28070</f>
        <v>39230</v>
      </c>
      <c r="C124" s="217">
        <v>30500</v>
      </c>
      <c r="D124" s="217">
        <v>12000</v>
      </c>
      <c r="E124" s="217">
        <v>44536</v>
      </c>
    </row>
    <row r="125" spans="1:7" ht="12" customHeight="1" thickBot="1" x14ac:dyDescent="0.3">
      <c r="A125" s="215" t="s">
        <v>78</v>
      </c>
      <c r="B125" s="217">
        <f>B124/B123</f>
        <v>3566.3636363636365</v>
      </c>
      <c r="C125" s="217">
        <f t="shared" ref="C125:E125" si="8">C124/C123</f>
        <v>7625</v>
      </c>
      <c r="D125" s="217">
        <f t="shared" si="8"/>
        <v>6000</v>
      </c>
      <c r="E125" s="217">
        <f t="shared" si="8"/>
        <v>4948.4444444444443</v>
      </c>
    </row>
    <row r="126" spans="1:7" ht="12" customHeight="1" thickBot="1" x14ac:dyDescent="0.3">
      <c r="A126" s="215" t="s">
        <v>79</v>
      </c>
      <c r="B126" s="218" t="s">
        <v>80</v>
      </c>
      <c r="C126" s="217">
        <v>0</v>
      </c>
      <c r="D126" s="219">
        <f>D123/B123-1</f>
        <v>-0.81818181818181812</v>
      </c>
      <c r="E126" s="219">
        <f t="shared" ref="E126:E128" si="9">E123/D123-1</f>
        <v>3.5</v>
      </c>
      <c r="F126" s="220"/>
      <c r="G126" s="220"/>
    </row>
    <row r="127" spans="1:7" ht="12" customHeight="1" thickBot="1" x14ac:dyDescent="0.3">
      <c r="A127" s="215" t="s">
        <v>81</v>
      </c>
      <c r="B127" s="218" t="s">
        <v>80</v>
      </c>
      <c r="C127" s="217">
        <v>0</v>
      </c>
      <c r="D127" s="219">
        <f t="shared" ref="D127:D128" si="10">D124/B124-1</f>
        <v>-0.69411164924802449</v>
      </c>
      <c r="E127" s="219">
        <f t="shared" si="9"/>
        <v>2.7113333333333332</v>
      </c>
    </row>
    <row r="128" spans="1:7" ht="12" customHeight="1" thickBot="1" x14ac:dyDescent="0.3">
      <c r="A128" s="215" t="s">
        <v>82</v>
      </c>
      <c r="B128" s="218" t="s">
        <v>80</v>
      </c>
      <c r="C128" s="217">
        <v>0</v>
      </c>
      <c r="D128" s="219">
        <f t="shared" si="10"/>
        <v>0.68238592913586538</v>
      </c>
      <c r="E128" s="219">
        <f t="shared" si="9"/>
        <v>-0.17525925925925923</v>
      </c>
    </row>
    <row r="129" spans="1:5" ht="24" customHeight="1" thickBot="1" x14ac:dyDescent="0.3">
      <c r="A129" s="750" t="s">
        <v>265</v>
      </c>
      <c r="B129" s="751"/>
      <c r="C129" s="751"/>
      <c r="D129" s="751"/>
      <c r="E129" s="752"/>
    </row>
    <row r="130" spans="1:5" ht="12.75" customHeight="1" x14ac:dyDescent="0.25">
      <c r="A130" s="748"/>
      <c r="B130" s="202">
        <v>2018</v>
      </c>
      <c r="C130" s="202">
        <v>2019</v>
      </c>
      <c r="D130" s="202">
        <v>2020</v>
      </c>
      <c r="E130" s="202">
        <v>2021</v>
      </c>
    </row>
    <row r="131" spans="1:5" ht="12.75" customHeight="1" thickBot="1" x14ac:dyDescent="0.3">
      <c r="A131" s="749"/>
      <c r="B131" s="203" t="s">
        <v>41</v>
      </c>
      <c r="C131" s="203" t="s">
        <v>42</v>
      </c>
      <c r="D131" s="203" t="s">
        <v>42</v>
      </c>
      <c r="E131" s="203" t="s">
        <v>42</v>
      </c>
    </row>
    <row r="132" spans="1:5" ht="12.75" customHeight="1" thickBot="1" x14ac:dyDescent="0.3">
      <c r="A132" s="221" t="s">
        <v>169</v>
      </c>
      <c r="B132" s="224">
        <v>0</v>
      </c>
      <c r="C132" s="224">
        <v>0</v>
      </c>
      <c r="D132" s="224">
        <v>0</v>
      </c>
      <c r="E132" s="224">
        <v>0</v>
      </c>
    </row>
    <row r="133" spans="1:5" ht="12.75" customHeight="1" thickBot="1" x14ac:dyDescent="0.3">
      <c r="A133" s="221" t="s">
        <v>112</v>
      </c>
      <c r="B133" s="226">
        <v>39230</v>
      </c>
      <c r="C133" s="224">
        <v>30500</v>
      </c>
      <c r="D133" s="224">
        <v>12000</v>
      </c>
      <c r="E133" s="224">
        <v>44536</v>
      </c>
    </row>
    <row r="134" spans="1:5" ht="12.75" customHeight="1" thickBot="1" x14ac:dyDescent="0.3">
      <c r="A134" s="223" t="s">
        <v>266</v>
      </c>
      <c r="B134" s="226">
        <f>B133+B132</f>
        <v>39230</v>
      </c>
      <c r="C134" s="226">
        <f t="shared" ref="C134:E134" si="11">C133+C132</f>
        <v>30500</v>
      </c>
      <c r="D134" s="226">
        <f t="shared" si="11"/>
        <v>12000</v>
      </c>
      <c r="E134" s="226">
        <f t="shared" si="11"/>
        <v>44536</v>
      </c>
    </row>
    <row r="135" spans="1:5" ht="12.75" customHeight="1" thickBot="1" x14ac:dyDescent="0.3">
      <c r="A135" s="753" t="s">
        <v>104</v>
      </c>
      <c r="B135" s="754"/>
      <c r="C135" s="754"/>
      <c r="D135" s="754"/>
      <c r="E135" s="755"/>
    </row>
    <row r="136" spans="1:5" ht="12.75" customHeight="1" thickBot="1" x14ac:dyDescent="0.3">
      <c r="A136" s="753" t="s">
        <v>170</v>
      </c>
      <c r="B136" s="754"/>
      <c r="C136" s="754"/>
      <c r="D136" s="754"/>
      <c r="E136" s="755"/>
    </row>
    <row r="137" spans="1:5" ht="24.75" customHeight="1" thickBot="1" x14ac:dyDescent="0.3">
      <c r="A137" s="215" t="s">
        <v>257</v>
      </c>
      <c r="B137" s="768" t="s">
        <v>267</v>
      </c>
      <c r="C137" s="769"/>
      <c r="D137" s="769"/>
      <c r="E137" s="770"/>
    </row>
    <row r="138" spans="1:5" ht="12.75" customHeight="1" thickBot="1" x14ac:dyDescent="0.3">
      <c r="A138" s="215" t="s">
        <v>268</v>
      </c>
      <c r="B138" s="756" t="s">
        <v>269</v>
      </c>
      <c r="C138" s="757"/>
      <c r="D138" s="757"/>
      <c r="E138" s="758"/>
    </row>
    <row r="139" spans="1:5" ht="12.75" customHeight="1" thickBot="1" x14ac:dyDescent="0.3">
      <c r="A139" s="215" t="s">
        <v>72</v>
      </c>
      <c r="B139" s="756" t="s">
        <v>269</v>
      </c>
      <c r="C139" s="757"/>
      <c r="D139" s="757"/>
      <c r="E139" s="758"/>
    </row>
    <row r="140" spans="1:5" ht="12.75" customHeight="1" thickBot="1" x14ac:dyDescent="0.3">
      <c r="A140" s="215" t="s">
        <v>74</v>
      </c>
      <c r="B140" s="756" t="s">
        <v>270</v>
      </c>
      <c r="C140" s="757"/>
      <c r="D140" s="757"/>
      <c r="E140" s="758"/>
    </row>
    <row r="141" spans="1:5" ht="12.75" customHeight="1" x14ac:dyDescent="0.25">
      <c r="A141" s="748"/>
      <c r="B141" s="202">
        <v>2018</v>
      </c>
      <c r="C141" s="202">
        <v>2019</v>
      </c>
      <c r="D141" s="202">
        <v>2020</v>
      </c>
      <c r="E141" s="202">
        <v>2021</v>
      </c>
    </row>
    <row r="142" spans="1:5" ht="12.75" customHeight="1" thickBot="1" x14ac:dyDescent="0.3">
      <c r="A142" s="749"/>
      <c r="B142" s="203" t="s">
        <v>41</v>
      </c>
      <c r="C142" s="203" t="s">
        <v>42</v>
      </c>
      <c r="D142" s="203" t="s">
        <v>42</v>
      </c>
      <c r="E142" s="203" t="s">
        <v>42</v>
      </c>
    </row>
    <row r="143" spans="1:5" ht="12.75" customHeight="1" thickBot="1" x14ac:dyDescent="0.3">
      <c r="A143" s="215" t="s">
        <v>76</v>
      </c>
      <c r="B143" s="217">
        <v>3</v>
      </c>
      <c r="C143" s="217">
        <v>2460</v>
      </c>
      <c r="D143" s="217">
        <v>3000</v>
      </c>
      <c r="E143" s="217">
        <v>3146</v>
      </c>
    </row>
    <row r="144" spans="1:5" ht="15.75" customHeight="1" thickBot="1" x14ac:dyDescent="0.3">
      <c r="A144" s="215" t="s">
        <v>77</v>
      </c>
      <c r="B144" s="217">
        <f>26904-11000</f>
        <v>15904</v>
      </c>
      <c r="C144" s="217">
        <v>100500</v>
      </c>
      <c r="D144" s="217">
        <v>92580</v>
      </c>
      <c r="E144" s="217">
        <v>71420</v>
      </c>
    </row>
    <row r="145" spans="1:7" ht="15.75" customHeight="1" thickBot="1" x14ac:dyDescent="0.3">
      <c r="A145" s="215" t="s">
        <v>78</v>
      </c>
      <c r="B145" s="217">
        <f>B144/B143</f>
        <v>5301.333333333333</v>
      </c>
      <c r="C145" s="217">
        <f t="shared" ref="C145:E145" si="12">C144/C143</f>
        <v>40.853658536585364</v>
      </c>
      <c r="D145" s="217">
        <f t="shared" si="12"/>
        <v>30.86</v>
      </c>
      <c r="E145" s="217">
        <f t="shared" si="12"/>
        <v>22.701843610934521</v>
      </c>
    </row>
    <row r="146" spans="1:7" ht="15.75" customHeight="1" thickBot="1" x14ac:dyDescent="0.3">
      <c r="A146" s="215" t="s">
        <v>79</v>
      </c>
      <c r="B146" s="218" t="s">
        <v>80</v>
      </c>
      <c r="C146" s="218" t="s">
        <v>80</v>
      </c>
      <c r="D146" s="218" t="s">
        <v>80</v>
      </c>
      <c r="E146" s="217">
        <v>0</v>
      </c>
      <c r="F146" s="220"/>
      <c r="G146" s="220"/>
    </row>
    <row r="147" spans="1:7" ht="15.75" customHeight="1" thickBot="1" x14ac:dyDescent="0.3">
      <c r="A147" s="215" t="s">
        <v>81</v>
      </c>
      <c r="B147" s="218" t="s">
        <v>80</v>
      </c>
      <c r="C147" s="218" t="s">
        <v>80</v>
      </c>
      <c r="D147" s="218" t="s">
        <v>80</v>
      </c>
      <c r="E147" s="217">
        <v>0</v>
      </c>
    </row>
    <row r="148" spans="1:7" ht="15.75" customHeight="1" thickBot="1" x14ac:dyDescent="0.3">
      <c r="A148" s="215" t="s">
        <v>82</v>
      </c>
      <c r="B148" s="218" t="s">
        <v>80</v>
      </c>
      <c r="C148" s="218" t="s">
        <v>80</v>
      </c>
      <c r="D148" s="218" t="s">
        <v>80</v>
      </c>
      <c r="E148" s="217">
        <v>0</v>
      </c>
    </row>
    <row r="149" spans="1:7" ht="18" customHeight="1" thickBot="1" x14ac:dyDescent="0.3">
      <c r="A149" s="750" t="s">
        <v>271</v>
      </c>
      <c r="B149" s="751"/>
      <c r="C149" s="751"/>
      <c r="D149" s="751"/>
      <c r="E149" s="752"/>
    </row>
    <row r="150" spans="1:7" ht="18" customHeight="1" x14ac:dyDescent="0.25">
      <c r="A150" s="748"/>
      <c r="B150" s="202">
        <v>2018</v>
      </c>
      <c r="C150" s="202">
        <v>2019</v>
      </c>
      <c r="D150" s="202">
        <v>2020</v>
      </c>
      <c r="E150" s="202">
        <v>2021</v>
      </c>
    </row>
    <row r="151" spans="1:7" ht="9" customHeight="1" thickBot="1" x14ac:dyDescent="0.3">
      <c r="A151" s="749"/>
      <c r="B151" s="203" t="s">
        <v>41</v>
      </c>
      <c r="C151" s="203" t="s">
        <v>42</v>
      </c>
      <c r="D151" s="203" t="s">
        <v>42</v>
      </c>
      <c r="E151" s="203" t="s">
        <v>42</v>
      </c>
    </row>
    <row r="152" spans="1:7" ht="16.5" customHeight="1" thickBot="1" x14ac:dyDescent="0.3">
      <c r="A152" s="221" t="s">
        <v>169</v>
      </c>
      <c r="B152" s="224">
        <v>15904</v>
      </c>
      <c r="C152" s="224">
        <v>0</v>
      </c>
      <c r="D152" s="224">
        <v>0</v>
      </c>
      <c r="E152" s="224">
        <v>0</v>
      </c>
    </row>
    <row r="153" spans="1:7" ht="20.25" customHeight="1" thickBot="1" x14ac:dyDescent="0.3">
      <c r="A153" s="221" t="s">
        <v>112</v>
      </c>
      <c r="B153" s="226"/>
      <c r="C153" s="224">
        <v>100500</v>
      </c>
      <c r="D153" s="224">
        <v>92580</v>
      </c>
      <c r="E153" s="224">
        <v>71420</v>
      </c>
    </row>
    <row r="154" spans="1:7" ht="20.25" customHeight="1" thickBot="1" x14ac:dyDescent="0.3">
      <c r="A154" s="223" t="s">
        <v>272</v>
      </c>
      <c r="B154" s="226">
        <f>B152+B153</f>
        <v>15904</v>
      </c>
      <c r="C154" s="226">
        <f t="shared" ref="C154:E154" si="13">C153+C152</f>
        <v>100500</v>
      </c>
      <c r="D154" s="226">
        <f t="shared" si="13"/>
        <v>92580</v>
      </c>
      <c r="E154" s="226">
        <f t="shared" si="13"/>
        <v>71420</v>
      </c>
    </row>
    <row r="155" spans="1:7" ht="24" customHeight="1" thickBot="1" x14ac:dyDescent="0.3">
      <c r="A155" s="231" t="s">
        <v>257</v>
      </c>
      <c r="B155" s="765" t="s">
        <v>253</v>
      </c>
      <c r="C155" s="766"/>
      <c r="D155" s="766"/>
      <c r="E155" s="767"/>
    </row>
    <row r="156" spans="1:7" ht="14.25" customHeight="1" thickBot="1" x14ac:dyDescent="0.3">
      <c r="A156" s="215" t="s">
        <v>273</v>
      </c>
      <c r="B156" s="756" t="s">
        <v>276</v>
      </c>
      <c r="C156" s="757"/>
      <c r="D156" s="757"/>
      <c r="E156" s="758"/>
    </row>
    <row r="157" spans="1:7" ht="33.75" customHeight="1" thickBot="1" x14ac:dyDescent="0.3">
      <c r="A157" s="215" t="s">
        <v>72</v>
      </c>
      <c r="B157" s="750" t="s">
        <v>277</v>
      </c>
      <c r="C157" s="751"/>
      <c r="D157" s="751"/>
      <c r="E157" s="752"/>
    </row>
    <row r="158" spans="1:7" ht="14.25" customHeight="1" thickBot="1" x14ac:dyDescent="0.3">
      <c r="A158" s="215" t="s">
        <v>74</v>
      </c>
      <c r="B158" s="756" t="s">
        <v>256</v>
      </c>
      <c r="C158" s="757"/>
      <c r="D158" s="757"/>
      <c r="E158" s="758"/>
    </row>
    <row r="159" spans="1:7" ht="15" customHeight="1" x14ac:dyDescent="0.25">
      <c r="A159" s="748"/>
      <c r="B159" s="202">
        <v>2018</v>
      </c>
      <c r="C159" s="202">
        <v>2019</v>
      </c>
      <c r="D159" s="202">
        <v>2020</v>
      </c>
      <c r="E159" s="202">
        <v>2021</v>
      </c>
    </row>
    <row r="160" spans="1:7" ht="9.75" customHeight="1" thickBot="1" x14ac:dyDescent="0.3">
      <c r="A160" s="749"/>
      <c r="B160" s="203" t="s">
        <v>41</v>
      </c>
      <c r="C160" s="203" t="s">
        <v>42</v>
      </c>
      <c r="D160" s="203" t="s">
        <v>42</v>
      </c>
      <c r="E160" s="203" t="s">
        <v>42</v>
      </c>
    </row>
    <row r="161" spans="1:7" ht="15" customHeight="1" thickBot="1" x14ac:dyDescent="0.3">
      <c r="A161" s="215" t="s">
        <v>76</v>
      </c>
      <c r="B161" s="217">
        <v>2</v>
      </c>
      <c r="C161" s="217">
        <v>2</v>
      </c>
      <c r="D161" s="217">
        <v>0</v>
      </c>
      <c r="E161" s="217">
        <v>0</v>
      </c>
    </row>
    <row r="162" spans="1:7" ht="15" customHeight="1" thickBot="1" x14ac:dyDescent="0.3">
      <c r="A162" s="215" t="s">
        <v>77</v>
      </c>
      <c r="B162" s="217">
        <v>20000</v>
      </c>
      <c r="C162" s="217">
        <v>15000</v>
      </c>
      <c r="D162" s="217">
        <v>0</v>
      </c>
      <c r="E162" s="217">
        <v>0</v>
      </c>
    </row>
    <row r="163" spans="1:7" ht="15" customHeight="1" thickBot="1" x14ac:dyDescent="0.3">
      <c r="A163" s="215" t="s">
        <v>78</v>
      </c>
      <c r="B163" s="217">
        <f>B162/B161</f>
        <v>10000</v>
      </c>
      <c r="C163" s="217">
        <f t="shared" ref="C163" si="14">C162/C161</f>
        <v>7500</v>
      </c>
      <c r="D163" s="217">
        <v>0</v>
      </c>
      <c r="E163" s="217">
        <v>0</v>
      </c>
    </row>
    <row r="164" spans="1:7" ht="15" customHeight="1" thickBot="1" x14ac:dyDescent="0.3">
      <c r="A164" s="215" t="s">
        <v>79</v>
      </c>
      <c r="B164" s="218" t="s">
        <v>80</v>
      </c>
      <c r="C164" s="219">
        <f>C161/B161-1</f>
        <v>0</v>
      </c>
      <c r="D164" s="217">
        <v>0</v>
      </c>
      <c r="E164" s="217">
        <v>0</v>
      </c>
      <c r="F164" s="220"/>
      <c r="G164" s="220"/>
    </row>
    <row r="165" spans="1:7" ht="15" customHeight="1" thickBot="1" x14ac:dyDescent="0.3">
      <c r="A165" s="215" t="s">
        <v>81</v>
      </c>
      <c r="B165" s="218" t="s">
        <v>80</v>
      </c>
      <c r="C165" s="219">
        <f>C162/B162-1</f>
        <v>-0.25</v>
      </c>
      <c r="D165" s="217">
        <v>0</v>
      </c>
      <c r="E165" s="217">
        <v>0</v>
      </c>
    </row>
    <row r="166" spans="1:7" ht="15" customHeight="1" thickBot="1" x14ac:dyDescent="0.3">
      <c r="A166" s="215" t="s">
        <v>82</v>
      </c>
      <c r="B166" s="218" t="s">
        <v>80</v>
      </c>
      <c r="C166" s="219">
        <f>C163/B163-1</f>
        <v>-0.25</v>
      </c>
      <c r="D166" s="217">
        <v>0</v>
      </c>
      <c r="E166" s="217">
        <v>0</v>
      </c>
    </row>
    <row r="167" spans="1:7" ht="24" customHeight="1" thickBot="1" x14ac:dyDescent="0.3">
      <c r="A167" s="750" t="s">
        <v>655</v>
      </c>
      <c r="B167" s="751"/>
      <c r="C167" s="751"/>
      <c r="D167" s="751"/>
      <c r="E167" s="752"/>
    </row>
    <row r="168" spans="1:7" ht="16.5" customHeight="1" x14ac:dyDescent="0.25">
      <c r="A168" s="748"/>
      <c r="B168" s="202">
        <v>2018</v>
      </c>
      <c r="C168" s="202">
        <v>2019</v>
      </c>
      <c r="D168" s="202">
        <v>2020</v>
      </c>
      <c r="E168" s="202">
        <v>2021</v>
      </c>
    </row>
    <row r="169" spans="1:7" ht="16.5" customHeight="1" thickBot="1" x14ac:dyDescent="0.3">
      <c r="A169" s="749"/>
      <c r="B169" s="203" t="s">
        <v>41</v>
      </c>
      <c r="C169" s="203" t="s">
        <v>42</v>
      </c>
      <c r="D169" s="203" t="s">
        <v>42</v>
      </c>
      <c r="E169" s="203" t="s">
        <v>42</v>
      </c>
    </row>
    <row r="170" spans="1:7" ht="24" customHeight="1" thickBot="1" x14ac:dyDescent="0.3">
      <c r="A170" s="221" t="s">
        <v>169</v>
      </c>
      <c r="B170" s="224">
        <v>20000</v>
      </c>
      <c r="C170" s="224">
        <v>15000</v>
      </c>
      <c r="D170" s="224">
        <v>0</v>
      </c>
      <c r="E170" s="224">
        <v>0</v>
      </c>
    </row>
    <row r="171" spans="1:7" ht="24" customHeight="1" thickBot="1" x14ac:dyDescent="0.3">
      <c r="A171" s="221" t="s">
        <v>112</v>
      </c>
      <c r="B171" s="226">
        <v>0</v>
      </c>
      <c r="C171" s="224">
        <v>0</v>
      </c>
      <c r="D171" s="224">
        <v>0</v>
      </c>
      <c r="E171" s="224">
        <v>0</v>
      </c>
    </row>
    <row r="172" spans="1:7" ht="24" customHeight="1" thickBot="1" x14ac:dyDescent="0.3">
      <c r="A172" s="223" t="s">
        <v>274</v>
      </c>
      <c r="B172" s="226">
        <f>B171+B170</f>
        <v>20000</v>
      </c>
      <c r="C172" s="226">
        <f t="shared" ref="C172:E172" si="15">C171+C170</f>
        <v>15000</v>
      </c>
      <c r="D172" s="226">
        <f t="shared" si="15"/>
        <v>0</v>
      </c>
      <c r="E172" s="226">
        <f t="shared" si="15"/>
        <v>0</v>
      </c>
    </row>
    <row r="173" spans="1:7" ht="24" customHeight="1" thickBot="1" x14ac:dyDescent="0.3">
      <c r="A173" s="231" t="s">
        <v>257</v>
      </c>
      <c r="B173" s="756" t="s">
        <v>280</v>
      </c>
      <c r="C173" s="757"/>
      <c r="D173" s="757"/>
      <c r="E173" s="758"/>
    </row>
    <row r="174" spans="1:7" ht="24" customHeight="1" thickBot="1" x14ac:dyDescent="0.3">
      <c r="A174" s="215" t="s">
        <v>275</v>
      </c>
      <c r="B174" s="756" t="s">
        <v>282</v>
      </c>
      <c r="C174" s="757"/>
      <c r="D174" s="757"/>
      <c r="E174" s="758"/>
    </row>
    <row r="175" spans="1:7" ht="34.5" customHeight="1" thickBot="1" x14ac:dyDescent="0.3">
      <c r="A175" s="215" t="s">
        <v>72</v>
      </c>
      <c r="B175" s="750" t="s">
        <v>283</v>
      </c>
      <c r="C175" s="751"/>
      <c r="D175" s="751"/>
      <c r="E175" s="752"/>
    </row>
    <row r="176" spans="1:7" ht="24" customHeight="1" thickBot="1" x14ac:dyDescent="0.3">
      <c r="A176" s="215" t="s">
        <v>74</v>
      </c>
      <c r="B176" s="756" t="s">
        <v>256</v>
      </c>
      <c r="C176" s="757"/>
      <c r="D176" s="757"/>
      <c r="E176" s="758"/>
    </row>
    <row r="177" spans="1:7" ht="24" customHeight="1" x14ac:dyDescent="0.25">
      <c r="A177" s="748"/>
      <c r="B177" s="202">
        <v>2018</v>
      </c>
      <c r="C177" s="202">
        <v>2019</v>
      </c>
      <c r="D177" s="202">
        <v>2020</v>
      </c>
      <c r="E177" s="202">
        <v>2021</v>
      </c>
    </row>
    <row r="178" spans="1:7" ht="24" customHeight="1" thickBot="1" x14ac:dyDescent="0.3">
      <c r="A178" s="749"/>
      <c r="B178" s="203" t="s">
        <v>41</v>
      </c>
      <c r="C178" s="203" t="s">
        <v>42</v>
      </c>
      <c r="D178" s="203" t="s">
        <v>42</v>
      </c>
      <c r="E178" s="203" t="s">
        <v>42</v>
      </c>
    </row>
    <row r="179" spans="1:7" ht="16.5" customHeight="1" thickBot="1" x14ac:dyDescent="0.3">
      <c r="A179" s="215" t="s">
        <v>76</v>
      </c>
      <c r="B179" s="217">
        <v>2</v>
      </c>
      <c r="C179" s="217">
        <v>0</v>
      </c>
      <c r="D179" s="217">
        <v>0</v>
      </c>
      <c r="E179" s="217">
        <v>0</v>
      </c>
    </row>
    <row r="180" spans="1:7" ht="16.5" customHeight="1" thickBot="1" x14ac:dyDescent="0.3">
      <c r="A180" s="215" t="s">
        <v>77</v>
      </c>
      <c r="B180" s="217">
        <v>148527</v>
      </c>
      <c r="C180" s="217">
        <v>0</v>
      </c>
      <c r="D180" s="217">
        <v>0</v>
      </c>
      <c r="E180" s="217">
        <v>0</v>
      </c>
    </row>
    <row r="181" spans="1:7" ht="16.5" customHeight="1" thickBot="1" x14ac:dyDescent="0.3">
      <c r="A181" s="215" t="s">
        <v>78</v>
      </c>
      <c r="B181" s="217">
        <f>B180/B179</f>
        <v>74263.5</v>
      </c>
      <c r="C181" s="217">
        <v>0</v>
      </c>
      <c r="D181" s="217">
        <v>0</v>
      </c>
      <c r="E181" s="217">
        <v>0</v>
      </c>
    </row>
    <row r="182" spans="1:7" ht="16.5" customHeight="1" thickBot="1" x14ac:dyDescent="0.3">
      <c r="A182" s="215" t="s">
        <v>79</v>
      </c>
      <c r="B182" s="218" t="s">
        <v>80</v>
      </c>
      <c r="C182" s="217">
        <v>0</v>
      </c>
      <c r="D182" s="217">
        <v>0</v>
      </c>
      <c r="E182" s="217">
        <v>0</v>
      </c>
      <c r="F182" s="220"/>
      <c r="G182" s="220"/>
    </row>
    <row r="183" spans="1:7" ht="16.5" customHeight="1" thickBot="1" x14ac:dyDescent="0.3">
      <c r="A183" s="215" t="s">
        <v>81</v>
      </c>
      <c r="B183" s="218" t="s">
        <v>80</v>
      </c>
      <c r="C183" s="217">
        <v>0</v>
      </c>
      <c r="D183" s="217">
        <v>0</v>
      </c>
      <c r="E183" s="217">
        <v>0</v>
      </c>
    </row>
    <row r="184" spans="1:7" ht="21" customHeight="1" thickBot="1" x14ac:dyDescent="0.3">
      <c r="A184" s="215" t="s">
        <v>82</v>
      </c>
      <c r="B184" s="218" t="s">
        <v>80</v>
      </c>
      <c r="C184" s="217">
        <v>0</v>
      </c>
      <c r="D184" s="217">
        <v>0</v>
      </c>
      <c r="E184" s="217">
        <v>0</v>
      </c>
    </row>
    <row r="185" spans="1:7" ht="24" customHeight="1" thickBot="1" x14ac:dyDescent="0.3">
      <c r="A185" s="750" t="s">
        <v>278</v>
      </c>
      <c r="B185" s="751"/>
      <c r="C185" s="751"/>
      <c r="D185" s="751"/>
      <c r="E185" s="752"/>
    </row>
    <row r="186" spans="1:7" ht="17.25" customHeight="1" x14ac:dyDescent="0.25">
      <c r="A186" s="748"/>
      <c r="B186" s="202">
        <v>2018</v>
      </c>
      <c r="C186" s="202">
        <v>2019</v>
      </c>
      <c r="D186" s="202">
        <v>2020</v>
      </c>
      <c r="E186" s="202">
        <v>2021</v>
      </c>
    </row>
    <row r="187" spans="1:7" ht="10.5" customHeight="1" thickBot="1" x14ac:dyDescent="0.3">
      <c r="A187" s="749"/>
      <c r="B187" s="203" t="s">
        <v>41</v>
      </c>
      <c r="C187" s="203" t="s">
        <v>42</v>
      </c>
      <c r="D187" s="203" t="s">
        <v>42</v>
      </c>
      <c r="E187" s="203" t="s">
        <v>42</v>
      </c>
    </row>
    <row r="188" spans="1:7" ht="24" customHeight="1" thickBot="1" x14ac:dyDescent="0.3">
      <c r="A188" s="221" t="s">
        <v>169</v>
      </c>
      <c r="B188" s="224">
        <v>0</v>
      </c>
      <c r="C188" s="224">
        <v>0</v>
      </c>
      <c r="D188" s="224">
        <v>0</v>
      </c>
      <c r="E188" s="224">
        <v>0</v>
      </c>
    </row>
    <row r="189" spans="1:7" ht="24" customHeight="1" thickBot="1" x14ac:dyDescent="0.3">
      <c r="A189" s="221" t="s">
        <v>112</v>
      </c>
      <c r="B189" s="226">
        <v>148527</v>
      </c>
      <c r="C189" s="224">
        <v>0</v>
      </c>
      <c r="D189" s="224">
        <v>0</v>
      </c>
      <c r="E189" s="224">
        <v>0</v>
      </c>
    </row>
    <row r="190" spans="1:7" ht="24" customHeight="1" thickBot="1" x14ac:dyDescent="0.3">
      <c r="A190" s="223" t="s">
        <v>285</v>
      </c>
      <c r="B190" s="226">
        <f>B189+B188</f>
        <v>148527</v>
      </c>
      <c r="C190" s="226">
        <f t="shared" ref="C190:E190" si="16">C189+C188</f>
        <v>0</v>
      </c>
      <c r="D190" s="226">
        <f t="shared" si="16"/>
        <v>0</v>
      </c>
      <c r="E190" s="226">
        <f t="shared" si="16"/>
        <v>0</v>
      </c>
    </row>
    <row r="191" spans="1:7" ht="29.25" customHeight="1" thickBot="1" x14ac:dyDescent="0.3">
      <c r="A191" s="231" t="s">
        <v>257</v>
      </c>
      <c r="B191" s="756" t="s">
        <v>286</v>
      </c>
      <c r="C191" s="757"/>
      <c r="D191" s="757"/>
      <c r="E191" s="758"/>
    </row>
    <row r="192" spans="1:7" ht="28.5" customHeight="1" thickBot="1" x14ac:dyDescent="0.3">
      <c r="A192" s="215" t="s">
        <v>281</v>
      </c>
      <c r="B192" s="756" t="s">
        <v>288</v>
      </c>
      <c r="C192" s="757"/>
      <c r="D192" s="757"/>
      <c r="E192" s="758"/>
    </row>
    <row r="193" spans="1:7" ht="30" customHeight="1" thickBot="1" x14ac:dyDescent="0.3">
      <c r="A193" s="215" t="s">
        <v>72</v>
      </c>
      <c r="B193" s="750" t="s">
        <v>289</v>
      </c>
      <c r="C193" s="751"/>
      <c r="D193" s="751"/>
      <c r="E193" s="752"/>
    </row>
    <row r="194" spans="1:7" ht="24" customHeight="1" thickBot="1" x14ac:dyDescent="0.3">
      <c r="A194" s="215" t="s">
        <v>74</v>
      </c>
      <c r="B194" s="756" t="s">
        <v>290</v>
      </c>
      <c r="C194" s="757"/>
      <c r="D194" s="757"/>
      <c r="E194" s="758"/>
    </row>
    <row r="195" spans="1:7" ht="18" customHeight="1" x14ac:dyDescent="0.25">
      <c r="A195" s="748"/>
      <c r="B195" s="202">
        <v>2018</v>
      </c>
      <c r="C195" s="202">
        <v>2019</v>
      </c>
      <c r="D195" s="202">
        <v>2020</v>
      </c>
      <c r="E195" s="202">
        <v>2021</v>
      </c>
    </row>
    <row r="196" spans="1:7" ht="15" customHeight="1" thickBot="1" x14ac:dyDescent="0.3">
      <c r="A196" s="749"/>
      <c r="B196" s="203" t="s">
        <v>41</v>
      </c>
      <c r="C196" s="203" t="s">
        <v>42</v>
      </c>
      <c r="D196" s="203" t="s">
        <v>42</v>
      </c>
      <c r="E196" s="203" t="s">
        <v>42</v>
      </c>
    </row>
    <row r="197" spans="1:7" ht="16.5" customHeight="1" thickBot="1" x14ac:dyDescent="0.3">
      <c r="A197" s="215" t="s">
        <v>76</v>
      </c>
      <c r="B197" s="217">
        <v>1</v>
      </c>
      <c r="C197" s="217">
        <v>0</v>
      </c>
      <c r="D197" s="217">
        <v>0</v>
      </c>
      <c r="E197" s="217">
        <v>0</v>
      </c>
    </row>
    <row r="198" spans="1:7" ht="16.5" customHeight="1" thickBot="1" x14ac:dyDescent="0.3">
      <c r="A198" s="215" t="s">
        <v>77</v>
      </c>
      <c r="B198" s="217">
        <v>129660</v>
      </c>
      <c r="C198" s="217">
        <v>0</v>
      </c>
      <c r="D198" s="217">
        <v>0</v>
      </c>
      <c r="E198" s="217">
        <v>0</v>
      </c>
    </row>
    <row r="199" spans="1:7" ht="16.5" customHeight="1" thickBot="1" x14ac:dyDescent="0.3">
      <c r="A199" s="215" t="s">
        <v>78</v>
      </c>
      <c r="B199" s="217">
        <f>B198/B197</f>
        <v>129660</v>
      </c>
      <c r="C199" s="217">
        <v>0</v>
      </c>
      <c r="D199" s="217">
        <v>0</v>
      </c>
      <c r="E199" s="217">
        <v>0</v>
      </c>
    </row>
    <row r="200" spans="1:7" ht="16.5" customHeight="1" thickBot="1" x14ac:dyDescent="0.3">
      <c r="A200" s="215" t="s">
        <v>79</v>
      </c>
      <c r="B200" s="218" t="s">
        <v>80</v>
      </c>
      <c r="C200" s="217">
        <v>0</v>
      </c>
      <c r="D200" s="217">
        <v>0</v>
      </c>
      <c r="E200" s="217">
        <v>0</v>
      </c>
      <c r="F200" s="220"/>
      <c r="G200" s="220"/>
    </row>
    <row r="201" spans="1:7" ht="16.5" customHeight="1" thickBot="1" x14ac:dyDescent="0.3">
      <c r="A201" s="215" t="s">
        <v>81</v>
      </c>
      <c r="B201" s="218" t="s">
        <v>80</v>
      </c>
      <c r="C201" s="217">
        <v>0</v>
      </c>
      <c r="D201" s="217">
        <v>0</v>
      </c>
      <c r="E201" s="217">
        <v>0</v>
      </c>
    </row>
    <row r="202" spans="1:7" ht="21" customHeight="1" thickBot="1" x14ac:dyDescent="0.3">
      <c r="A202" s="215" t="s">
        <v>82</v>
      </c>
      <c r="B202" s="218" t="s">
        <v>80</v>
      </c>
      <c r="C202" s="217">
        <v>0</v>
      </c>
      <c r="D202" s="217">
        <v>0</v>
      </c>
      <c r="E202" s="217">
        <v>0</v>
      </c>
    </row>
    <row r="203" spans="1:7" ht="16.5" customHeight="1" thickBot="1" x14ac:dyDescent="0.3">
      <c r="A203" s="750" t="s">
        <v>284</v>
      </c>
      <c r="B203" s="751"/>
      <c r="C203" s="751"/>
      <c r="D203" s="751"/>
      <c r="E203" s="752"/>
    </row>
    <row r="204" spans="1:7" ht="15" x14ac:dyDescent="0.25">
      <c r="A204" s="748"/>
      <c r="B204" s="202">
        <v>2018</v>
      </c>
      <c r="C204" s="202">
        <v>2019</v>
      </c>
      <c r="D204" s="202">
        <v>2020</v>
      </c>
      <c r="E204" s="202">
        <v>2021</v>
      </c>
    </row>
    <row r="205" spans="1:7" ht="15.75" thickBot="1" x14ac:dyDescent="0.3">
      <c r="A205" s="749"/>
      <c r="B205" s="203" t="s">
        <v>41</v>
      </c>
      <c r="C205" s="203" t="s">
        <v>42</v>
      </c>
      <c r="D205" s="203" t="s">
        <v>42</v>
      </c>
      <c r="E205" s="203" t="s">
        <v>42</v>
      </c>
    </row>
    <row r="206" spans="1:7" ht="14.25" customHeight="1" thickBot="1" x14ac:dyDescent="0.3">
      <c r="A206" s="221" t="s">
        <v>169</v>
      </c>
      <c r="B206" s="224">
        <v>129660</v>
      </c>
      <c r="C206" s="224">
        <v>0</v>
      </c>
      <c r="D206" s="224">
        <v>0</v>
      </c>
      <c r="E206" s="224">
        <v>0</v>
      </c>
    </row>
    <row r="207" spans="1:7" ht="14.25" customHeight="1" thickBot="1" x14ac:dyDescent="0.3">
      <c r="A207" s="221" t="s">
        <v>112</v>
      </c>
      <c r="B207" s="226"/>
      <c r="C207" s="224">
        <v>0</v>
      </c>
      <c r="D207" s="224">
        <v>0</v>
      </c>
      <c r="E207" s="224">
        <v>0</v>
      </c>
    </row>
    <row r="208" spans="1:7" ht="15" customHeight="1" thickBot="1" x14ac:dyDescent="0.3">
      <c r="A208" s="223" t="s">
        <v>292</v>
      </c>
      <c r="B208" s="226">
        <f>B207+B206</f>
        <v>129660</v>
      </c>
      <c r="C208" s="226">
        <f t="shared" ref="C208:E208" si="17">C207+C206</f>
        <v>0</v>
      </c>
      <c r="D208" s="226">
        <f t="shared" si="17"/>
        <v>0</v>
      </c>
      <c r="E208" s="226">
        <f t="shared" si="17"/>
        <v>0</v>
      </c>
    </row>
    <row r="209" spans="1:7" ht="24" customHeight="1" thickBot="1" x14ac:dyDescent="0.3">
      <c r="A209" s="231" t="s">
        <v>257</v>
      </c>
      <c r="B209" s="750" t="s">
        <v>293</v>
      </c>
      <c r="C209" s="751"/>
      <c r="D209" s="751"/>
      <c r="E209" s="752"/>
    </row>
    <row r="210" spans="1:7" ht="32.25" customHeight="1" thickBot="1" x14ac:dyDescent="0.3">
      <c r="A210" s="215" t="s">
        <v>287</v>
      </c>
      <c r="B210" s="750" t="s">
        <v>295</v>
      </c>
      <c r="C210" s="751"/>
      <c r="D210" s="751"/>
      <c r="E210" s="752"/>
    </row>
    <row r="211" spans="1:7" ht="24" customHeight="1" thickBot="1" x14ac:dyDescent="0.3">
      <c r="A211" s="215" t="s">
        <v>72</v>
      </c>
      <c r="B211" s="750" t="s">
        <v>289</v>
      </c>
      <c r="C211" s="751"/>
      <c r="D211" s="751"/>
      <c r="E211" s="752"/>
    </row>
    <row r="212" spans="1:7" ht="13.5" customHeight="1" thickBot="1" x14ac:dyDescent="0.3">
      <c r="A212" s="215" t="s">
        <v>74</v>
      </c>
      <c r="B212" s="756" t="s">
        <v>290</v>
      </c>
      <c r="C212" s="757"/>
      <c r="D212" s="757"/>
      <c r="E212" s="758"/>
    </row>
    <row r="213" spans="1:7" ht="17.25" customHeight="1" x14ac:dyDescent="0.25">
      <c r="A213" s="748"/>
      <c r="B213" s="202">
        <v>2018</v>
      </c>
      <c r="C213" s="202">
        <v>2019</v>
      </c>
      <c r="D213" s="202">
        <v>2020</v>
      </c>
      <c r="E213" s="202">
        <v>2021</v>
      </c>
    </row>
    <row r="214" spans="1:7" ht="13.5" customHeight="1" thickBot="1" x14ac:dyDescent="0.3">
      <c r="A214" s="749"/>
      <c r="B214" s="203" t="s">
        <v>41</v>
      </c>
      <c r="C214" s="203" t="s">
        <v>42</v>
      </c>
      <c r="D214" s="203" t="s">
        <v>42</v>
      </c>
      <c r="E214" s="203" t="s">
        <v>42</v>
      </c>
    </row>
    <row r="215" spans="1:7" ht="16.5" customHeight="1" thickBot="1" x14ac:dyDescent="0.3">
      <c r="A215" s="215" t="s">
        <v>76</v>
      </c>
      <c r="B215" s="217">
        <v>1</v>
      </c>
      <c r="C215" s="217">
        <v>0</v>
      </c>
      <c r="D215" s="217">
        <v>1</v>
      </c>
      <c r="E215" s="217">
        <v>1</v>
      </c>
    </row>
    <row r="216" spans="1:7" ht="16.5" customHeight="1" thickBot="1" x14ac:dyDescent="0.3">
      <c r="A216" s="215" t="s">
        <v>77</v>
      </c>
      <c r="B216" s="217">
        <v>33009</v>
      </c>
      <c r="C216" s="217">
        <v>0</v>
      </c>
      <c r="D216" s="217">
        <v>13410</v>
      </c>
      <c r="E216" s="217">
        <v>12069</v>
      </c>
    </row>
    <row r="217" spans="1:7" ht="16.5" customHeight="1" thickBot="1" x14ac:dyDescent="0.3">
      <c r="A217" s="215" t="s">
        <v>78</v>
      </c>
      <c r="B217" s="217">
        <f>B216/B215</f>
        <v>33009</v>
      </c>
      <c r="C217" s="217">
        <v>0</v>
      </c>
      <c r="D217" s="217">
        <f t="shared" ref="D217:E217" si="18">D216/D215</f>
        <v>13410</v>
      </c>
      <c r="E217" s="217">
        <f t="shared" si="18"/>
        <v>12069</v>
      </c>
    </row>
    <row r="218" spans="1:7" ht="16.5" customHeight="1" thickBot="1" x14ac:dyDescent="0.3">
      <c r="A218" s="215" t="s">
        <v>79</v>
      </c>
      <c r="B218" s="218" t="s">
        <v>80</v>
      </c>
      <c r="C218" s="219"/>
      <c r="D218" s="219">
        <f>D215/B215-1</f>
        <v>0</v>
      </c>
      <c r="E218" s="219">
        <f t="shared" ref="E218:E220" si="19">E215/D215-1</f>
        <v>0</v>
      </c>
      <c r="F218" s="220"/>
      <c r="G218" s="220"/>
    </row>
    <row r="219" spans="1:7" ht="16.5" customHeight="1" thickBot="1" x14ac:dyDescent="0.3">
      <c r="A219" s="215" t="s">
        <v>81</v>
      </c>
      <c r="B219" s="218" t="s">
        <v>80</v>
      </c>
      <c r="C219" s="219"/>
      <c r="D219" s="219">
        <f t="shared" ref="D219:D220" si="20">D216/B216-1</f>
        <v>-0.5937471598654912</v>
      </c>
      <c r="E219" s="219">
        <f t="shared" si="19"/>
        <v>-9.9999999999999978E-2</v>
      </c>
    </row>
    <row r="220" spans="1:7" ht="16.5" customHeight="1" thickBot="1" x14ac:dyDescent="0.3">
      <c r="A220" s="215" t="s">
        <v>82</v>
      </c>
      <c r="B220" s="218" t="s">
        <v>80</v>
      </c>
      <c r="C220" s="219"/>
      <c r="D220" s="219">
        <f t="shared" si="20"/>
        <v>-0.5937471598654912</v>
      </c>
      <c r="E220" s="219">
        <f t="shared" si="19"/>
        <v>-9.9999999999999978E-2</v>
      </c>
    </row>
    <row r="221" spans="1:7" ht="24" customHeight="1" thickBot="1" x14ac:dyDescent="0.3">
      <c r="A221" s="750" t="s">
        <v>291</v>
      </c>
      <c r="B221" s="751"/>
      <c r="C221" s="751"/>
      <c r="D221" s="751"/>
      <c r="E221" s="752"/>
    </row>
    <row r="222" spans="1:7" ht="13.5" customHeight="1" x14ac:dyDescent="0.25">
      <c r="A222" s="748"/>
      <c r="B222" s="202">
        <v>2018</v>
      </c>
      <c r="C222" s="202">
        <v>2019</v>
      </c>
      <c r="D222" s="202">
        <v>2020</v>
      </c>
      <c r="E222" s="202">
        <v>2021</v>
      </c>
    </row>
    <row r="223" spans="1:7" ht="10.5" customHeight="1" thickBot="1" x14ac:dyDescent="0.3">
      <c r="A223" s="749"/>
      <c r="B223" s="203" t="s">
        <v>41</v>
      </c>
      <c r="C223" s="203" t="s">
        <v>42</v>
      </c>
      <c r="D223" s="203" t="s">
        <v>42</v>
      </c>
      <c r="E223" s="203" t="s">
        <v>42</v>
      </c>
    </row>
    <row r="224" spans="1:7" ht="15.75" thickBot="1" x14ac:dyDescent="0.3">
      <c r="A224" s="221" t="s">
        <v>169</v>
      </c>
      <c r="B224" s="224">
        <v>33009</v>
      </c>
      <c r="C224" s="224">
        <v>0</v>
      </c>
      <c r="D224" s="224">
        <v>13410</v>
      </c>
      <c r="E224" s="224">
        <v>12069</v>
      </c>
    </row>
    <row r="225" spans="1:5" ht="15" x14ac:dyDescent="0.25">
      <c r="A225" s="227" t="s">
        <v>112</v>
      </c>
      <c r="B225" s="232">
        <v>0</v>
      </c>
      <c r="C225" s="233">
        <v>0</v>
      </c>
      <c r="D225" s="233">
        <v>0</v>
      </c>
      <c r="E225" s="233">
        <v>0</v>
      </c>
    </row>
    <row r="226" spans="1:5" ht="19.5" customHeight="1" x14ac:dyDescent="0.25">
      <c r="A226" s="234" t="s">
        <v>296</v>
      </c>
      <c r="B226" s="235">
        <f>B225+B224</f>
        <v>33009</v>
      </c>
      <c r="C226" s="235">
        <f t="shared" ref="C226:E226" si="21">C225+C224</f>
        <v>0</v>
      </c>
      <c r="D226" s="235">
        <f t="shared" si="21"/>
        <v>13410</v>
      </c>
      <c r="E226" s="236">
        <f t="shared" si="21"/>
        <v>12069</v>
      </c>
    </row>
    <row r="227" spans="1:5" ht="9.75" customHeight="1" thickBot="1" x14ac:dyDescent="0.3">
      <c r="A227" s="223"/>
      <c r="B227" s="237"/>
      <c r="C227" s="237"/>
      <c r="D227" s="237"/>
      <c r="E227" s="226"/>
    </row>
    <row r="228" spans="1:5" ht="33" customHeight="1" thickBot="1" x14ac:dyDescent="0.3">
      <c r="A228" s="238" t="s">
        <v>181</v>
      </c>
      <c r="B228" s="759" t="s">
        <v>297</v>
      </c>
      <c r="C228" s="760"/>
      <c r="D228" s="760"/>
      <c r="E228" s="761"/>
    </row>
    <row r="229" spans="1:5" ht="24" customHeight="1" thickBot="1" x14ac:dyDescent="0.3">
      <c r="A229" s="750" t="s">
        <v>183</v>
      </c>
      <c r="B229" s="751"/>
      <c r="C229" s="751"/>
      <c r="D229" s="751"/>
      <c r="E229" s="752"/>
    </row>
    <row r="230" spans="1:5" ht="36.75" customHeight="1" thickBot="1" x14ac:dyDescent="0.3">
      <c r="A230" s="239" t="s">
        <v>298</v>
      </c>
      <c r="B230" s="211">
        <v>0.02</v>
      </c>
      <c r="C230" s="211">
        <v>0.03</v>
      </c>
      <c r="D230" s="211">
        <v>0.03</v>
      </c>
      <c r="E230" s="211">
        <v>0.03</v>
      </c>
    </row>
    <row r="231" spans="1:5" ht="24" customHeight="1" thickBot="1" x14ac:dyDescent="0.3">
      <c r="A231" s="215" t="s">
        <v>299</v>
      </c>
      <c r="B231" s="211">
        <v>0.02</v>
      </c>
      <c r="C231" s="211">
        <v>0.03</v>
      </c>
      <c r="D231" s="211">
        <v>0.03</v>
      </c>
      <c r="E231" s="211">
        <v>0.03</v>
      </c>
    </row>
    <row r="232" spans="1:5" ht="15.75" thickBot="1" x14ac:dyDescent="0.3">
      <c r="A232" s="750" t="s">
        <v>196</v>
      </c>
      <c r="B232" s="751"/>
      <c r="C232" s="751"/>
      <c r="D232" s="751"/>
      <c r="E232" s="752"/>
    </row>
    <row r="233" spans="1:5" ht="15.75" thickBot="1" x14ac:dyDescent="0.3">
      <c r="A233" s="762" t="s">
        <v>114</v>
      </c>
      <c r="B233" s="763"/>
      <c r="C233" s="763"/>
      <c r="D233" s="763"/>
      <c r="E233" s="764"/>
    </row>
    <row r="234" spans="1:5" ht="16.5" customHeight="1" x14ac:dyDescent="0.25">
      <c r="A234" s="748"/>
      <c r="B234" s="202">
        <v>2018</v>
      </c>
      <c r="C234" s="202">
        <v>2019</v>
      </c>
      <c r="D234" s="202">
        <v>2020</v>
      </c>
      <c r="E234" s="202">
        <v>2021</v>
      </c>
    </row>
    <row r="235" spans="1:5" ht="15" customHeight="1" thickBot="1" x14ac:dyDescent="0.3">
      <c r="A235" s="749"/>
      <c r="B235" s="203" t="s">
        <v>41</v>
      </c>
      <c r="C235" s="203" t="s">
        <v>42</v>
      </c>
      <c r="D235" s="203" t="s">
        <v>42</v>
      </c>
      <c r="E235" s="203" t="s">
        <v>42</v>
      </c>
    </row>
    <row r="236" spans="1:5" ht="15.75" thickBot="1" x14ac:dyDescent="0.3">
      <c r="A236" s="215" t="s">
        <v>108</v>
      </c>
      <c r="B236" s="756" t="s">
        <v>300</v>
      </c>
      <c r="C236" s="757"/>
      <c r="D236" s="757"/>
      <c r="E236" s="758"/>
    </row>
    <row r="237" spans="1:5" ht="24" customHeight="1" thickBot="1" x14ac:dyDescent="0.3">
      <c r="A237" s="215" t="s">
        <v>72</v>
      </c>
      <c r="B237" s="750" t="s">
        <v>301</v>
      </c>
      <c r="C237" s="751"/>
      <c r="D237" s="751"/>
      <c r="E237" s="752"/>
    </row>
    <row r="238" spans="1:5" ht="15.75" thickBot="1" x14ac:dyDescent="0.3">
      <c r="A238" s="215" t="s">
        <v>74</v>
      </c>
      <c r="B238" s="756" t="s">
        <v>302</v>
      </c>
      <c r="C238" s="757"/>
      <c r="D238" s="757"/>
      <c r="E238" s="758"/>
    </row>
    <row r="239" spans="1:5" ht="24" customHeight="1" x14ac:dyDescent="0.25">
      <c r="A239" s="748"/>
      <c r="B239" s="202">
        <v>2018</v>
      </c>
      <c r="C239" s="202">
        <v>2019</v>
      </c>
      <c r="D239" s="202">
        <v>2020</v>
      </c>
      <c r="E239" s="202">
        <v>2021</v>
      </c>
    </row>
    <row r="240" spans="1:5" ht="24" customHeight="1" thickBot="1" x14ac:dyDescent="0.3">
      <c r="A240" s="749"/>
      <c r="B240" s="203" t="s">
        <v>41</v>
      </c>
      <c r="C240" s="203" t="s">
        <v>42</v>
      </c>
      <c r="D240" s="203" t="s">
        <v>42</v>
      </c>
      <c r="E240" s="203" t="s">
        <v>42</v>
      </c>
    </row>
    <row r="241" spans="1:5" ht="12.75" customHeight="1" thickBot="1" x14ac:dyDescent="0.3">
      <c r="A241" s="215" t="s">
        <v>76</v>
      </c>
      <c r="B241" s="217">
        <v>25000</v>
      </c>
      <c r="C241" s="224">
        <v>25600</v>
      </c>
      <c r="D241" s="224">
        <v>26300</v>
      </c>
      <c r="E241" s="224">
        <v>27000</v>
      </c>
    </row>
    <row r="242" spans="1:5" ht="12.75" customHeight="1" thickBot="1" x14ac:dyDescent="0.3">
      <c r="A242" s="215" t="s">
        <v>77</v>
      </c>
      <c r="B242" s="224">
        <v>317634</v>
      </c>
      <c r="C242" s="224">
        <v>320392</v>
      </c>
      <c r="D242" s="224">
        <v>323201</v>
      </c>
      <c r="E242" s="224">
        <v>326100</v>
      </c>
    </row>
    <row r="243" spans="1:5" ht="12.75" customHeight="1" thickBot="1" x14ac:dyDescent="0.3">
      <c r="A243" s="215" t="s">
        <v>78</v>
      </c>
      <c r="B243" s="217">
        <f>B242/B241</f>
        <v>12.705360000000001</v>
      </c>
      <c r="C243" s="217">
        <f t="shared" ref="C243:E243" si="22">C242/C241</f>
        <v>12.5153125</v>
      </c>
      <c r="D243" s="217">
        <f t="shared" si="22"/>
        <v>12.289011406844107</v>
      </c>
      <c r="E243" s="217">
        <f t="shared" si="22"/>
        <v>12.077777777777778</v>
      </c>
    </row>
    <row r="244" spans="1:5" ht="12.75" customHeight="1" thickBot="1" x14ac:dyDescent="0.3">
      <c r="A244" s="215" t="s">
        <v>79</v>
      </c>
      <c r="B244" s="218">
        <v>0</v>
      </c>
      <c r="C244" s="219">
        <f>C241/B241-1</f>
        <v>2.4000000000000021E-2</v>
      </c>
      <c r="D244" s="219">
        <f t="shared" ref="D244:E246" si="23">D241/C241-1</f>
        <v>2.734375E-2</v>
      </c>
      <c r="E244" s="219">
        <f t="shared" si="23"/>
        <v>2.6615969581748944E-2</v>
      </c>
    </row>
    <row r="245" spans="1:5" ht="12.75" customHeight="1" thickBot="1" x14ac:dyDescent="0.3">
      <c r="A245" s="215" t="s">
        <v>81</v>
      </c>
      <c r="B245" s="218">
        <v>0</v>
      </c>
      <c r="C245" s="219">
        <f>C242/B242-1</f>
        <v>8.6829495582967375E-3</v>
      </c>
      <c r="D245" s="219">
        <f t="shared" si="23"/>
        <v>8.7673849534319892E-3</v>
      </c>
      <c r="E245" s="219">
        <f t="shared" si="23"/>
        <v>8.9696504651903819E-3</v>
      </c>
    </row>
    <row r="246" spans="1:5" ht="12.75" customHeight="1" thickBot="1" x14ac:dyDescent="0.3">
      <c r="A246" s="215" t="s">
        <v>82</v>
      </c>
      <c r="B246" s="218">
        <v>0</v>
      </c>
      <c r="C246" s="219">
        <f>C243/B243-1</f>
        <v>-1.495805707197595E-2</v>
      </c>
      <c r="D246" s="219">
        <f t="shared" si="23"/>
        <v>-1.8081937079548971E-2</v>
      </c>
      <c r="E246" s="219">
        <f t="shared" si="23"/>
        <v>-1.7188821954277622E-2</v>
      </c>
    </row>
    <row r="247" spans="1:5" ht="15.75" customHeight="1" x14ac:dyDescent="0.25">
      <c r="A247" s="748"/>
      <c r="B247" s="202">
        <v>2018</v>
      </c>
      <c r="C247" s="202">
        <v>2019</v>
      </c>
      <c r="D247" s="202">
        <v>2020</v>
      </c>
      <c r="E247" s="202">
        <v>2021</v>
      </c>
    </row>
    <row r="248" spans="1:5" ht="10.5" customHeight="1" thickBot="1" x14ac:dyDescent="0.3">
      <c r="A248" s="749"/>
      <c r="B248" s="203" t="s">
        <v>41</v>
      </c>
      <c r="C248" s="203" t="s">
        <v>42</v>
      </c>
      <c r="D248" s="203" t="s">
        <v>42</v>
      </c>
      <c r="E248" s="203" t="s">
        <v>42</v>
      </c>
    </row>
    <row r="249" spans="1:5" ht="24" customHeight="1" thickBot="1" x14ac:dyDescent="0.3">
      <c r="A249" s="750" t="s">
        <v>131</v>
      </c>
      <c r="B249" s="751"/>
      <c r="C249" s="751"/>
      <c r="D249" s="751"/>
      <c r="E249" s="752"/>
    </row>
    <row r="250" spans="1:5" ht="13.5" customHeight="1" x14ac:dyDescent="0.25">
      <c r="A250" s="748"/>
      <c r="B250" s="202">
        <v>2018</v>
      </c>
      <c r="C250" s="202">
        <v>2019</v>
      </c>
      <c r="D250" s="202">
        <v>2020</v>
      </c>
      <c r="E250" s="202">
        <v>2021</v>
      </c>
    </row>
    <row r="251" spans="1:5" ht="10.5" customHeight="1" thickBot="1" x14ac:dyDescent="0.3">
      <c r="A251" s="749"/>
      <c r="B251" s="203" t="s">
        <v>41</v>
      </c>
      <c r="C251" s="203" t="s">
        <v>42</v>
      </c>
      <c r="D251" s="203" t="s">
        <v>42</v>
      </c>
      <c r="E251" s="203" t="s">
        <v>42</v>
      </c>
    </row>
    <row r="252" spans="1:5" ht="12" customHeight="1" thickBot="1" x14ac:dyDescent="0.3">
      <c r="A252" s="221" t="s">
        <v>84</v>
      </c>
      <c r="B252" s="224">
        <v>186506</v>
      </c>
      <c r="C252" s="224">
        <v>186506</v>
      </c>
      <c r="D252" s="224">
        <v>186506</v>
      </c>
      <c r="E252" s="224">
        <v>186506</v>
      </c>
    </row>
    <row r="253" spans="1:5" ht="12" customHeight="1" thickBot="1" x14ac:dyDescent="0.3">
      <c r="A253" s="221" t="s">
        <v>85</v>
      </c>
      <c r="B253" s="224">
        <v>43946</v>
      </c>
      <c r="C253" s="224">
        <v>43946</v>
      </c>
      <c r="D253" s="224">
        <v>43946</v>
      </c>
      <c r="E253" s="224">
        <v>43946</v>
      </c>
    </row>
    <row r="254" spans="1:5" ht="12" customHeight="1" thickBot="1" x14ac:dyDescent="0.3">
      <c r="A254" s="221" t="s">
        <v>86</v>
      </c>
      <c r="B254" s="226">
        <v>81949</v>
      </c>
      <c r="C254" s="224">
        <v>84407</v>
      </c>
      <c r="D254" s="224">
        <v>86939</v>
      </c>
      <c r="E254" s="224">
        <v>89548</v>
      </c>
    </row>
    <row r="255" spans="1:5" ht="12" customHeight="1" thickBot="1" x14ac:dyDescent="0.3">
      <c r="A255" s="221" t="s">
        <v>87</v>
      </c>
      <c r="B255" s="226">
        <v>0</v>
      </c>
      <c r="C255" s="226">
        <v>0</v>
      </c>
      <c r="D255" s="226">
        <v>0</v>
      </c>
      <c r="E255" s="226">
        <v>0</v>
      </c>
    </row>
    <row r="256" spans="1:5" ht="12" customHeight="1" thickBot="1" x14ac:dyDescent="0.3">
      <c r="A256" s="221" t="s">
        <v>88</v>
      </c>
      <c r="B256" s="226">
        <v>0</v>
      </c>
      <c r="C256" s="226">
        <v>0</v>
      </c>
      <c r="D256" s="226">
        <v>0</v>
      </c>
      <c r="E256" s="226">
        <v>0</v>
      </c>
    </row>
    <row r="257" spans="1:5" ht="12" customHeight="1" thickBot="1" x14ac:dyDescent="0.3">
      <c r="A257" s="221" t="s">
        <v>89</v>
      </c>
      <c r="B257" s="226">
        <v>3696</v>
      </c>
      <c r="C257" s="224">
        <v>5533</v>
      </c>
      <c r="D257" s="224">
        <v>5810</v>
      </c>
      <c r="E257" s="224">
        <v>6100</v>
      </c>
    </row>
    <row r="258" spans="1:5" ht="12" customHeight="1" thickBot="1" x14ac:dyDescent="0.3">
      <c r="A258" s="221" t="s">
        <v>90</v>
      </c>
      <c r="B258" s="226">
        <v>1537</v>
      </c>
      <c r="C258" s="224"/>
      <c r="D258" s="224"/>
      <c r="E258" s="224"/>
    </row>
    <row r="259" spans="1:5" ht="24" customHeight="1" thickBot="1" x14ac:dyDescent="0.3">
      <c r="A259" s="227" t="s">
        <v>303</v>
      </c>
      <c r="B259" s="224">
        <f>B258+B257+B256+B255+B254+B253+B252</f>
        <v>317634</v>
      </c>
      <c r="C259" s="224">
        <f>C258+C257+C256+C255+C254+C253+C252</f>
        <v>320392</v>
      </c>
      <c r="D259" s="224">
        <f>D258+D257+D256+D255+D254+D253+D252</f>
        <v>323201</v>
      </c>
      <c r="E259" s="224">
        <f>E258+E257+E256+E255+E254+E253+E252</f>
        <v>326100</v>
      </c>
    </row>
    <row r="260" spans="1:5" ht="18.75" customHeight="1" thickBot="1" x14ac:dyDescent="0.3">
      <c r="A260" s="240" t="s">
        <v>92</v>
      </c>
      <c r="B260" s="224">
        <f>IF(B259-B242=0,0,"Error")</f>
        <v>0</v>
      </c>
      <c r="C260" s="224">
        <f>IF(C259-C242=0,0,"Error")</f>
        <v>0</v>
      </c>
      <c r="D260" s="224">
        <f>IF(D259-D242=0,0,"Error")</f>
        <v>0</v>
      </c>
      <c r="E260" s="224">
        <f>IF(E259-E242=0,0,"Error")</f>
        <v>0</v>
      </c>
    </row>
    <row r="261" spans="1:5" ht="18.75" customHeight="1" thickBot="1" x14ac:dyDescent="0.3">
      <c r="A261" s="225" t="s">
        <v>93</v>
      </c>
      <c r="B261" s="756" t="s">
        <v>304</v>
      </c>
      <c r="C261" s="757"/>
      <c r="D261" s="757"/>
      <c r="E261" s="758"/>
    </row>
    <row r="262" spans="1:5" ht="15" customHeight="1" thickBot="1" x14ac:dyDescent="0.3">
      <c r="A262" s="215" t="s">
        <v>72</v>
      </c>
      <c r="B262" s="750" t="s">
        <v>305</v>
      </c>
      <c r="C262" s="751"/>
      <c r="D262" s="751"/>
      <c r="E262" s="752"/>
    </row>
    <row r="263" spans="1:5" ht="24" customHeight="1" thickBot="1" x14ac:dyDescent="0.3">
      <c r="A263" s="215" t="s">
        <v>74</v>
      </c>
      <c r="B263" s="756" t="s">
        <v>306</v>
      </c>
      <c r="C263" s="757"/>
      <c r="D263" s="757"/>
      <c r="E263" s="758"/>
    </row>
    <row r="264" spans="1:5" ht="17.25" customHeight="1" x14ac:dyDescent="0.25">
      <c r="A264" s="748"/>
      <c r="B264" s="202">
        <v>2018</v>
      </c>
      <c r="C264" s="202">
        <v>2019</v>
      </c>
      <c r="D264" s="202">
        <v>2020</v>
      </c>
      <c r="E264" s="202">
        <v>2021</v>
      </c>
    </row>
    <row r="265" spans="1:5" ht="15" customHeight="1" thickBot="1" x14ac:dyDescent="0.3">
      <c r="A265" s="749"/>
      <c r="B265" s="203" t="s">
        <v>41</v>
      </c>
      <c r="C265" s="203" t="s">
        <v>42</v>
      </c>
      <c r="D265" s="203" t="s">
        <v>42</v>
      </c>
      <c r="E265" s="203" t="s">
        <v>42</v>
      </c>
    </row>
    <row r="266" spans="1:5" ht="13.5" customHeight="1" thickBot="1" x14ac:dyDescent="0.3">
      <c r="A266" s="215" t="s">
        <v>76</v>
      </c>
      <c r="B266" s="217">
        <v>1400</v>
      </c>
      <c r="C266" s="217">
        <f>1450</f>
        <v>1450</v>
      </c>
      <c r="D266" s="217">
        <v>1500</v>
      </c>
      <c r="E266" s="217">
        <v>1550</v>
      </c>
    </row>
    <row r="267" spans="1:5" ht="13.5" customHeight="1" thickBot="1" x14ac:dyDescent="0.3">
      <c r="A267" s="215" t="s">
        <v>77</v>
      </c>
      <c r="B267" s="217">
        <v>45789</v>
      </c>
      <c r="C267" s="217">
        <v>45953</v>
      </c>
      <c r="D267" s="217">
        <v>46121</v>
      </c>
      <c r="E267" s="217">
        <v>46295</v>
      </c>
    </row>
    <row r="268" spans="1:5" ht="13.5" customHeight="1" thickBot="1" x14ac:dyDescent="0.3">
      <c r="A268" s="215" t="s">
        <v>78</v>
      </c>
      <c r="B268" s="217">
        <f>B267/B266</f>
        <v>32.706428571428575</v>
      </c>
      <c r="C268" s="217">
        <f t="shared" ref="C268:E268" si="24">C267/C266</f>
        <v>31.691724137931036</v>
      </c>
      <c r="D268" s="217">
        <f t="shared" si="24"/>
        <v>30.747333333333334</v>
      </c>
      <c r="E268" s="217">
        <f t="shared" si="24"/>
        <v>29.86774193548387</v>
      </c>
    </row>
    <row r="269" spans="1:5" ht="13.5" customHeight="1" thickBot="1" x14ac:dyDescent="0.3">
      <c r="A269" s="215" t="s">
        <v>79</v>
      </c>
      <c r="B269" s="218">
        <v>0</v>
      </c>
      <c r="C269" s="219">
        <f>C266/B266-1</f>
        <v>3.5714285714285809E-2</v>
      </c>
      <c r="D269" s="219">
        <f t="shared" ref="D269:E271" si="25">D266/C266-1</f>
        <v>3.4482758620689724E-2</v>
      </c>
      <c r="E269" s="219">
        <f t="shared" si="25"/>
        <v>3.3333333333333437E-2</v>
      </c>
    </row>
    <row r="270" spans="1:5" ht="13.5" customHeight="1" thickBot="1" x14ac:dyDescent="0.3">
      <c r="A270" s="215" t="s">
        <v>81</v>
      </c>
      <c r="B270" s="218">
        <v>0</v>
      </c>
      <c r="C270" s="219">
        <f>C267/B267-1</f>
        <v>3.5816462469151489E-3</v>
      </c>
      <c r="D270" s="219">
        <f t="shared" si="25"/>
        <v>3.6559092986312436E-3</v>
      </c>
      <c r="E270" s="219">
        <f t="shared" si="25"/>
        <v>3.7726848940828894E-3</v>
      </c>
    </row>
    <row r="271" spans="1:5" ht="13.5" customHeight="1" thickBot="1" x14ac:dyDescent="0.3">
      <c r="A271" s="215" t="s">
        <v>82</v>
      </c>
      <c r="B271" s="218">
        <v>0</v>
      </c>
      <c r="C271" s="219">
        <f>C268/B268-1</f>
        <v>-3.1024617416771538E-2</v>
      </c>
      <c r="D271" s="219">
        <f t="shared" si="25"/>
        <v>-2.9799287677989894E-2</v>
      </c>
      <c r="E271" s="219">
        <f t="shared" si="25"/>
        <v>-2.8607079134758462E-2</v>
      </c>
    </row>
    <row r="272" spans="1:5" ht="24" customHeight="1" thickBot="1" x14ac:dyDescent="0.3">
      <c r="A272" s="750" t="s">
        <v>132</v>
      </c>
      <c r="B272" s="751"/>
      <c r="C272" s="751"/>
      <c r="D272" s="751"/>
      <c r="E272" s="752"/>
    </row>
    <row r="273" spans="1:5" ht="24" customHeight="1" x14ac:dyDescent="0.25">
      <c r="A273" s="748"/>
      <c r="B273" s="202">
        <v>2018</v>
      </c>
      <c r="C273" s="202">
        <v>2019</v>
      </c>
      <c r="D273" s="202">
        <v>2020</v>
      </c>
      <c r="E273" s="202">
        <v>2021</v>
      </c>
    </row>
    <row r="274" spans="1:5" ht="24" customHeight="1" thickBot="1" x14ac:dyDescent="0.3">
      <c r="A274" s="749"/>
      <c r="B274" s="203" t="s">
        <v>41</v>
      </c>
      <c r="C274" s="203" t="s">
        <v>42</v>
      </c>
      <c r="D274" s="203" t="s">
        <v>42</v>
      </c>
      <c r="E274" s="203" t="s">
        <v>42</v>
      </c>
    </row>
    <row r="275" spans="1:5" ht="18" customHeight="1" thickBot="1" x14ac:dyDescent="0.3">
      <c r="A275" s="221" t="s">
        <v>84</v>
      </c>
      <c r="B275" s="224">
        <v>34593</v>
      </c>
      <c r="C275" s="224">
        <v>34593</v>
      </c>
      <c r="D275" s="224">
        <v>34593</v>
      </c>
      <c r="E275" s="224">
        <v>34593</v>
      </c>
    </row>
    <row r="276" spans="1:5" ht="25.5" customHeight="1" thickBot="1" x14ac:dyDescent="0.3">
      <c r="A276" s="221" t="s">
        <v>85</v>
      </c>
      <c r="B276" s="224">
        <v>5745</v>
      </c>
      <c r="C276" s="224">
        <v>5745</v>
      </c>
      <c r="D276" s="224">
        <v>5745</v>
      </c>
      <c r="E276" s="224">
        <v>5745</v>
      </c>
    </row>
    <row r="277" spans="1:5" ht="18" customHeight="1" thickBot="1" x14ac:dyDescent="0.3">
      <c r="A277" s="221" t="s">
        <v>86</v>
      </c>
      <c r="B277" s="226">
        <v>5451</v>
      </c>
      <c r="C277" s="224">
        <v>5615</v>
      </c>
      <c r="D277" s="224">
        <v>5783</v>
      </c>
      <c r="E277" s="224">
        <v>5957</v>
      </c>
    </row>
    <row r="278" spans="1:5" ht="18" customHeight="1" thickBot="1" x14ac:dyDescent="0.3">
      <c r="A278" s="221" t="s">
        <v>87</v>
      </c>
      <c r="B278" s="226">
        <v>0</v>
      </c>
      <c r="C278" s="226">
        <v>0</v>
      </c>
      <c r="D278" s="226">
        <v>0</v>
      </c>
      <c r="E278" s="226">
        <v>0</v>
      </c>
    </row>
    <row r="279" spans="1:5" ht="18" customHeight="1" thickBot="1" x14ac:dyDescent="0.3">
      <c r="A279" s="221" t="s">
        <v>88</v>
      </c>
      <c r="B279" s="226">
        <v>0</v>
      </c>
      <c r="C279" s="226">
        <v>0</v>
      </c>
      <c r="D279" s="226">
        <v>0</v>
      </c>
      <c r="E279" s="226">
        <v>0</v>
      </c>
    </row>
    <row r="280" spans="1:5" ht="18" customHeight="1" thickBot="1" x14ac:dyDescent="0.3">
      <c r="A280" s="221" t="s">
        <v>89</v>
      </c>
      <c r="B280" s="226">
        <v>0</v>
      </c>
      <c r="C280" s="226">
        <v>0</v>
      </c>
      <c r="D280" s="226">
        <v>0</v>
      </c>
      <c r="E280" s="226">
        <v>0</v>
      </c>
    </row>
    <row r="281" spans="1:5" ht="18" customHeight="1" thickBot="1" x14ac:dyDescent="0.3">
      <c r="A281" s="227" t="s">
        <v>90</v>
      </c>
      <c r="B281" s="226">
        <v>0</v>
      </c>
      <c r="C281" s="226">
        <v>0</v>
      </c>
      <c r="D281" s="226">
        <v>0</v>
      </c>
      <c r="E281" s="226">
        <v>0</v>
      </c>
    </row>
    <row r="282" spans="1:5" ht="24" customHeight="1" thickBot="1" x14ac:dyDescent="0.3">
      <c r="A282" s="228" t="s">
        <v>307</v>
      </c>
      <c r="B282" s="226">
        <f>B281+B279+B280+B278+B277+B276+B275</f>
        <v>45789</v>
      </c>
      <c r="C282" s="226">
        <f>C281+C279+C280+C278+C277+C276+C275</f>
        <v>45953</v>
      </c>
      <c r="D282" s="226">
        <f>D281+D279+D280+D278+D277+D276+D275</f>
        <v>46121</v>
      </c>
      <c r="E282" s="226">
        <f>E281+E279+E280+E278+E277+E276+E275</f>
        <v>46295</v>
      </c>
    </row>
    <row r="283" spans="1:5" ht="24" customHeight="1" thickBot="1" x14ac:dyDescent="0.3">
      <c r="A283" s="207" t="s">
        <v>92</v>
      </c>
      <c r="B283" s="224">
        <f>IF(B282-B267=0,0,"Error")</f>
        <v>0</v>
      </c>
      <c r="C283" s="224">
        <f>IF(C282-C267=0,0,"Error")</f>
        <v>0</v>
      </c>
      <c r="D283" s="224">
        <f>IF(D282-D267=0,0,"Error")</f>
        <v>0</v>
      </c>
      <c r="E283" s="224">
        <f>IF(E282-E267=0,0,"Error")</f>
        <v>0</v>
      </c>
    </row>
    <row r="284" spans="1:5" ht="24" customHeight="1" thickBot="1" x14ac:dyDescent="0.3">
      <c r="A284" s="225" t="s">
        <v>99</v>
      </c>
      <c r="B284" s="756" t="s">
        <v>308</v>
      </c>
      <c r="C284" s="757"/>
      <c r="D284" s="757"/>
      <c r="E284" s="758"/>
    </row>
    <row r="285" spans="1:5" ht="24" customHeight="1" thickBot="1" x14ac:dyDescent="0.3">
      <c r="A285" s="215" t="s">
        <v>72</v>
      </c>
      <c r="B285" s="750" t="s">
        <v>309</v>
      </c>
      <c r="C285" s="751"/>
      <c r="D285" s="751"/>
      <c r="E285" s="752"/>
    </row>
    <row r="286" spans="1:5" ht="24" customHeight="1" thickBot="1" x14ac:dyDescent="0.3">
      <c r="A286" s="215" t="s">
        <v>74</v>
      </c>
      <c r="B286" s="756" t="s">
        <v>310</v>
      </c>
      <c r="C286" s="757"/>
      <c r="D286" s="757"/>
      <c r="E286" s="758"/>
    </row>
    <row r="287" spans="1:5" ht="18.75" customHeight="1" x14ac:dyDescent="0.25">
      <c r="A287" s="748"/>
      <c r="B287" s="202">
        <v>2018</v>
      </c>
      <c r="C287" s="202">
        <v>2019</v>
      </c>
      <c r="D287" s="202">
        <v>2020</v>
      </c>
      <c r="E287" s="202">
        <v>2021</v>
      </c>
    </row>
    <row r="288" spans="1:5" ht="17.25" customHeight="1" thickBot="1" x14ac:dyDescent="0.3">
      <c r="A288" s="749"/>
      <c r="B288" s="203" t="s">
        <v>41</v>
      </c>
      <c r="C288" s="203" t="s">
        <v>42</v>
      </c>
      <c r="D288" s="203" t="s">
        <v>42</v>
      </c>
      <c r="E288" s="203" t="s">
        <v>42</v>
      </c>
    </row>
    <row r="289" spans="1:5" ht="24" customHeight="1" thickBot="1" x14ac:dyDescent="0.3">
      <c r="A289" s="215" t="s">
        <v>76</v>
      </c>
      <c r="B289" s="217">
        <v>5</v>
      </c>
      <c r="C289" s="217">
        <v>5</v>
      </c>
      <c r="D289" s="217">
        <v>5</v>
      </c>
      <c r="E289" s="217">
        <v>5</v>
      </c>
    </row>
    <row r="290" spans="1:5" ht="24" customHeight="1" thickBot="1" x14ac:dyDescent="0.3">
      <c r="A290" s="215" t="s">
        <v>77</v>
      </c>
      <c r="B290" s="217">
        <v>1486117</v>
      </c>
      <c r="C290" s="217">
        <v>1624419</v>
      </c>
      <c r="D290" s="217">
        <v>1710582</v>
      </c>
      <c r="E290" s="217">
        <v>1761899</v>
      </c>
    </row>
    <row r="291" spans="1:5" ht="24" customHeight="1" thickBot="1" x14ac:dyDescent="0.3">
      <c r="A291" s="215" t="s">
        <v>78</v>
      </c>
      <c r="B291" s="217">
        <f>B290/B289</f>
        <v>297223.40000000002</v>
      </c>
      <c r="C291" s="217">
        <f t="shared" ref="C291:E291" si="26">C290/C289</f>
        <v>324883.8</v>
      </c>
      <c r="D291" s="217">
        <f t="shared" si="26"/>
        <v>342116.4</v>
      </c>
      <c r="E291" s="217">
        <f t="shared" si="26"/>
        <v>352379.8</v>
      </c>
    </row>
    <row r="292" spans="1:5" ht="24" customHeight="1" thickBot="1" x14ac:dyDescent="0.3">
      <c r="A292" s="215" t="s">
        <v>79</v>
      </c>
      <c r="B292" s="218">
        <v>0</v>
      </c>
      <c r="C292" s="219">
        <f>C289/B289-1</f>
        <v>0</v>
      </c>
      <c r="D292" s="219">
        <f t="shared" ref="D292:E294" si="27">D289/C289-1</f>
        <v>0</v>
      </c>
      <c r="E292" s="219">
        <f t="shared" si="27"/>
        <v>0</v>
      </c>
    </row>
    <row r="293" spans="1:5" ht="24" customHeight="1" thickBot="1" x14ac:dyDescent="0.3">
      <c r="A293" s="215" t="s">
        <v>81</v>
      </c>
      <c r="B293" s="218">
        <v>0</v>
      </c>
      <c r="C293" s="219">
        <f>C290/B290-1</f>
        <v>9.306265926572399E-2</v>
      </c>
      <c r="D293" s="219">
        <f t="shared" si="27"/>
        <v>5.3042349295348012E-2</v>
      </c>
      <c r="E293" s="219">
        <f t="shared" si="27"/>
        <v>2.9999731085677217E-2</v>
      </c>
    </row>
    <row r="294" spans="1:5" ht="24" customHeight="1" thickBot="1" x14ac:dyDescent="0.3">
      <c r="A294" s="215" t="s">
        <v>82</v>
      </c>
      <c r="B294" s="218">
        <v>0</v>
      </c>
      <c r="C294" s="219">
        <f>C291/B291-1</f>
        <v>9.306265926572399E-2</v>
      </c>
      <c r="D294" s="219">
        <f t="shared" si="27"/>
        <v>5.3042349295348235E-2</v>
      </c>
      <c r="E294" s="219">
        <f t="shared" si="27"/>
        <v>2.9999731085677217E-2</v>
      </c>
    </row>
    <row r="295" spans="1:5" ht="18" customHeight="1" thickBot="1" x14ac:dyDescent="0.3">
      <c r="A295" s="750" t="s">
        <v>133</v>
      </c>
      <c r="B295" s="751"/>
      <c r="C295" s="751"/>
      <c r="D295" s="751"/>
      <c r="E295" s="752"/>
    </row>
    <row r="296" spans="1:5" ht="15" customHeight="1" x14ac:dyDescent="0.25">
      <c r="A296" s="748"/>
      <c r="B296" s="202">
        <v>2018</v>
      </c>
      <c r="C296" s="202">
        <v>2019</v>
      </c>
      <c r="D296" s="202">
        <v>2020</v>
      </c>
      <c r="E296" s="202">
        <v>2021</v>
      </c>
    </row>
    <row r="297" spans="1:5" ht="11.25" customHeight="1" thickBot="1" x14ac:dyDescent="0.3">
      <c r="A297" s="749"/>
      <c r="B297" s="203" t="s">
        <v>41</v>
      </c>
      <c r="C297" s="203" t="s">
        <v>42</v>
      </c>
      <c r="D297" s="203" t="s">
        <v>42</v>
      </c>
      <c r="E297" s="203" t="s">
        <v>42</v>
      </c>
    </row>
    <row r="298" spans="1:5" ht="15" customHeight="1" thickBot="1" x14ac:dyDescent="0.3">
      <c r="A298" s="221" t="s">
        <v>84</v>
      </c>
      <c r="B298" s="224">
        <v>0</v>
      </c>
      <c r="C298" s="224">
        <v>0</v>
      </c>
      <c r="D298" s="224">
        <v>0</v>
      </c>
      <c r="E298" s="224">
        <v>0</v>
      </c>
    </row>
    <row r="299" spans="1:5" ht="15" customHeight="1" thickBot="1" x14ac:dyDescent="0.3">
      <c r="A299" s="221" t="s">
        <v>85</v>
      </c>
      <c r="B299" s="224">
        <v>0</v>
      </c>
      <c r="C299" s="224">
        <v>0</v>
      </c>
      <c r="D299" s="224">
        <v>0</v>
      </c>
      <c r="E299" s="224">
        <v>0</v>
      </c>
    </row>
    <row r="300" spans="1:5" ht="15" customHeight="1" thickBot="1" x14ac:dyDescent="0.3">
      <c r="A300" s="221" t="s">
        <v>86</v>
      </c>
      <c r="B300" s="226">
        <f>B290</f>
        <v>1486117</v>
      </c>
      <c r="C300" s="226">
        <f t="shared" ref="C300:E300" si="28">C290</f>
        <v>1624419</v>
      </c>
      <c r="D300" s="226">
        <f t="shared" si="28"/>
        <v>1710582</v>
      </c>
      <c r="E300" s="226">
        <f t="shared" si="28"/>
        <v>1761899</v>
      </c>
    </row>
    <row r="301" spans="1:5" ht="15" customHeight="1" thickBot="1" x14ac:dyDescent="0.3">
      <c r="A301" s="221" t="s">
        <v>87</v>
      </c>
      <c r="B301" s="224">
        <v>0</v>
      </c>
      <c r="C301" s="224">
        <v>0</v>
      </c>
      <c r="D301" s="224">
        <v>0</v>
      </c>
      <c r="E301" s="224">
        <v>0</v>
      </c>
    </row>
    <row r="302" spans="1:5" ht="15" customHeight="1" thickBot="1" x14ac:dyDescent="0.3">
      <c r="A302" s="221" t="s">
        <v>88</v>
      </c>
      <c r="B302" s="224">
        <v>0</v>
      </c>
      <c r="C302" s="224">
        <v>0</v>
      </c>
      <c r="D302" s="224">
        <v>0</v>
      </c>
      <c r="E302" s="224">
        <v>0</v>
      </c>
    </row>
    <row r="303" spans="1:5" ht="15" customHeight="1" thickBot="1" x14ac:dyDescent="0.3">
      <c r="A303" s="221" t="s">
        <v>89</v>
      </c>
      <c r="B303" s="224">
        <v>0</v>
      </c>
      <c r="C303" s="224">
        <v>0</v>
      </c>
      <c r="D303" s="224">
        <v>0</v>
      </c>
      <c r="E303" s="224">
        <v>0</v>
      </c>
    </row>
    <row r="304" spans="1:5" ht="15" customHeight="1" thickBot="1" x14ac:dyDescent="0.3">
      <c r="A304" s="227" t="s">
        <v>90</v>
      </c>
      <c r="B304" s="224">
        <v>0</v>
      </c>
      <c r="C304" s="224">
        <v>0</v>
      </c>
      <c r="D304" s="224">
        <v>0</v>
      </c>
      <c r="E304" s="224">
        <v>0</v>
      </c>
    </row>
    <row r="305" spans="1:7" ht="24" customHeight="1" thickBot="1" x14ac:dyDescent="0.3">
      <c r="A305" s="228" t="s">
        <v>311</v>
      </c>
      <c r="B305" s="226">
        <f>B304+B302+B303+B301+B300+B299+B298</f>
        <v>1486117</v>
      </c>
      <c r="C305" s="226">
        <f>C304+C302+C303+C301+C300+C299+C298</f>
        <v>1624419</v>
      </c>
      <c r="D305" s="226">
        <f>D304+D302+D303+D301+D300+D299+D298</f>
        <v>1710582</v>
      </c>
      <c r="E305" s="226">
        <f>E304+E302+E303+E301+E300+E299+E298</f>
        <v>1761899</v>
      </c>
    </row>
    <row r="306" spans="1:7" ht="24" customHeight="1" thickBot="1" x14ac:dyDescent="0.3">
      <c r="A306" s="207" t="s">
        <v>92</v>
      </c>
      <c r="B306" s="224">
        <f>IF(B305-B290=0,0,"Error")</f>
        <v>0</v>
      </c>
      <c r="C306" s="224">
        <f>IF(C305-C290=0,0,"Error")</f>
        <v>0</v>
      </c>
      <c r="D306" s="224">
        <f>IF(D305-D290=0,0,"Error")</f>
        <v>0</v>
      </c>
      <c r="E306" s="224">
        <f>IF(E305-E290=0,0,"Error")</f>
        <v>0</v>
      </c>
    </row>
    <row r="307" spans="1:7" ht="16.5" customHeight="1" thickBot="1" x14ac:dyDescent="0.3">
      <c r="A307" s="753" t="s">
        <v>104</v>
      </c>
      <c r="B307" s="754"/>
      <c r="C307" s="754"/>
      <c r="D307" s="754"/>
      <c r="E307" s="755"/>
    </row>
    <row r="308" spans="1:7" ht="15.75" thickBot="1" x14ac:dyDescent="0.3">
      <c r="A308" s="753" t="s">
        <v>105</v>
      </c>
      <c r="B308" s="754"/>
      <c r="C308" s="754"/>
      <c r="D308" s="754"/>
      <c r="E308" s="755"/>
    </row>
    <row r="309" spans="1:7" ht="15.75" thickBot="1" x14ac:dyDescent="0.3">
      <c r="A309" s="753" t="s">
        <v>104</v>
      </c>
      <c r="B309" s="754"/>
      <c r="C309" s="754"/>
      <c r="D309" s="754"/>
      <c r="E309" s="755"/>
    </row>
    <row r="310" spans="1:7" ht="15.75" thickBot="1" x14ac:dyDescent="0.3">
      <c r="A310" s="753" t="s">
        <v>170</v>
      </c>
      <c r="B310" s="754"/>
      <c r="C310" s="754"/>
      <c r="D310" s="754"/>
      <c r="E310" s="755"/>
    </row>
    <row r="311" spans="1:7" ht="17.25" customHeight="1" thickBot="1" x14ac:dyDescent="0.3">
      <c r="A311" s="215" t="s">
        <v>257</v>
      </c>
      <c r="B311" s="756" t="s">
        <v>312</v>
      </c>
      <c r="C311" s="757"/>
      <c r="D311" s="757"/>
      <c r="E311" s="758"/>
    </row>
    <row r="312" spans="1:7" ht="12" customHeight="1" thickBot="1" x14ac:dyDescent="0.3">
      <c r="A312" s="215" t="s">
        <v>115</v>
      </c>
      <c r="B312" s="756" t="s">
        <v>656</v>
      </c>
      <c r="C312" s="757"/>
      <c r="D312" s="757"/>
      <c r="E312" s="758"/>
    </row>
    <row r="313" spans="1:7" ht="15.75" customHeight="1" thickBot="1" x14ac:dyDescent="0.3">
      <c r="A313" s="215" t="s">
        <v>72</v>
      </c>
      <c r="B313" s="750" t="s">
        <v>657</v>
      </c>
      <c r="C313" s="751"/>
      <c r="D313" s="751"/>
      <c r="E313" s="752"/>
    </row>
    <row r="314" spans="1:7" ht="15.75" thickBot="1" x14ac:dyDescent="0.3">
      <c r="A314" s="215" t="s">
        <v>74</v>
      </c>
      <c r="B314" s="756" t="s">
        <v>256</v>
      </c>
      <c r="C314" s="757"/>
      <c r="D314" s="757"/>
      <c r="E314" s="758"/>
    </row>
    <row r="315" spans="1:7" ht="13.5" customHeight="1" x14ac:dyDescent="0.25">
      <c r="A315" s="748"/>
      <c r="B315" s="202">
        <v>2018</v>
      </c>
      <c r="C315" s="202">
        <v>2019</v>
      </c>
      <c r="D315" s="202">
        <v>2020</v>
      </c>
      <c r="E315" s="202">
        <v>2021</v>
      </c>
    </row>
    <row r="316" spans="1:7" ht="14.25" customHeight="1" thickBot="1" x14ac:dyDescent="0.3">
      <c r="A316" s="749"/>
      <c r="B316" s="203" t="s">
        <v>41</v>
      </c>
      <c r="C316" s="203" t="s">
        <v>42</v>
      </c>
      <c r="D316" s="203" t="s">
        <v>42</v>
      </c>
      <c r="E316" s="203" t="s">
        <v>42</v>
      </c>
    </row>
    <row r="317" spans="1:7" ht="14.25" customHeight="1" thickBot="1" x14ac:dyDescent="0.3">
      <c r="A317" s="215" t="s">
        <v>76</v>
      </c>
      <c r="B317" s="217">
        <v>0</v>
      </c>
      <c r="C317" s="217">
        <v>19</v>
      </c>
      <c r="D317" s="217">
        <v>3</v>
      </c>
      <c r="E317" s="217">
        <v>0</v>
      </c>
    </row>
    <row r="318" spans="1:7" ht="18.75" customHeight="1" thickBot="1" x14ac:dyDescent="0.3">
      <c r="A318" s="215" t="s">
        <v>77</v>
      </c>
      <c r="B318" s="217">
        <v>0</v>
      </c>
      <c r="C318" s="217">
        <v>26820</v>
      </c>
      <c r="D318" s="217">
        <v>40230</v>
      </c>
      <c r="E318" s="217">
        <v>0</v>
      </c>
    </row>
    <row r="319" spans="1:7" ht="24" customHeight="1" thickBot="1" x14ac:dyDescent="0.3">
      <c r="A319" s="215" t="s">
        <v>78</v>
      </c>
      <c r="B319" s="217">
        <v>0</v>
      </c>
      <c r="C319" s="217">
        <f t="shared" ref="C319:D319" si="29">C318/C317</f>
        <v>1411.578947368421</v>
      </c>
      <c r="D319" s="217">
        <f t="shared" si="29"/>
        <v>13410</v>
      </c>
      <c r="E319" s="217">
        <v>0</v>
      </c>
    </row>
    <row r="320" spans="1:7" ht="24" customHeight="1" thickBot="1" x14ac:dyDescent="0.3">
      <c r="A320" s="215" t="s">
        <v>79</v>
      </c>
      <c r="B320" s="218" t="s">
        <v>80</v>
      </c>
      <c r="C320" s="219">
        <v>0</v>
      </c>
      <c r="D320" s="219">
        <v>1</v>
      </c>
      <c r="E320" s="219">
        <v>0</v>
      </c>
      <c r="F320" s="220"/>
      <c r="G320" s="220"/>
    </row>
    <row r="321" spans="1:5" ht="24" customHeight="1" thickBot="1" x14ac:dyDescent="0.3">
      <c r="A321" s="215" t="s">
        <v>81</v>
      </c>
      <c r="B321" s="218" t="s">
        <v>80</v>
      </c>
      <c r="C321" s="219">
        <v>0</v>
      </c>
      <c r="D321" s="219">
        <v>0</v>
      </c>
      <c r="E321" s="219">
        <v>0</v>
      </c>
    </row>
    <row r="322" spans="1:5" ht="24" customHeight="1" thickBot="1" x14ac:dyDescent="0.3">
      <c r="A322" s="215" t="s">
        <v>82</v>
      </c>
      <c r="B322" s="218" t="s">
        <v>80</v>
      </c>
      <c r="C322" s="219">
        <v>0</v>
      </c>
      <c r="D322" s="219">
        <v>0</v>
      </c>
      <c r="E322" s="219">
        <v>0</v>
      </c>
    </row>
    <row r="323" spans="1:5" ht="24" customHeight="1" thickBot="1" x14ac:dyDescent="0.3">
      <c r="A323" s="750" t="s">
        <v>134</v>
      </c>
      <c r="B323" s="751"/>
      <c r="C323" s="751"/>
      <c r="D323" s="751"/>
      <c r="E323" s="752"/>
    </row>
    <row r="324" spans="1:5" ht="12" customHeight="1" x14ac:dyDescent="0.25">
      <c r="A324" s="748"/>
      <c r="B324" s="202">
        <v>2018</v>
      </c>
      <c r="C324" s="202">
        <v>2019</v>
      </c>
      <c r="D324" s="202">
        <v>2020</v>
      </c>
      <c r="E324" s="202">
        <v>2021</v>
      </c>
    </row>
    <row r="325" spans="1:5" ht="10.5" customHeight="1" thickBot="1" x14ac:dyDescent="0.3">
      <c r="A325" s="749"/>
      <c r="B325" s="203" t="s">
        <v>41</v>
      </c>
      <c r="C325" s="203" t="s">
        <v>42</v>
      </c>
      <c r="D325" s="203" t="s">
        <v>42</v>
      </c>
      <c r="E325" s="203" t="s">
        <v>42</v>
      </c>
    </row>
    <row r="326" spans="1:5" ht="17.25" customHeight="1" thickBot="1" x14ac:dyDescent="0.3">
      <c r="A326" s="221" t="s">
        <v>169</v>
      </c>
      <c r="B326" s="224">
        <v>0</v>
      </c>
      <c r="C326" s="224">
        <v>0</v>
      </c>
      <c r="D326" s="224">
        <v>0</v>
      </c>
      <c r="E326" s="224">
        <v>0</v>
      </c>
    </row>
    <row r="327" spans="1:5" ht="15" customHeight="1" thickBot="1" x14ac:dyDescent="0.3">
      <c r="A327" s="221" t="s">
        <v>112</v>
      </c>
      <c r="B327" s="226"/>
      <c r="C327" s="224">
        <v>26820</v>
      </c>
      <c r="D327" s="224">
        <v>40230</v>
      </c>
      <c r="E327" s="224">
        <v>0</v>
      </c>
    </row>
    <row r="328" spans="1:5" ht="15.75" customHeight="1" thickBot="1" x14ac:dyDescent="0.3">
      <c r="A328" s="223" t="s">
        <v>262</v>
      </c>
      <c r="B328" s="226">
        <f>B327+B326</f>
        <v>0</v>
      </c>
      <c r="C328" s="226">
        <f t="shared" ref="C328:D328" si="30">C327+C326</f>
        <v>26820</v>
      </c>
      <c r="D328" s="226">
        <f t="shared" si="30"/>
        <v>40230</v>
      </c>
      <c r="E328" s="226">
        <v>0</v>
      </c>
    </row>
    <row r="329" spans="1:5" ht="16.5" customHeight="1" thickBot="1" x14ac:dyDescent="0.3">
      <c r="A329" s="753" t="s">
        <v>104</v>
      </c>
      <c r="B329" s="754"/>
      <c r="C329" s="754"/>
      <c r="D329" s="754"/>
      <c r="E329" s="755"/>
    </row>
    <row r="330" spans="1:5" ht="16.5" customHeight="1" thickBot="1" x14ac:dyDescent="0.3">
      <c r="A330" s="753" t="s">
        <v>170</v>
      </c>
      <c r="B330" s="754"/>
      <c r="C330" s="754"/>
      <c r="D330" s="754"/>
      <c r="E330" s="755"/>
    </row>
    <row r="331" spans="1:5" ht="18" customHeight="1" thickBot="1" x14ac:dyDescent="0.3">
      <c r="A331" s="215" t="s">
        <v>257</v>
      </c>
      <c r="B331" s="756" t="s">
        <v>313</v>
      </c>
      <c r="C331" s="757"/>
      <c r="D331" s="757"/>
      <c r="E331" s="758"/>
    </row>
    <row r="332" spans="1:5" ht="24" customHeight="1" thickBot="1" x14ac:dyDescent="0.3">
      <c r="A332" s="215" t="s">
        <v>264</v>
      </c>
      <c r="B332" s="756" t="s">
        <v>314</v>
      </c>
      <c r="C332" s="757"/>
      <c r="D332" s="757"/>
      <c r="E332" s="758"/>
    </row>
    <row r="333" spans="1:5" ht="24" customHeight="1" thickBot="1" x14ac:dyDescent="0.3">
      <c r="A333" s="215" t="s">
        <v>72</v>
      </c>
      <c r="B333" s="750" t="s">
        <v>315</v>
      </c>
      <c r="C333" s="751"/>
      <c r="D333" s="751"/>
      <c r="E333" s="752"/>
    </row>
    <row r="334" spans="1:5" ht="24" customHeight="1" thickBot="1" x14ac:dyDescent="0.3">
      <c r="A334" s="215" t="s">
        <v>74</v>
      </c>
      <c r="B334" s="756" t="s">
        <v>316</v>
      </c>
      <c r="C334" s="757"/>
      <c r="D334" s="757"/>
      <c r="E334" s="758"/>
    </row>
    <row r="335" spans="1:5" ht="17.25" customHeight="1" x14ac:dyDescent="0.25">
      <c r="A335" s="748"/>
      <c r="B335" s="202">
        <v>2018</v>
      </c>
      <c r="C335" s="202">
        <v>2019</v>
      </c>
      <c r="D335" s="202">
        <v>2020</v>
      </c>
      <c r="E335" s="202">
        <v>2021</v>
      </c>
    </row>
    <row r="336" spans="1:5" ht="11.25" customHeight="1" thickBot="1" x14ac:dyDescent="0.3">
      <c r="A336" s="749"/>
      <c r="B336" s="203" t="s">
        <v>41</v>
      </c>
      <c r="C336" s="203" t="s">
        <v>42</v>
      </c>
      <c r="D336" s="203" t="s">
        <v>42</v>
      </c>
      <c r="E336" s="203" t="s">
        <v>42</v>
      </c>
    </row>
    <row r="337" spans="1:7" ht="17.25" customHeight="1" thickBot="1" x14ac:dyDescent="0.3">
      <c r="A337" s="215" t="s">
        <v>76</v>
      </c>
      <c r="B337" s="217">
        <v>1</v>
      </c>
      <c r="C337" s="217"/>
      <c r="D337" s="217"/>
      <c r="E337" s="217"/>
    </row>
    <row r="338" spans="1:7" ht="12.75" customHeight="1" thickBot="1" x14ac:dyDescent="0.3">
      <c r="A338" s="215" t="s">
        <v>77</v>
      </c>
      <c r="B338" s="217">
        <v>8931</v>
      </c>
      <c r="C338" s="217"/>
      <c r="D338" s="217"/>
      <c r="E338" s="217"/>
    </row>
    <row r="339" spans="1:7" ht="14.25" customHeight="1" thickBot="1" x14ac:dyDescent="0.3">
      <c r="A339" s="215" t="s">
        <v>78</v>
      </c>
      <c r="B339" s="217">
        <f>B338/B337</f>
        <v>8931</v>
      </c>
      <c r="C339" s="217">
        <v>0</v>
      </c>
      <c r="D339" s="217">
        <v>0</v>
      </c>
      <c r="E339" s="217">
        <v>0</v>
      </c>
    </row>
    <row r="340" spans="1:7" ht="24" customHeight="1" thickBot="1" x14ac:dyDescent="0.3">
      <c r="A340" s="215" t="s">
        <v>79</v>
      </c>
      <c r="B340" s="218" t="s">
        <v>80</v>
      </c>
      <c r="C340" s="219">
        <f>C337/B337-1</f>
        <v>-1</v>
      </c>
      <c r="D340" s="219"/>
      <c r="E340" s="219"/>
      <c r="F340" s="220"/>
      <c r="G340" s="220"/>
    </row>
    <row r="341" spans="1:7" ht="24" customHeight="1" thickBot="1" x14ac:dyDescent="0.3">
      <c r="A341" s="215" t="s">
        <v>81</v>
      </c>
      <c r="B341" s="218" t="s">
        <v>80</v>
      </c>
      <c r="C341" s="219">
        <f>C338/B338-1</f>
        <v>-1</v>
      </c>
      <c r="D341" s="219"/>
      <c r="E341" s="219"/>
    </row>
    <row r="342" spans="1:7" ht="24" customHeight="1" thickBot="1" x14ac:dyDescent="0.3">
      <c r="A342" s="215" t="s">
        <v>82</v>
      </c>
      <c r="B342" s="218" t="s">
        <v>80</v>
      </c>
      <c r="C342" s="219">
        <f>C339/B339-1</f>
        <v>-1</v>
      </c>
      <c r="D342" s="219"/>
      <c r="E342" s="219"/>
    </row>
    <row r="343" spans="1:7" ht="24" customHeight="1" thickBot="1" x14ac:dyDescent="0.3">
      <c r="A343" s="750" t="s">
        <v>265</v>
      </c>
      <c r="B343" s="751"/>
      <c r="C343" s="751"/>
      <c r="D343" s="751"/>
      <c r="E343" s="752"/>
    </row>
    <row r="344" spans="1:7" ht="18" customHeight="1" x14ac:dyDescent="0.25">
      <c r="A344" s="748"/>
      <c r="B344" s="202">
        <v>2018</v>
      </c>
      <c r="C344" s="202">
        <v>2019</v>
      </c>
      <c r="D344" s="202">
        <v>2020</v>
      </c>
      <c r="E344" s="202">
        <v>2021</v>
      </c>
    </row>
    <row r="345" spans="1:7" ht="12" customHeight="1" thickBot="1" x14ac:dyDescent="0.3">
      <c r="A345" s="749"/>
      <c r="B345" s="203" t="s">
        <v>41</v>
      </c>
      <c r="C345" s="203" t="s">
        <v>42</v>
      </c>
      <c r="D345" s="203" t="s">
        <v>42</v>
      </c>
      <c r="E345" s="203" t="s">
        <v>42</v>
      </c>
    </row>
    <row r="346" spans="1:7" ht="15" customHeight="1" thickBot="1" x14ac:dyDescent="0.3">
      <c r="A346" s="221" t="s">
        <v>169</v>
      </c>
      <c r="B346" s="224">
        <v>8931</v>
      </c>
      <c r="C346" s="224"/>
      <c r="D346" s="224"/>
      <c r="E346" s="224"/>
    </row>
    <row r="347" spans="1:7" ht="16.5" customHeight="1" x14ac:dyDescent="0.25">
      <c r="A347" s="227" t="s">
        <v>112</v>
      </c>
      <c r="B347" s="232"/>
      <c r="C347" s="233"/>
      <c r="D347" s="233"/>
      <c r="E347" s="233"/>
    </row>
    <row r="348" spans="1:7" ht="15" customHeight="1" x14ac:dyDescent="0.25">
      <c r="A348" s="234" t="s">
        <v>266</v>
      </c>
      <c r="B348" s="241">
        <f>B346+B347</f>
        <v>8931</v>
      </c>
      <c r="C348" s="235">
        <f t="shared" ref="C348:E348" si="31">C346+C347</f>
        <v>0</v>
      </c>
      <c r="D348" s="235">
        <f t="shared" si="31"/>
        <v>0</v>
      </c>
      <c r="E348" s="236">
        <f t="shared" si="31"/>
        <v>0</v>
      </c>
    </row>
    <row r="349" spans="1:7" ht="11.25" customHeight="1" thickBot="1" x14ac:dyDescent="0.3">
      <c r="A349" s="230"/>
      <c r="B349" s="226"/>
      <c r="C349" s="226"/>
      <c r="D349" s="226"/>
      <c r="E349" s="226"/>
    </row>
    <row r="350" spans="1:7" ht="38.25" customHeight="1" thickBot="1" x14ac:dyDescent="0.3">
      <c r="A350" s="207" t="s">
        <v>317</v>
      </c>
      <c r="B350" s="224">
        <f>B54+B77+B98+B116+B134+B154+B172+B190+B208+B226+B259+B282+B305+B328+B348</f>
        <v>3745155</v>
      </c>
      <c r="C350" s="224">
        <f t="shared" ref="C350:E350" si="32">C54+C77+C98+C116+C134+C154+C172+C190+C208+C226+C259+C282+C305+C328+C348</f>
        <v>3428220</v>
      </c>
      <c r="D350" s="224">
        <f t="shared" si="32"/>
        <v>3428220</v>
      </c>
      <c r="E350" s="224">
        <f t="shared" si="32"/>
        <v>3428220</v>
      </c>
    </row>
    <row r="351" spans="1:7" ht="24" customHeight="1" thickBot="1" x14ac:dyDescent="0.3">
      <c r="A351" s="207" t="s">
        <v>318</v>
      </c>
      <c r="B351" s="224">
        <f>B353+B355+B357+B363+B365+B367+B369</f>
        <v>3745155</v>
      </c>
      <c r="C351" s="224">
        <f>C353+C355+C357+C359+C361+C363+C365+C367+C369</f>
        <v>3428220</v>
      </c>
      <c r="D351" s="224">
        <f>D353+D355+D357+D359+D361+D363+D365+D367+D369</f>
        <v>3428220</v>
      </c>
      <c r="E351" s="224">
        <f>E353+E355+E357+E359+E361+E363+E365+E367+E369</f>
        <v>3428220</v>
      </c>
    </row>
    <row r="352" spans="1:7" ht="24" customHeight="1" thickBot="1" x14ac:dyDescent="0.3">
      <c r="A352" s="242" t="s">
        <v>123</v>
      </c>
      <c r="B352" s="226"/>
      <c r="C352" s="243">
        <f>C351/B351-1</f>
        <v>-8.4625335934026769E-2</v>
      </c>
      <c r="D352" s="243">
        <f t="shared" ref="D352:E352" si="33">D351/C351-1</f>
        <v>0</v>
      </c>
      <c r="E352" s="243">
        <f t="shared" si="33"/>
        <v>0</v>
      </c>
      <c r="F352" s="220"/>
    </row>
    <row r="353" spans="1:7" ht="19.5" customHeight="1" thickBot="1" x14ac:dyDescent="0.3">
      <c r="A353" s="221" t="s">
        <v>84</v>
      </c>
      <c r="B353" s="224">
        <f>B275+B252+B70+B47</f>
        <v>1072000</v>
      </c>
      <c r="C353" s="224">
        <f>C275+C252+C70+C47</f>
        <v>1044040</v>
      </c>
      <c r="D353" s="224">
        <f>D275+D252+D70+D47</f>
        <v>1044040</v>
      </c>
      <c r="E353" s="224">
        <f>E275+E252+E70+E47</f>
        <v>1044040</v>
      </c>
    </row>
    <row r="354" spans="1:7" ht="18.75" customHeight="1" thickBot="1" x14ac:dyDescent="0.3">
      <c r="A354" s="244" t="s">
        <v>124</v>
      </c>
      <c r="B354" s="226"/>
      <c r="C354" s="243">
        <f>C353/B353-1</f>
        <v>-2.6082089552238785E-2</v>
      </c>
      <c r="D354" s="243">
        <f t="shared" ref="D354:E354" si="34">D353/C353-1</f>
        <v>0</v>
      </c>
      <c r="E354" s="243">
        <f t="shared" si="34"/>
        <v>0</v>
      </c>
    </row>
    <row r="355" spans="1:7" ht="24" customHeight="1" thickBot="1" x14ac:dyDescent="0.3">
      <c r="A355" s="221" t="s">
        <v>85</v>
      </c>
      <c r="B355" s="224">
        <f>B276+B253+B71+B48</f>
        <v>167000</v>
      </c>
      <c r="C355" s="224">
        <f>C276+C253+C71+C48</f>
        <v>169960</v>
      </c>
      <c r="D355" s="224">
        <f>D276+D253+D71+D48</f>
        <v>169960</v>
      </c>
      <c r="E355" s="224">
        <f>E276+E253+E71+E48</f>
        <v>169960</v>
      </c>
    </row>
    <row r="356" spans="1:7" ht="24" customHeight="1" thickBot="1" x14ac:dyDescent="0.3">
      <c r="A356" s="244" t="s">
        <v>125</v>
      </c>
      <c r="B356" s="226"/>
      <c r="C356" s="243">
        <f>C355/B355-1</f>
        <v>1.7724550898203573E-2</v>
      </c>
      <c r="D356" s="243">
        <f t="shared" ref="D356:E356" si="35">D355/C355-1</f>
        <v>0</v>
      </c>
      <c r="E356" s="243">
        <f t="shared" si="35"/>
        <v>0</v>
      </c>
    </row>
    <row r="357" spans="1:7" ht="20.25" customHeight="1" thickBot="1" x14ac:dyDescent="0.3">
      <c r="A357" s="221" t="s">
        <v>86</v>
      </c>
      <c r="B357" s="224">
        <f>B49+B72+B254+B277+B300</f>
        <v>1980000</v>
      </c>
      <c r="C357" s="224">
        <f>C49+C72+C254+C277+C300</f>
        <v>2022600</v>
      </c>
      <c r="D357" s="224">
        <f>D49+D72+D254+D277+D300</f>
        <v>2021617</v>
      </c>
      <c r="E357" s="224">
        <f>E49+E72+E254+E277+E300</f>
        <v>2031350</v>
      </c>
      <c r="F357" s="220"/>
      <c r="G357" s="220"/>
    </row>
    <row r="358" spans="1:7" ht="24" customHeight="1" thickBot="1" x14ac:dyDescent="0.3">
      <c r="A358" s="244" t="s">
        <v>126</v>
      </c>
      <c r="B358" s="226"/>
      <c r="C358" s="243">
        <f>C357/B357-1</f>
        <v>2.1515151515151487E-2</v>
      </c>
      <c r="D358" s="243">
        <f t="shared" ref="D358:E358" si="36">D357/C357-1</f>
        <v>-4.8600810837540198E-4</v>
      </c>
      <c r="E358" s="243">
        <f t="shared" si="36"/>
        <v>4.814462877983372E-3</v>
      </c>
    </row>
    <row r="359" spans="1:7" ht="19.5" customHeight="1" thickBot="1" x14ac:dyDescent="0.3">
      <c r="A359" s="221" t="s">
        <v>87</v>
      </c>
      <c r="B359" s="224">
        <f>B278+B255+B73+B50</f>
        <v>0</v>
      </c>
      <c r="C359" s="224">
        <f>C278+C255+C73+C50</f>
        <v>0</v>
      </c>
      <c r="D359" s="224">
        <f>D278+D255+D73+D50</f>
        <v>0</v>
      </c>
      <c r="E359" s="224">
        <f>E278+E255+E73+E50</f>
        <v>0</v>
      </c>
    </row>
    <row r="360" spans="1:7" ht="16.5" customHeight="1" thickBot="1" x14ac:dyDescent="0.3">
      <c r="A360" s="244" t="s">
        <v>228</v>
      </c>
      <c r="B360" s="226"/>
      <c r="C360" s="243">
        <v>0</v>
      </c>
      <c r="D360" s="243">
        <v>0</v>
      </c>
      <c r="E360" s="243">
        <v>0</v>
      </c>
    </row>
    <row r="361" spans="1:7" ht="18.75" customHeight="1" thickBot="1" x14ac:dyDescent="0.3">
      <c r="A361" s="221" t="s">
        <v>88</v>
      </c>
      <c r="B361" s="224">
        <f>B279+B256+B74+B51</f>
        <v>0</v>
      </c>
      <c r="C361" s="224">
        <f>C279+C256+C74+C51</f>
        <v>0</v>
      </c>
      <c r="D361" s="224">
        <f>D279+D256+D74+D51</f>
        <v>0</v>
      </c>
      <c r="E361" s="224">
        <f>E279+E256+E74+E51</f>
        <v>0</v>
      </c>
    </row>
    <row r="362" spans="1:7" ht="24" customHeight="1" thickBot="1" x14ac:dyDescent="0.3">
      <c r="A362" s="244" t="s">
        <v>229</v>
      </c>
      <c r="B362" s="226"/>
      <c r="C362" s="243">
        <v>0</v>
      </c>
      <c r="D362" s="243">
        <v>0</v>
      </c>
      <c r="E362" s="243">
        <v>0</v>
      </c>
    </row>
    <row r="363" spans="1:7" ht="24" customHeight="1" thickBot="1" x14ac:dyDescent="0.3">
      <c r="A363" s="221" t="s">
        <v>89</v>
      </c>
      <c r="B363" s="224">
        <f>B280+B257+B75+B52</f>
        <v>9618</v>
      </c>
      <c r="C363" s="224">
        <f>C280+C257+C75+C52</f>
        <v>18400</v>
      </c>
      <c r="D363" s="224">
        <f>D280+D257+D75+D52</f>
        <v>19383</v>
      </c>
      <c r="E363" s="224">
        <f>E280+E257+E75+E52</f>
        <v>9650</v>
      </c>
    </row>
    <row r="364" spans="1:7" ht="24" customHeight="1" thickBot="1" x14ac:dyDescent="0.3">
      <c r="A364" s="244" t="s">
        <v>230</v>
      </c>
      <c r="B364" s="226"/>
      <c r="C364" s="243">
        <f>C363/B363-1</f>
        <v>0.91307964233728423</v>
      </c>
      <c r="D364" s="243">
        <f t="shared" ref="D364:E364" si="37">D363/C363-1</f>
        <v>5.3423913043478155E-2</v>
      </c>
      <c r="E364" s="243">
        <f t="shared" si="37"/>
        <v>-0.50214105143682608</v>
      </c>
    </row>
    <row r="365" spans="1:7" ht="24" customHeight="1" thickBot="1" x14ac:dyDescent="0.3">
      <c r="A365" s="221" t="s">
        <v>90</v>
      </c>
      <c r="B365" s="224">
        <f>B281+B258+B76+B53</f>
        <v>1537</v>
      </c>
      <c r="C365" s="224">
        <f>C281+C258+C76+C53</f>
        <v>0</v>
      </c>
      <c r="D365" s="224">
        <f>D281+D258+D76+D53</f>
        <v>0</v>
      </c>
      <c r="E365" s="224">
        <f>E281+E258+E76+E53</f>
        <v>0</v>
      </c>
    </row>
    <row r="366" spans="1:7" ht="24" customHeight="1" thickBot="1" x14ac:dyDescent="0.3">
      <c r="A366" s="244" t="s">
        <v>231</v>
      </c>
      <c r="B366" s="226"/>
      <c r="C366" s="243">
        <v>0</v>
      </c>
      <c r="D366" s="243">
        <v>0</v>
      </c>
      <c r="E366" s="243">
        <v>0</v>
      </c>
    </row>
    <row r="367" spans="1:7" ht="15.75" customHeight="1" thickBot="1" x14ac:dyDescent="0.3">
      <c r="A367" s="221" t="s">
        <v>127</v>
      </c>
      <c r="B367" s="224">
        <f>B346+B326+B224+B206+B170+B114+B97+B152</f>
        <v>296438</v>
      </c>
      <c r="C367" s="224">
        <f>C224+C206+C188+C170+C152+C132+C114+C96</f>
        <v>15000</v>
      </c>
      <c r="D367" s="224">
        <f t="shared" ref="D367:E367" si="38">D224+D206+D188+D170+D152+D132+D114+D96</f>
        <v>13410</v>
      </c>
      <c r="E367" s="224">
        <f t="shared" si="38"/>
        <v>12069</v>
      </c>
    </row>
    <row r="368" spans="1:7" ht="24" customHeight="1" thickBot="1" x14ac:dyDescent="0.3">
      <c r="A368" s="244" t="s">
        <v>128</v>
      </c>
      <c r="B368" s="226"/>
      <c r="C368" s="243">
        <f>C367/B367-1</f>
        <v>-0.94939919983268006</v>
      </c>
      <c r="D368" s="243">
        <f t="shared" ref="D368:E368" si="39">D367/C367-1</f>
        <v>-0.10599999999999998</v>
      </c>
      <c r="E368" s="243">
        <f t="shared" si="39"/>
        <v>-9.9999999999999978E-2</v>
      </c>
    </row>
    <row r="369" spans="1:5" ht="24" customHeight="1" thickBot="1" x14ac:dyDescent="0.3">
      <c r="A369" s="221" t="s">
        <v>232</v>
      </c>
      <c r="B369" s="224">
        <f>B327+B225+B207+B189+B171+B153+B133+B115</f>
        <v>218562</v>
      </c>
      <c r="C369" s="224">
        <f>C327+C207+C189+C153+C133+C115+C97</f>
        <v>158220</v>
      </c>
      <c r="D369" s="224">
        <f t="shared" ref="D369:E369" si="40">D327+D207+D189+D153+D133+D115+D97</f>
        <v>159810</v>
      </c>
      <c r="E369" s="224">
        <f t="shared" si="40"/>
        <v>161151</v>
      </c>
    </row>
    <row r="370" spans="1:5" ht="24" customHeight="1" thickBot="1" x14ac:dyDescent="0.3">
      <c r="A370" s="244" t="s">
        <v>233</v>
      </c>
      <c r="B370" s="226"/>
      <c r="C370" s="243">
        <f>C369/B369-1</f>
        <v>-0.27608641941417078</v>
      </c>
      <c r="D370" s="243">
        <f>D369/C369</f>
        <v>1.010049298445203</v>
      </c>
      <c r="E370" s="243">
        <f t="shared" ref="E370" si="41">E369/D369-1</f>
        <v>8.3912145672986327E-3</v>
      </c>
    </row>
    <row r="371" spans="1:5" ht="15.75" thickBot="1" x14ac:dyDescent="0.3">
      <c r="A371" s="207" t="s">
        <v>92</v>
      </c>
      <c r="B371" s="224">
        <f>IF(B351-B350=0,0,"Error")</f>
        <v>0</v>
      </c>
      <c r="C371" s="224">
        <f t="shared" ref="C371:E371" si="42">IF(C351-C350=0,0,"Error")</f>
        <v>0</v>
      </c>
      <c r="D371" s="224">
        <f t="shared" si="42"/>
        <v>0</v>
      </c>
      <c r="E371" s="224">
        <f t="shared" si="42"/>
        <v>0</v>
      </c>
    </row>
    <row r="372" spans="1:5" ht="23.25" customHeight="1" thickBot="1" x14ac:dyDescent="0.3">
      <c r="A372" s="221" t="s">
        <v>129</v>
      </c>
      <c r="B372" s="224">
        <v>1102</v>
      </c>
      <c r="C372" s="224">
        <v>1102</v>
      </c>
      <c r="D372" s="224">
        <v>1102</v>
      </c>
      <c r="E372" s="224">
        <v>1102</v>
      </c>
    </row>
    <row r="373" spans="1:5" ht="24" customHeight="1" thickBot="1" x14ac:dyDescent="0.3">
      <c r="A373" s="221" t="s">
        <v>130</v>
      </c>
      <c r="B373" s="224">
        <f>147+6</f>
        <v>153</v>
      </c>
      <c r="C373" s="224">
        <f t="shared" ref="C373:E373" si="43">147+6</f>
        <v>153</v>
      </c>
      <c r="D373" s="224">
        <f t="shared" si="43"/>
        <v>153</v>
      </c>
      <c r="E373" s="224">
        <f t="shared" si="43"/>
        <v>153</v>
      </c>
    </row>
  </sheetData>
  <mergeCells count="135">
    <mergeCell ref="B3:E3"/>
    <mergeCell ref="B4:E4"/>
    <mergeCell ref="B5:E5"/>
    <mergeCell ref="C6:E6"/>
    <mergeCell ref="C7:E7"/>
    <mergeCell ref="C8:E8"/>
    <mergeCell ref="A16:E18"/>
    <mergeCell ref="B19:E19"/>
    <mergeCell ref="A20:A21"/>
    <mergeCell ref="B23:E23"/>
    <mergeCell ref="A24:E24"/>
    <mergeCell ref="A31:E31"/>
    <mergeCell ref="A9:E9"/>
    <mergeCell ref="A10:E10"/>
    <mergeCell ref="B12:E12"/>
    <mergeCell ref="B13:E13"/>
    <mergeCell ref="B14:E14"/>
    <mergeCell ref="A15:E15"/>
    <mergeCell ref="A45:A46"/>
    <mergeCell ref="B56:E56"/>
    <mergeCell ref="B57:E57"/>
    <mergeCell ref="B58:E58"/>
    <mergeCell ref="A60:A61"/>
    <mergeCell ref="A67:E67"/>
    <mergeCell ref="A32:E32"/>
    <mergeCell ref="B33:E33"/>
    <mergeCell ref="B34:E34"/>
    <mergeCell ref="B35:E35"/>
    <mergeCell ref="A36:A37"/>
    <mergeCell ref="A44:E44"/>
    <mergeCell ref="B84:E84"/>
    <mergeCell ref="A85:A86"/>
    <mergeCell ref="A93:E93"/>
    <mergeCell ref="A94:A95"/>
    <mergeCell ref="B99:E99"/>
    <mergeCell ref="B100:E100"/>
    <mergeCell ref="A68:A69"/>
    <mergeCell ref="A79:E79"/>
    <mergeCell ref="A80:E80"/>
    <mergeCell ref="B81:E81"/>
    <mergeCell ref="B82:E82"/>
    <mergeCell ref="B83:E83"/>
    <mergeCell ref="B118:E118"/>
    <mergeCell ref="B119:E119"/>
    <mergeCell ref="B120:E120"/>
    <mergeCell ref="A121:A122"/>
    <mergeCell ref="A129:E129"/>
    <mergeCell ref="A130:A131"/>
    <mergeCell ref="B101:E101"/>
    <mergeCell ref="B102:E102"/>
    <mergeCell ref="A103:A104"/>
    <mergeCell ref="A111:E111"/>
    <mergeCell ref="A112:A113"/>
    <mergeCell ref="B117:E117"/>
    <mergeCell ref="A141:A142"/>
    <mergeCell ref="A149:E149"/>
    <mergeCell ref="A150:A151"/>
    <mergeCell ref="B155:E155"/>
    <mergeCell ref="B156:E156"/>
    <mergeCell ref="B157:E157"/>
    <mergeCell ref="A135:E135"/>
    <mergeCell ref="A136:E136"/>
    <mergeCell ref="B137:E137"/>
    <mergeCell ref="B138:E138"/>
    <mergeCell ref="B139:E139"/>
    <mergeCell ref="B140:E140"/>
    <mergeCell ref="B175:E175"/>
    <mergeCell ref="B176:E176"/>
    <mergeCell ref="A177:A178"/>
    <mergeCell ref="A185:E185"/>
    <mergeCell ref="A186:A187"/>
    <mergeCell ref="B191:E191"/>
    <mergeCell ref="B158:E158"/>
    <mergeCell ref="A159:A160"/>
    <mergeCell ref="A167:E167"/>
    <mergeCell ref="A168:A169"/>
    <mergeCell ref="B173:E173"/>
    <mergeCell ref="B174:E174"/>
    <mergeCell ref="B209:E209"/>
    <mergeCell ref="B210:E210"/>
    <mergeCell ref="B211:E211"/>
    <mergeCell ref="B212:E212"/>
    <mergeCell ref="A213:A214"/>
    <mergeCell ref="A221:E221"/>
    <mergeCell ref="B192:E192"/>
    <mergeCell ref="B193:E193"/>
    <mergeCell ref="B194:E194"/>
    <mergeCell ref="A195:A196"/>
    <mergeCell ref="A203:E203"/>
    <mergeCell ref="A204:A205"/>
    <mergeCell ref="B236:E236"/>
    <mergeCell ref="B237:E237"/>
    <mergeCell ref="B238:E238"/>
    <mergeCell ref="A239:A240"/>
    <mergeCell ref="A247:A248"/>
    <mergeCell ref="A249:E249"/>
    <mergeCell ref="A222:A223"/>
    <mergeCell ref="B228:E228"/>
    <mergeCell ref="A229:E229"/>
    <mergeCell ref="A232:E232"/>
    <mergeCell ref="A233:E233"/>
    <mergeCell ref="A234:A235"/>
    <mergeCell ref="A273:A274"/>
    <mergeCell ref="B284:E284"/>
    <mergeCell ref="B285:E285"/>
    <mergeCell ref="B286:E286"/>
    <mergeCell ref="A287:A288"/>
    <mergeCell ref="A295:E295"/>
    <mergeCell ref="A250:A251"/>
    <mergeCell ref="B261:E261"/>
    <mergeCell ref="B262:E262"/>
    <mergeCell ref="B263:E263"/>
    <mergeCell ref="A264:A265"/>
    <mergeCell ref="A272:E272"/>
    <mergeCell ref="B312:E312"/>
    <mergeCell ref="B313:E313"/>
    <mergeCell ref="B314:E314"/>
    <mergeCell ref="A315:A316"/>
    <mergeCell ref="A323:E323"/>
    <mergeCell ref="A324:A325"/>
    <mergeCell ref="A296:A297"/>
    <mergeCell ref="A307:E307"/>
    <mergeCell ref="A308:E308"/>
    <mergeCell ref="A309:E309"/>
    <mergeCell ref="A310:E310"/>
    <mergeCell ref="B311:E311"/>
    <mergeCell ref="A335:A336"/>
    <mergeCell ref="A343:E343"/>
    <mergeCell ref="A344:A345"/>
    <mergeCell ref="A329:E329"/>
    <mergeCell ref="A330:E330"/>
    <mergeCell ref="B331:E331"/>
    <mergeCell ref="B332:E332"/>
    <mergeCell ref="B333:E333"/>
    <mergeCell ref="B334:E334"/>
  </mergeCell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28"/>
  <sheetViews>
    <sheetView view="pageBreakPreview" topLeftCell="A91" zoomScale="60" zoomScaleNormal="120" workbookViewId="0">
      <selection activeCell="B19" sqref="B19:E19"/>
    </sheetView>
  </sheetViews>
  <sheetFormatPr defaultRowHeight="15" x14ac:dyDescent="0.25"/>
  <cols>
    <col min="1" max="1" width="29" style="122" customWidth="1"/>
    <col min="2" max="3" width="21.42578125" style="122" customWidth="1"/>
    <col min="4" max="4" width="18.140625" style="122" customWidth="1"/>
    <col min="5" max="5" width="17.140625" style="122" customWidth="1"/>
    <col min="6" max="6" width="11" style="122" customWidth="1"/>
    <col min="7" max="7" width="11" style="122" bestFit="1" customWidth="1"/>
    <col min="8" max="256" width="9.140625" style="122"/>
    <col min="257" max="257" width="29" style="122" customWidth="1"/>
    <col min="258" max="259" width="21.42578125" style="122" customWidth="1"/>
    <col min="260" max="260" width="18.140625" style="122" customWidth="1"/>
    <col min="261" max="261" width="17.140625" style="122" customWidth="1"/>
    <col min="262" max="262" width="11" style="122" customWidth="1"/>
    <col min="263" max="263" width="11" style="122" bestFit="1" customWidth="1"/>
    <col min="264" max="512" width="9.140625" style="122"/>
    <col min="513" max="513" width="29" style="122" customWidth="1"/>
    <col min="514" max="515" width="21.42578125" style="122" customWidth="1"/>
    <col min="516" max="516" width="18.140625" style="122" customWidth="1"/>
    <col min="517" max="517" width="17.140625" style="122" customWidth="1"/>
    <col min="518" max="518" width="11" style="122" customWidth="1"/>
    <col min="519" max="519" width="11" style="122" bestFit="1" customWidth="1"/>
    <col min="520" max="768" width="9.140625" style="122"/>
    <col min="769" max="769" width="29" style="122" customWidth="1"/>
    <col min="770" max="771" width="21.42578125" style="122" customWidth="1"/>
    <col min="772" max="772" width="18.140625" style="122" customWidth="1"/>
    <col min="773" max="773" width="17.140625" style="122" customWidth="1"/>
    <col min="774" max="774" width="11" style="122" customWidth="1"/>
    <col min="775" max="775" width="11" style="122" bestFit="1" customWidth="1"/>
    <col min="776" max="1024" width="9.140625" style="122"/>
    <col min="1025" max="1025" width="29" style="122" customWidth="1"/>
    <col min="1026" max="1027" width="21.42578125" style="122" customWidth="1"/>
    <col min="1028" max="1028" width="18.140625" style="122" customWidth="1"/>
    <col min="1029" max="1029" width="17.140625" style="122" customWidth="1"/>
    <col min="1030" max="1030" width="11" style="122" customWidth="1"/>
    <col min="1031" max="1031" width="11" style="122" bestFit="1" customWidth="1"/>
    <col min="1032" max="1280" width="9.140625" style="122"/>
    <col min="1281" max="1281" width="29" style="122" customWidth="1"/>
    <col min="1282" max="1283" width="21.42578125" style="122" customWidth="1"/>
    <col min="1284" max="1284" width="18.140625" style="122" customWidth="1"/>
    <col min="1285" max="1285" width="17.140625" style="122" customWidth="1"/>
    <col min="1286" max="1286" width="11" style="122" customWidth="1"/>
    <col min="1287" max="1287" width="11" style="122" bestFit="1" customWidth="1"/>
    <col min="1288" max="1536" width="9.140625" style="122"/>
    <col min="1537" max="1537" width="29" style="122" customWidth="1"/>
    <col min="1538" max="1539" width="21.42578125" style="122" customWidth="1"/>
    <col min="1540" max="1540" width="18.140625" style="122" customWidth="1"/>
    <col min="1541" max="1541" width="17.140625" style="122" customWidth="1"/>
    <col min="1542" max="1542" width="11" style="122" customWidth="1"/>
    <col min="1543" max="1543" width="11" style="122" bestFit="1" customWidth="1"/>
    <col min="1544" max="1792" width="9.140625" style="122"/>
    <col min="1793" max="1793" width="29" style="122" customWidth="1"/>
    <col min="1794" max="1795" width="21.42578125" style="122" customWidth="1"/>
    <col min="1796" max="1796" width="18.140625" style="122" customWidth="1"/>
    <col min="1797" max="1797" width="17.140625" style="122" customWidth="1"/>
    <col min="1798" max="1798" width="11" style="122" customWidth="1"/>
    <col min="1799" max="1799" width="11" style="122" bestFit="1" customWidth="1"/>
    <col min="1800" max="2048" width="9.140625" style="122"/>
    <col min="2049" max="2049" width="29" style="122" customWidth="1"/>
    <col min="2050" max="2051" width="21.42578125" style="122" customWidth="1"/>
    <col min="2052" max="2052" width="18.140625" style="122" customWidth="1"/>
    <col min="2053" max="2053" width="17.140625" style="122" customWidth="1"/>
    <col min="2054" max="2054" width="11" style="122" customWidth="1"/>
    <col min="2055" max="2055" width="11" style="122" bestFit="1" customWidth="1"/>
    <col min="2056" max="2304" width="9.140625" style="122"/>
    <col min="2305" max="2305" width="29" style="122" customWidth="1"/>
    <col min="2306" max="2307" width="21.42578125" style="122" customWidth="1"/>
    <col min="2308" max="2308" width="18.140625" style="122" customWidth="1"/>
    <col min="2309" max="2309" width="17.140625" style="122" customWidth="1"/>
    <col min="2310" max="2310" width="11" style="122" customWidth="1"/>
    <col min="2311" max="2311" width="11" style="122" bestFit="1" customWidth="1"/>
    <col min="2312" max="2560" width="9.140625" style="122"/>
    <col min="2561" max="2561" width="29" style="122" customWidth="1"/>
    <col min="2562" max="2563" width="21.42578125" style="122" customWidth="1"/>
    <col min="2564" max="2564" width="18.140625" style="122" customWidth="1"/>
    <col min="2565" max="2565" width="17.140625" style="122" customWidth="1"/>
    <col min="2566" max="2566" width="11" style="122" customWidth="1"/>
    <col min="2567" max="2567" width="11" style="122" bestFit="1" customWidth="1"/>
    <col min="2568" max="2816" width="9.140625" style="122"/>
    <col min="2817" max="2817" width="29" style="122" customWidth="1"/>
    <col min="2818" max="2819" width="21.42578125" style="122" customWidth="1"/>
    <col min="2820" max="2820" width="18.140625" style="122" customWidth="1"/>
    <col min="2821" max="2821" width="17.140625" style="122" customWidth="1"/>
    <col min="2822" max="2822" width="11" style="122" customWidth="1"/>
    <col min="2823" max="2823" width="11" style="122" bestFit="1" customWidth="1"/>
    <col min="2824" max="3072" width="9.140625" style="122"/>
    <col min="3073" max="3073" width="29" style="122" customWidth="1"/>
    <col min="3074" max="3075" width="21.42578125" style="122" customWidth="1"/>
    <col min="3076" max="3076" width="18.140625" style="122" customWidth="1"/>
    <col min="3077" max="3077" width="17.140625" style="122" customWidth="1"/>
    <col min="3078" max="3078" width="11" style="122" customWidth="1"/>
    <col min="3079" max="3079" width="11" style="122" bestFit="1" customWidth="1"/>
    <col min="3080" max="3328" width="9.140625" style="122"/>
    <col min="3329" max="3329" width="29" style="122" customWidth="1"/>
    <col min="3330" max="3331" width="21.42578125" style="122" customWidth="1"/>
    <col min="3332" max="3332" width="18.140625" style="122" customWidth="1"/>
    <col min="3333" max="3333" width="17.140625" style="122" customWidth="1"/>
    <col min="3334" max="3334" width="11" style="122" customWidth="1"/>
    <col min="3335" max="3335" width="11" style="122" bestFit="1" customWidth="1"/>
    <col min="3336" max="3584" width="9.140625" style="122"/>
    <col min="3585" max="3585" width="29" style="122" customWidth="1"/>
    <col min="3586" max="3587" width="21.42578125" style="122" customWidth="1"/>
    <col min="3588" max="3588" width="18.140625" style="122" customWidth="1"/>
    <col min="3589" max="3589" width="17.140625" style="122" customWidth="1"/>
    <col min="3590" max="3590" width="11" style="122" customWidth="1"/>
    <col min="3591" max="3591" width="11" style="122" bestFit="1" customWidth="1"/>
    <col min="3592" max="3840" width="9.140625" style="122"/>
    <col min="3841" max="3841" width="29" style="122" customWidth="1"/>
    <col min="3842" max="3843" width="21.42578125" style="122" customWidth="1"/>
    <col min="3844" max="3844" width="18.140625" style="122" customWidth="1"/>
    <col min="3845" max="3845" width="17.140625" style="122" customWidth="1"/>
    <col min="3846" max="3846" width="11" style="122" customWidth="1"/>
    <col min="3847" max="3847" width="11" style="122" bestFit="1" customWidth="1"/>
    <col min="3848" max="4096" width="9.140625" style="122"/>
    <col min="4097" max="4097" width="29" style="122" customWidth="1"/>
    <col min="4098" max="4099" width="21.42578125" style="122" customWidth="1"/>
    <col min="4100" max="4100" width="18.140625" style="122" customWidth="1"/>
    <col min="4101" max="4101" width="17.140625" style="122" customWidth="1"/>
    <col min="4102" max="4102" width="11" style="122" customWidth="1"/>
    <col min="4103" max="4103" width="11" style="122" bestFit="1" customWidth="1"/>
    <col min="4104" max="4352" width="9.140625" style="122"/>
    <col min="4353" max="4353" width="29" style="122" customWidth="1"/>
    <col min="4354" max="4355" width="21.42578125" style="122" customWidth="1"/>
    <col min="4356" max="4356" width="18.140625" style="122" customWidth="1"/>
    <col min="4357" max="4357" width="17.140625" style="122" customWidth="1"/>
    <col min="4358" max="4358" width="11" style="122" customWidth="1"/>
    <col min="4359" max="4359" width="11" style="122" bestFit="1" customWidth="1"/>
    <col min="4360" max="4608" width="9.140625" style="122"/>
    <col min="4609" max="4609" width="29" style="122" customWidth="1"/>
    <col min="4610" max="4611" width="21.42578125" style="122" customWidth="1"/>
    <col min="4612" max="4612" width="18.140625" style="122" customWidth="1"/>
    <col min="4613" max="4613" width="17.140625" style="122" customWidth="1"/>
    <col min="4614" max="4614" width="11" style="122" customWidth="1"/>
    <col min="4615" max="4615" width="11" style="122" bestFit="1" customWidth="1"/>
    <col min="4616" max="4864" width="9.140625" style="122"/>
    <col min="4865" max="4865" width="29" style="122" customWidth="1"/>
    <col min="4866" max="4867" width="21.42578125" style="122" customWidth="1"/>
    <col min="4868" max="4868" width="18.140625" style="122" customWidth="1"/>
    <col min="4869" max="4869" width="17.140625" style="122" customWidth="1"/>
    <col min="4870" max="4870" width="11" style="122" customWidth="1"/>
    <col min="4871" max="4871" width="11" style="122" bestFit="1" customWidth="1"/>
    <col min="4872" max="5120" width="9.140625" style="122"/>
    <col min="5121" max="5121" width="29" style="122" customWidth="1"/>
    <col min="5122" max="5123" width="21.42578125" style="122" customWidth="1"/>
    <col min="5124" max="5124" width="18.140625" style="122" customWidth="1"/>
    <col min="5125" max="5125" width="17.140625" style="122" customWidth="1"/>
    <col min="5126" max="5126" width="11" style="122" customWidth="1"/>
    <col min="5127" max="5127" width="11" style="122" bestFit="1" customWidth="1"/>
    <col min="5128" max="5376" width="9.140625" style="122"/>
    <col min="5377" max="5377" width="29" style="122" customWidth="1"/>
    <col min="5378" max="5379" width="21.42578125" style="122" customWidth="1"/>
    <col min="5380" max="5380" width="18.140625" style="122" customWidth="1"/>
    <col min="5381" max="5381" width="17.140625" style="122" customWidth="1"/>
    <col min="5382" max="5382" width="11" style="122" customWidth="1"/>
    <col min="5383" max="5383" width="11" style="122" bestFit="1" customWidth="1"/>
    <col min="5384" max="5632" width="9.140625" style="122"/>
    <col min="5633" max="5633" width="29" style="122" customWidth="1"/>
    <col min="5634" max="5635" width="21.42578125" style="122" customWidth="1"/>
    <col min="5636" max="5636" width="18.140625" style="122" customWidth="1"/>
    <col min="5637" max="5637" width="17.140625" style="122" customWidth="1"/>
    <col min="5638" max="5638" width="11" style="122" customWidth="1"/>
    <col min="5639" max="5639" width="11" style="122" bestFit="1" customWidth="1"/>
    <col min="5640" max="5888" width="9.140625" style="122"/>
    <col min="5889" max="5889" width="29" style="122" customWidth="1"/>
    <col min="5890" max="5891" width="21.42578125" style="122" customWidth="1"/>
    <col min="5892" max="5892" width="18.140625" style="122" customWidth="1"/>
    <col min="5893" max="5893" width="17.140625" style="122" customWidth="1"/>
    <col min="5894" max="5894" width="11" style="122" customWidth="1"/>
    <col min="5895" max="5895" width="11" style="122" bestFit="1" customWidth="1"/>
    <col min="5896" max="6144" width="9.140625" style="122"/>
    <col min="6145" max="6145" width="29" style="122" customWidth="1"/>
    <col min="6146" max="6147" width="21.42578125" style="122" customWidth="1"/>
    <col min="6148" max="6148" width="18.140625" style="122" customWidth="1"/>
    <col min="6149" max="6149" width="17.140625" style="122" customWidth="1"/>
    <col min="6150" max="6150" width="11" style="122" customWidth="1"/>
    <col min="6151" max="6151" width="11" style="122" bestFit="1" customWidth="1"/>
    <col min="6152" max="6400" width="9.140625" style="122"/>
    <col min="6401" max="6401" width="29" style="122" customWidth="1"/>
    <col min="6402" max="6403" width="21.42578125" style="122" customWidth="1"/>
    <col min="6404" max="6404" width="18.140625" style="122" customWidth="1"/>
    <col min="6405" max="6405" width="17.140625" style="122" customWidth="1"/>
    <col min="6406" max="6406" width="11" style="122" customWidth="1"/>
    <col min="6407" max="6407" width="11" style="122" bestFit="1" customWidth="1"/>
    <col min="6408" max="6656" width="9.140625" style="122"/>
    <col min="6657" max="6657" width="29" style="122" customWidth="1"/>
    <col min="6658" max="6659" width="21.42578125" style="122" customWidth="1"/>
    <col min="6660" max="6660" width="18.140625" style="122" customWidth="1"/>
    <col min="6661" max="6661" width="17.140625" style="122" customWidth="1"/>
    <col min="6662" max="6662" width="11" style="122" customWidth="1"/>
    <col min="6663" max="6663" width="11" style="122" bestFit="1" customWidth="1"/>
    <col min="6664" max="6912" width="9.140625" style="122"/>
    <col min="6913" max="6913" width="29" style="122" customWidth="1"/>
    <col min="6914" max="6915" width="21.42578125" style="122" customWidth="1"/>
    <col min="6916" max="6916" width="18.140625" style="122" customWidth="1"/>
    <col min="6917" max="6917" width="17.140625" style="122" customWidth="1"/>
    <col min="6918" max="6918" width="11" style="122" customWidth="1"/>
    <col min="6919" max="6919" width="11" style="122" bestFit="1" customWidth="1"/>
    <col min="6920" max="7168" width="9.140625" style="122"/>
    <col min="7169" max="7169" width="29" style="122" customWidth="1"/>
    <col min="7170" max="7171" width="21.42578125" style="122" customWidth="1"/>
    <col min="7172" max="7172" width="18.140625" style="122" customWidth="1"/>
    <col min="7173" max="7173" width="17.140625" style="122" customWidth="1"/>
    <col min="7174" max="7174" width="11" style="122" customWidth="1"/>
    <col min="7175" max="7175" width="11" style="122" bestFit="1" customWidth="1"/>
    <col min="7176" max="7424" width="9.140625" style="122"/>
    <col min="7425" max="7425" width="29" style="122" customWidth="1"/>
    <col min="7426" max="7427" width="21.42578125" style="122" customWidth="1"/>
    <col min="7428" max="7428" width="18.140625" style="122" customWidth="1"/>
    <col min="7429" max="7429" width="17.140625" style="122" customWidth="1"/>
    <col min="7430" max="7430" width="11" style="122" customWidth="1"/>
    <col min="7431" max="7431" width="11" style="122" bestFit="1" customWidth="1"/>
    <col min="7432" max="7680" width="9.140625" style="122"/>
    <col min="7681" max="7681" width="29" style="122" customWidth="1"/>
    <col min="7682" max="7683" width="21.42578125" style="122" customWidth="1"/>
    <col min="7684" max="7684" width="18.140625" style="122" customWidth="1"/>
    <col min="7685" max="7685" width="17.140625" style="122" customWidth="1"/>
    <col min="7686" max="7686" width="11" style="122" customWidth="1"/>
    <col min="7687" max="7687" width="11" style="122" bestFit="1" customWidth="1"/>
    <col min="7688" max="7936" width="9.140625" style="122"/>
    <col min="7937" max="7937" width="29" style="122" customWidth="1"/>
    <col min="7938" max="7939" width="21.42578125" style="122" customWidth="1"/>
    <col min="7940" max="7940" width="18.140625" style="122" customWidth="1"/>
    <col min="7941" max="7941" width="17.140625" style="122" customWidth="1"/>
    <col min="7942" max="7942" width="11" style="122" customWidth="1"/>
    <col min="7943" max="7943" width="11" style="122" bestFit="1" customWidth="1"/>
    <col min="7944" max="8192" width="9.140625" style="122"/>
    <col min="8193" max="8193" width="29" style="122" customWidth="1"/>
    <col min="8194" max="8195" width="21.42578125" style="122" customWidth="1"/>
    <col min="8196" max="8196" width="18.140625" style="122" customWidth="1"/>
    <col min="8197" max="8197" width="17.140625" style="122" customWidth="1"/>
    <col min="8198" max="8198" width="11" style="122" customWidth="1"/>
    <col min="8199" max="8199" width="11" style="122" bestFit="1" customWidth="1"/>
    <col min="8200" max="8448" width="9.140625" style="122"/>
    <col min="8449" max="8449" width="29" style="122" customWidth="1"/>
    <col min="8450" max="8451" width="21.42578125" style="122" customWidth="1"/>
    <col min="8452" max="8452" width="18.140625" style="122" customWidth="1"/>
    <col min="8453" max="8453" width="17.140625" style="122" customWidth="1"/>
    <col min="8454" max="8454" width="11" style="122" customWidth="1"/>
    <col min="8455" max="8455" width="11" style="122" bestFit="1" customWidth="1"/>
    <col min="8456" max="8704" width="9.140625" style="122"/>
    <col min="8705" max="8705" width="29" style="122" customWidth="1"/>
    <col min="8706" max="8707" width="21.42578125" style="122" customWidth="1"/>
    <col min="8708" max="8708" width="18.140625" style="122" customWidth="1"/>
    <col min="8709" max="8709" width="17.140625" style="122" customWidth="1"/>
    <col min="8710" max="8710" width="11" style="122" customWidth="1"/>
    <col min="8711" max="8711" width="11" style="122" bestFit="1" customWidth="1"/>
    <col min="8712" max="8960" width="9.140625" style="122"/>
    <col min="8961" max="8961" width="29" style="122" customWidth="1"/>
    <col min="8962" max="8963" width="21.42578125" style="122" customWidth="1"/>
    <col min="8964" max="8964" width="18.140625" style="122" customWidth="1"/>
    <col min="8965" max="8965" width="17.140625" style="122" customWidth="1"/>
    <col min="8966" max="8966" width="11" style="122" customWidth="1"/>
    <col min="8967" max="8967" width="11" style="122" bestFit="1" customWidth="1"/>
    <col min="8968" max="9216" width="9.140625" style="122"/>
    <col min="9217" max="9217" width="29" style="122" customWidth="1"/>
    <col min="9218" max="9219" width="21.42578125" style="122" customWidth="1"/>
    <col min="9220" max="9220" width="18.140625" style="122" customWidth="1"/>
    <col min="9221" max="9221" width="17.140625" style="122" customWidth="1"/>
    <col min="9222" max="9222" width="11" style="122" customWidth="1"/>
    <col min="9223" max="9223" width="11" style="122" bestFit="1" customWidth="1"/>
    <col min="9224" max="9472" width="9.140625" style="122"/>
    <col min="9473" max="9473" width="29" style="122" customWidth="1"/>
    <col min="9474" max="9475" width="21.42578125" style="122" customWidth="1"/>
    <col min="9476" max="9476" width="18.140625" style="122" customWidth="1"/>
    <col min="9477" max="9477" width="17.140625" style="122" customWidth="1"/>
    <col min="9478" max="9478" width="11" style="122" customWidth="1"/>
    <col min="9479" max="9479" width="11" style="122" bestFit="1" customWidth="1"/>
    <col min="9480" max="9728" width="9.140625" style="122"/>
    <col min="9729" max="9729" width="29" style="122" customWidth="1"/>
    <col min="9730" max="9731" width="21.42578125" style="122" customWidth="1"/>
    <col min="9732" max="9732" width="18.140625" style="122" customWidth="1"/>
    <col min="9733" max="9733" width="17.140625" style="122" customWidth="1"/>
    <col min="9734" max="9734" width="11" style="122" customWidth="1"/>
    <col min="9735" max="9735" width="11" style="122" bestFit="1" customWidth="1"/>
    <col min="9736" max="9984" width="9.140625" style="122"/>
    <col min="9985" max="9985" width="29" style="122" customWidth="1"/>
    <col min="9986" max="9987" width="21.42578125" style="122" customWidth="1"/>
    <col min="9988" max="9988" width="18.140625" style="122" customWidth="1"/>
    <col min="9989" max="9989" width="17.140625" style="122" customWidth="1"/>
    <col min="9990" max="9990" width="11" style="122" customWidth="1"/>
    <col min="9991" max="9991" width="11" style="122" bestFit="1" customWidth="1"/>
    <col min="9992" max="10240" width="9.140625" style="122"/>
    <col min="10241" max="10241" width="29" style="122" customWidth="1"/>
    <col min="10242" max="10243" width="21.42578125" style="122" customWidth="1"/>
    <col min="10244" max="10244" width="18.140625" style="122" customWidth="1"/>
    <col min="10245" max="10245" width="17.140625" style="122" customWidth="1"/>
    <col min="10246" max="10246" width="11" style="122" customWidth="1"/>
    <col min="10247" max="10247" width="11" style="122" bestFit="1" customWidth="1"/>
    <col min="10248" max="10496" width="9.140625" style="122"/>
    <col min="10497" max="10497" width="29" style="122" customWidth="1"/>
    <col min="10498" max="10499" width="21.42578125" style="122" customWidth="1"/>
    <col min="10500" max="10500" width="18.140625" style="122" customWidth="1"/>
    <col min="10501" max="10501" width="17.140625" style="122" customWidth="1"/>
    <col min="10502" max="10502" width="11" style="122" customWidth="1"/>
    <col min="10503" max="10503" width="11" style="122" bestFit="1" customWidth="1"/>
    <col min="10504" max="10752" width="9.140625" style="122"/>
    <col min="10753" max="10753" width="29" style="122" customWidth="1"/>
    <col min="10754" max="10755" width="21.42578125" style="122" customWidth="1"/>
    <col min="10756" max="10756" width="18.140625" style="122" customWidth="1"/>
    <col min="10757" max="10757" width="17.140625" style="122" customWidth="1"/>
    <col min="10758" max="10758" width="11" style="122" customWidth="1"/>
    <col min="10759" max="10759" width="11" style="122" bestFit="1" customWidth="1"/>
    <col min="10760" max="11008" width="9.140625" style="122"/>
    <col min="11009" max="11009" width="29" style="122" customWidth="1"/>
    <col min="11010" max="11011" width="21.42578125" style="122" customWidth="1"/>
    <col min="11012" max="11012" width="18.140625" style="122" customWidth="1"/>
    <col min="11013" max="11013" width="17.140625" style="122" customWidth="1"/>
    <col min="11014" max="11014" width="11" style="122" customWidth="1"/>
    <col min="11015" max="11015" width="11" style="122" bestFit="1" customWidth="1"/>
    <col min="11016" max="11264" width="9.140625" style="122"/>
    <col min="11265" max="11265" width="29" style="122" customWidth="1"/>
    <col min="11266" max="11267" width="21.42578125" style="122" customWidth="1"/>
    <col min="11268" max="11268" width="18.140625" style="122" customWidth="1"/>
    <col min="11269" max="11269" width="17.140625" style="122" customWidth="1"/>
    <col min="11270" max="11270" width="11" style="122" customWidth="1"/>
    <col min="11271" max="11271" width="11" style="122" bestFit="1" customWidth="1"/>
    <col min="11272" max="11520" width="9.140625" style="122"/>
    <col min="11521" max="11521" width="29" style="122" customWidth="1"/>
    <col min="11522" max="11523" width="21.42578125" style="122" customWidth="1"/>
    <col min="11524" max="11524" width="18.140625" style="122" customWidth="1"/>
    <col min="11525" max="11525" width="17.140625" style="122" customWidth="1"/>
    <col min="11526" max="11526" width="11" style="122" customWidth="1"/>
    <col min="11527" max="11527" width="11" style="122" bestFit="1" customWidth="1"/>
    <col min="11528" max="11776" width="9.140625" style="122"/>
    <col min="11777" max="11777" width="29" style="122" customWidth="1"/>
    <col min="11778" max="11779" width="21.42578125" style="122" customWidth="1"/>
    <col min="11780" max="11780" width="18.140625" style="122" customWidth="1"/>
    <col min="11781" max="11781" width="17.140625" style="122" customWidth="1"/>
    <col min="11782" max="11782" width="11" style="122" customWidth="1"/>
    <col min="11783" max="11783" width="11" style="122" bestFit="1" customWidth="1"/>
    <col min="11784" max="12032" width="9.140625" style="122"/>
    <col min="12033" max="12033" width="29" style="122" customWidth="1"/>
    <col min="12034" max="12035" width="21.42578125" style="122" customWidth="1"/>
    <col min="12036" max="12036" width="18.140625" style="122" customWidth="1"/>
    <col min="12037" max="12037" width="17.140625" style="122" customWidth="1"/>
    <col min="12038" max="12038" width="11" style="122" customWidth="1"/>
    <col min="12039" max="12039" width="11" style="122" bestFit="1" customWidth="1"/>
    <col min="12040" max="12288" width="9.140625" style="122"/>
    <col min="12289" max="12289" width="29" style="122" customWidth="1"/>
    <col min="12290" max="12291" width="21.42578125" style="122" customWidth="1"/>
    <col min="12292" max="12292" width="18.140625" style="122" customWidth="1"/>
    <col min="12293" max="12293" width="17.140625" style="122" customWidth="1"/>
    <col min="12294" max="12294" width="11" style="122" customWidth="1"/>
    <col min="12295" max="12295" width="11" style="122" bestFit="1" customWidth="1"/>
    <col min="12296" max="12544" width="9.140625" style="122"/>
    <col min="12545" max="12545" width="29" style="122" customWidth="1"/>
    <col min="12546" max="12547" width="21.42578125" style="122" customWidth="1"/>
    <col min="12548" max="12548" width="18.140625" style="122" customWidth="1"/>
    <col min="12549" max="12549" width="17.140625" style="122" customWidth="1"/>
    <col min="12550" max="12550" width="11" style="122" customWidth="1"/>
    <col min="12551" max="12551" width="11" style="122" bestFit="1" customWidth="1"/>
    <col min="12552" max="12800" width="9.140625" style="122"/>
    <col min="12801" max="12801" width="29" style="122" customWidth="1"/>
    <col min="12802" max="12803" width="21.42578125" style="122" customWidth="1"/>
    <col min="12804" max="12804" width="18.140625" style="122" customWidth="1"/>
    <col min="12805" max="12805" width="17.140625" style="122" customWidth="1"/>
    <col min="12806" max="12806" width="11" style="122" customWidth="1"/>
    <col min="12807" max="12807" width="11" style="122" bestFit="1" customWidth="1"/>
    <col min="12808" max="13056" width="9.140625" style="122"/>
    <col min="13057" max="13057" width="29" style="122" customWidth="1"/>
    <col min="13058" max="13059" width="21.42578125" style="122" customWidth="1"/>
    <col min="13060" max="13060" width="18.140625" style="122" customWidth="1"/>
    <col min="13061" max="13061" width="17.140625" style="122" customWidth="1"/>
    <col min="13062" max="13062" width="11" style="122" customWidth="1"/>
    <col min="13063" max="13063" width="11" style="122" bestFit="1" customWidth="1"/>
    <col min="13064" max="13312" width="9.140625" style="122"/>
    <col min="13313" max="13313" width="29" style="122" customWidth="1"/>
    <col min="13314" max="13315" width="21.42578125" style="122" customWidth="1"/>
    <col min="13316" max="13316" width="18.140625" style="122" customWidth="1"/>
    <col min="13317" max="13317" width="17.140625" style="122" customWidth="1"/>
    <col min="13318" max="13318" width="11" style="122" customWidth="1"/>
    <col min="13319" max="13319" width="11" style="122" bestFit="1" customWidth="1"/>
    <col min="13320" max="13568" width="9.140625" style="122"/>
    <col min="13569" max="13569" width="29" style="122" customWidth="1"/>
    <col min="13570" max="13571" width="21.42578125" style="122" customWidth="1"/>
    <col min="13572" max="13572" width="18.140625" style="122" customWidth="1"/>
    <col min="13573" max="13573" width="17.140625" style="122" customWidth="1"/>
    <col min="13574" max="13574" width="11" style="122" customWidth="1"/>
    <col min="13575" max="13575" width="11" style="122" bestFit="1" customWidth="1"/>
    <col min="13576" max="13824" width="9.140625" style="122"/>
    <col min="13825" max="13825" width="29" style="122" customWidth="1"/>
    <col min="13826" max="13827" width="21.42578125" style="122" customWidth="1"/>
    <col min="13828" max="13828" width="18.140625" style="122" customWidth="1"/>
    <col min="13829" max="13829" width="17.140625" style="122" customWidth="1"/>
    <col min="13830" max="13830" width="11" style="122" customWidth="1"/>
    <col min="13831" max="13831" width="11" style="122" bestFit="1" customWidth="1"/>
    <col min="13832" max="14080" width="9.140625" style="122"/>
    <col min="14081" max="14081" width="29" style="122" customWidth="1"/>
    <col min="14082" max="14083" width="21.42578125" style="122" customWidth="1"/>
    <col min="14084" max="14084" width="18.140625" style="122" customWidth="1"/>
    <col min="14085" max="14085" width="17.140625" style="122" customWidth="1"/>
    <col min="14086" max="14086" width="11" style="122" customWidth="1"/>
    <col min="14087" max="14087" width="11" style="122" bestFit="1" customWidth="1"/>
    <col min="14088" max="14336" width="9.140625" style="122"/>
    <col min="14337" max="14337" width="29" style="122" customWidth="1"/>
    <col min="14338" max="14339" width="21.42578125" style="122" customWidth="1"/>
    <col min="14340" max="14340" width="18.140625" style="122" customWidth="1"/>
    <col min="14341" max="14341" width="17.140625" style="122" customWidth="1"/>
    <col min="14342" max="14342" width="11" style="122" customWidth="1"/>
    <col min="14343" max="14343" width="11" style="122" bestFit="1" customWidth="1"/>
    <col min="14344" max="14592" width="9.140625" style="122"/>
    <col min="14593" max="14593" width="29" style="122" customWidth="1"/>
    <col min="14594" max="14595" width="21.42578125" style="122" customWidth="1"/>
    <col min="14596" max="14596" width="18.140625" style="122" customWidth="1"/>
    <col min="14597" max="14597" width="17.140625" style="122" customWidth="1"/>
    <col min="14598" max="14598" width="11" style="122" customWidth="1"/>
    <col min="14599" max="14599" width="11" style="122" bestFit="1" customWidth="1"/>
    <col min="14600" max="14848" width="9.140625" style="122"/>
    <col min="14849" max="14849" width="29" style="122" customWidth="1"/>
    <col min="14850" max="14851" width="21.42578125" style="122" customWidth="1"/>
    <col min="14852" max="14852" width="18.140625" style="122" customWidth="1"/>
    <col min="14853" max="14853" width="17.140625" style="122" customWidth="1"/>
    <col min="14854" max="14854" width="11" style="122" customWidth="1"/>
    <col min="14855" max="14855" width="11" style="122" bestFit="1" customWidth="1"/>
    <col min="14856" max="15104" width="9.140625" style="122"/>
    <col min="15105" max="15105" width="29" style="122" customWidth="1"/>
    <col min="15106" max="15107" width="21.42578125" style="122" customWidth="1"/>
    <col min="15108" max="15108" width="18.140625" style="122" customWidth="1"/>
    <col min="15109" max="15109" width="17.140625" style="122" customWidth="1"/>
    <col min="15110" max="15110" width="11" style="122" customWidth="1"/>
    <col min="15111" max="15111" width="11" style="122" bestFit="1" customWidth="1"/>
    <col min="15112" max="15360" width="9.140625" style="122"/>
    <col min="15361" max="15361" width="29" style="122" customWidth="1"/>
    <col min="15362" max="15363" width="21.42578125" style="122" customWidth="1"/>
    <col min="15364" max="15364" width="18.140625" style="122" customWidth="1"/>
    <col min="15365" max="15365" width="17.140625" style="122" customWidth="1"/>
    <col min="15366" max="15366" width="11" style="122" customWidth="1"/>
    <col min="15367" max="15367" width="11" style="122" bestFit="1" customWidth="1"/>
    <col min="15368" max="15616" width="9.140625" style="122"/>
    <col min="15617" max="15617" width="29" style="122" customWidth="1"/>
    <col min="15618" max="15619" width="21.42578125" style="122" customWidth="1"/>
    <col min="15620" max="15620" width="18.140625" style="122" customWidth="1"/>
    <col min="15621" max="15621" width="17.140625" style="122" customWidth="1"/>
    <col min="15622" max="15622" width="11" style="122" customWidth="1"/>
    <col min="15623" max="15623" width="11" style="122" bestFit="1" customWidth="1"/>
    <col min="15624" max="15872" width="9.140625" style="122"/>
    <col min="15873" max="15873" width="29" style="122" customWidth="1"/>
    <col min="15874" max="15875" width="21.42578125" style="122" customWidth="1"/>
    <col min="15876" max="15876" width="18.140625" style="122" customWidth="1"/>
    <col min="15877" max="15877" width="17.140625" style="122" customWidth="1"/>
    <col min="15878" max="15878" width="11" style="122" customWidth="1"/>
    <col min="15879" max="15879" width="11" style="122" bestFit="1" customWidth="1"/>
    <col min="15880" max="16128" width="9.140625" style="122"/>
    <col min="16129" max="16129" width="29" style="122" customWidth="1"/>
    <col min="16130" max="16131" width="21.42578125" style="122" customWidth="1"/>
    <col min="16132" max="16132" width="18.140625" style="122" customWidth="1"/>
    <col min="16133" max="16133" width="17.140625" style="122" customWidth="1"/>
    <col min="16134" max="16134" width="11" style="122" customWidth="1"/>
    <col min="16135" max="16135" width="11" style="122" bestFit="1" customWidth="1"/>
    <col min="16136" max="16384" width="9.140625" style="122"/>
  </cols>
  <sheetData>
    <row r="1" spans="1:5" x14ac:dyDescent="0.25">
      <c r="A1" s="120" t="s">
        <v>0</v>
      </c>
      <c r="B1" s="121"/>
      <c r="C1" s="121"/>
      <c r="D1" s="121"/>
    </row>
    <row r="2" spans="1:5" ht="15.75" thickBot="1" x14ac:dyDescent="0.3"/>
    <row r="3" spans="1:5" ht="32.25" thickBot="1" x14ac:dyDescent="0.3">
      <c r="A3" s="123" t="s">
        <v>1</v>
      </c>
      <c r="B3" s="782" t="s">
        <v>613</v>
      </c>
      <c r="C3" s="783"/>
      <c r="D3" s="783"/>
      <c r="E3" s="784"/>
    </row>
    <row r="4" spans="1:5" ht="32.25" thickBot="1" x14ac:dyDescent="0.3">
      <c r="A4" s="124" t="s">
        <v>2</v>
      </c>
      <c r="B4" s="810"/>
      <c r="C4" s="786"/>
      <c r="D4" s="786"/>
      <c r="E4" s="787"/>
    </row>
    <row r="5" spans="1:5" ht="45.75" customHeight="1" thickBot="1" x14ac:dyDescent="0.3">
      <c r="A5" s="124" t="s">
        <v>614</v>
      </c>
      <c r="B5" s="811"/>
      <c r="C5" s="793"/>
      <c r="D5" s="793"/>
      <c r="E5" s="794"/>
    </row>
    <row r="6" spans="1:5" ht="16.5" thickBot="1" x14ac:dyDescent="0.3">
      <c r="A6" s="124" t="s">
        <v>4</v>
      </c>
      <c r="B6" s="125" t="s">
        <v>619</v>
      </c>
      <c r="C6" s="791" t="s">
        <v>6</v>
      </c>
      <c r="D6" s="791"/>
      <c r="E6" s="792"/>
    </row>
    <row r="7" spans="1:5" ht="115.5" customHeight="1" thickBot="1" x14ac:dyDescent="0.3">
      <c r="A7" s="124" t="s">
        <v>319</v>
      </c>
      <c r="B7" s="126">
        <v>1160</v>
      </c>
      <c r="C7" s="788" t="s">
        <v>320</v>
      </c>
      <c r="D7" s="812"/>
      <c r="E7" s="813"/>
    </row>
    <row r="8" spans="1:5" ht="16.5" thickBot="1" x14ac:dyDescent="0.3">
      <c r="A8" s="124"/>
      <c r="B8" s="126"/>
      <c r="C8" s="814"/>
      <c r="D8" s="815"/>
      <c r="E8" s="816"/>
    </row>
    <row r="9" spans="1:5" ht="18" customHeight="1" x14ac:dyDescent="0.25">
      <c r="A9" s="817" t="s">
        <v>32</v>
      </c>
      <c r="B9" s="817"/>
      <c r="C9" s="817"/>
      <c r="D9" s="817"/>
      <c r="E9" s="817"/>
    </row>
    <row r="10" spans="1:5" ht="18" customHeight="1" x14ac:dyDescent="0.25">
      <c r="A10" s="818" t="s">
        <v>618</v>
      </c>
      <c r="B10" s="818"/>
      <c r="C10" s="818"/>
      <c r="D10" s="818"/>
      <c r="E10" s="818"/>
    </row>
    <row r="12" spans="1:5" x14ac:dyDescent="0.25">
      <c r="A12" s="245" t="s">
        <v>33</v>
      </c>
      <c r="B12" s="819" t="s">
        <v>319</v>
      </c>
      <c r="C12" s="819"/>
      <c r="D12" s="819"/>
      <c r="E12" s="819"/>
    </row>
    <row r="13" spans="1:5" x14ac:dyDescent="0.25">
      <c r="A13" s="245" t="s">
        <v>5</v>
      </c>
      <c r="B13" s="820" t="s">
        <v>8</v>
      </c>
      <c r="C13" s="820"/>
      <c r="D13" s="820"/>
      <c r="E13" s="820"/>
    </row>
    <row r="14" spans="1:5" x14ac:dyDescent="0.25">
      <c r="A14" s="245" t="s">
        <v>35</v>
      </c>
      <c r="B14" s="821" t="s">
        <v>36</v>
      </c>
      <c r="C14" s="821"/>
      <c r="D14" s="821"/>
      <c r="E14" s="821"/>
    </row>
    <row r="15" spans="1:5" x14ac:dyDescent="0.25">
      <c r="A15" s="809" t="s">
        <v>6</v>
      </c>
      <c r="B15" s="809"/>
      <c r="C15" s="809"/>
      <c r="D15" s="809"/>
      <c r="E15" s="809"/>
    </row>
    <row r="16" spans="1:5" ht="15" customHeight="1" x14ac:dyDescent="0.25">
      <c r="A16" s="803" t="s">
        <v>320</v>
      </c>
      <c r="B16" s="803"/>
      <c r="C16" s="803"/>
      <c r="D16" s="803"/>
      <c r="E16" s="803"/>
    </row>
    <row r="17" spans="1:8" ht="36.75" customHeight="1" x14ac:dyDescent="0.25">
      <c r="A17" s="803"/>
      <c r="B17" s="803"/>
      <c r="C17" s="803"/>
      <c r="D17" s="803"/>
      <c r="E17" s="803"/>
    </row>
    <row r="18" spans="1:8" x14ac:dyDescent="0.25">
      <c r="A18" s="803"/>
      <c r="B18" s="803"/>
      <c r="C18" s="803"/>
      <c r="D18" s="803"/>
      <c r="E18" s="803"/>
    </row>
    <row r="19" spans="1:8" ht="66.75" customHeight="1" x14ac:dyDescent="0.25">
      <c r="A19" s="246" t="s">
        <v>38</v>
      </c>
      <c r="B19" s="804" t="s">
        <v>321</v>
      </c>
      <c r="C19" s="805"/>
      <c r="D19" s="805"/>
      <c r="E19" s="805"/>
    </row>
    <row r="20" spans="1:8" ht="23.25" customHeight="1" x14ac:dyDescent="0.25">
      <c r="A20" s="795" t="s">
        <v>138</v>
      </c>
      <c r="B20" s="247">
        <v>2018</v>
      </c>
      <c r="C20" s="247">
        <v>2019</v>
      </c>
      <c r="D20" s="247">
        <v>2020</v>
      </c>
      <c r="E20" s="247">
        <v>2021</v>
      </c>
    </row>
    <row r="21" spans="1:8" x14ac:dyDescent="0.25">
      <c r="A21" s="795"/>
      <c r="B21" s="247" t="s">
        <v>41</v>
      </c>
      <c r="C21" s="247" t="s">
        <v>42</v>
      </c>
      <c r="D21" s="247" t="s">
        <v>42</v>
      </c>
      <c r="E21" s="247" t="s">
        <v>42</v>
      </c>
    </row>
    <row r="22" spans="1:8" x14ac:dyDescent="0.25">
      <c r="A22" s="248"/>
      <c r="B22" s="249">
        <v>31628</v>
      </c>
      <c r="C22" s="249">
        <v>26340</v>
      </c>
      <c r="D22" s="249">
        <v>28050</v>
      </c>
      <c r="E22" s="249">
        <v>29550</v>
      </c>
    </row>
    <row r="23" spans="1:8" x14ac:dyDescent="0.25">
      <c r="A23" s="250"/>
      <c r="B23" s="249">
        <v>30772</v>
      </c>
      <c r="C23" s="249">
        <v>36140</v>
      </c>
      <c r="D23" s="249">
        <v>34410</v>
      </c>
      <c r="E23" s="249">
        <v>32890</v>
      </c>
    </row>
    <row r="24" spans="1:8" ht="162.75" customHeight="1" x14ac:dyDescent="0.25">
      <c r="A24" s="251" t="s">
        <v>45</v>
      </c>
      <c r="B24" s="806" t="s">
        <v>322</v>
      </c>
      <c r="C24" s="807"/>
      <c r="D24" s="807"/>
      <c r="E24" s="808"/>
    </row>
    <row r="25" spans="1:8" ht="23.25" customHeight="1" x14ac:dyDescent="0.25">
      <c r="A25" s="795" t="s">
        <v>153</v>
      </c>
      <c r="B25" s="795"/>
      <c r="C25" s="795"/>
      <c r="D25" s="795"/>
      <c r="E25" s="795"/>
      <c r="F25" s="135"/>
      <c r="H25" s="135"/>
    </row>
    <row r="26" spans="1:8" ht="34.5" customHeight="1" x14ac:dyDescent="0.25">
      <c r="A26" s="136" t="s">
        <v>323</v>
      </c>
      <c r="B26" s="249">
        <v>72</v>
      </c>
      <c r="C26" s="249">
        <v>80</v>
      </c>
      <c r="D26" s="249">
        <v>82</v>
      </c>
      <c r="E26" s="249">
        <v>85</v>
      </c>
    </row>
    <row r="27" spans="1:8" x14ac:dyDescent="0.25">
      <c r="A27" s="136" t="s">
        <v>324</v>
      </c>
      <c r="B27" s="249">
        <v>700</v>
      </c>
      <c r="C27" s="249">
        <v>710</v>
      </c>
      <c r="D27" s="249">
        <v>720</v>
      </c>
      <c r="E27" s="249">
        <v>730</v>
      </c>
    </row>
    <row r="28" spans="1:8" ht="21" customHeight="1" x14ac:dyDescent="0.25">
      <c r="A28" s="248" t="s">
        <v>325</v>
      </c>
      <c r="B28" s="252">
        <v>180</v>
      </c>
      <c r="C28" s="253">
        <v>198</v>
      </c>
      <c r="D28" s="253">
        <v>218</v>
      </c>
      <c r="E28" s="253">
        <v>240</v>
      </c>
    </row>
    <row r="29" spans="1:8" x14ac:dyDescent="0.25">
      <c r="A29" s="254" t="s">
        <v>326</v>
      </c>
      <c r="B29" s="249">
        <v>55</v>
      </c>
      <c r="C29" s="249">
        <v>58</v>
      </c>
      <c r="D29" s="249">
        <v>61</v>
      </c>
      <c r="E29" s="249">
        <v>64</v>
      </c>
    </row>
    <row r="30" spans="1:8" x14ac:dyDescent="0.25">
      <c r="A30" s="140"/>
      <c r="B30" s="255" t="s">
        <v>60</v>
      </c>
      <c r="C30" s="255" t="s">
        <v>61</v>
      </c>
      <c r="D30" s="255" t="s">
        <v>61</v>
      </c>
      <c r="E30" s="255" t="s">
        <v>61</v>
      </c>
    </row>
    <row r="31" spans="1:8" x14ac:dyDescent="0.25">
      <c r="A31" s="802"/>
      <c r="B31" s="802"/>
      <c r="C31" s="802"/>
      <c r="D31" s="802"/>
      <c r="E31" s="802"/>
    </row>
    <row r="32" spans="1:8" x14ac:dyDescent="0.25">
      <c r="A32" s="256" t="s">
        <v>108</v>
      </c>
      <c r="B32" s="800" t="s">
        <v>327</v>
      </c>
      <c r="C32" s="800"/>
      <c r="D32" s="800"/>
      <c r="E32" s="800"/>
    </row>
    <row r="33" spans="1:9" ht="22.5" customHeight="1" x14ac:dyDescent="0.25">
      <c r="A33" s="250" t="s">
        <v>72</v>
      </c>
      <c r="B33" s="795" t="s">
        <v>328</v>
      </c>
      <c r="C33" s="795"/>
      <c r="D33" s="795"/>
      <c r="E33" s="795"/>
    </row>
    <row r="34" spans="1:9" x14ac:dyDescent="0.25">
      <c r="A34" s="250" t="s">
        <v>74</v>
      </c>
      <c r="B34" s="798" t="s">
        <v>329</v>
      </c>
      <c r="C34" s="798"/>
      <c r="D34" s="798"/>
      <c r="E34" s="798"/>
    </row>
    <row r="35" spans="1:9" ht="12.75" customHeight="1" x14ac:dyDescent="0.25">
      <c r="A35" s="795"/>
      <c r="B35" s="257">
        <v>2018</v>
      </c>
      <c r="C35" s="257">
        <v>2019</v>
      </c>
      <c r="D35" s="257">
        <v>2020</v>
      </c>
      <c r="E35" s="257">
        <v>2021</v>
      </c>
    </row>
    <row r="36" spans="1:9" ht="15" customHeight="1" x14ac:dyDescent="0.25">
      <c r="A36" s="795"/>
      <c r="B36" s="257" t="s">
        <v>41</v>
      </c>
      <c r="C36" s="257" t="s">
        <v>42</v>
      </c>
      <c r="D36" s="257" t="s">
        <v>42</v>
      </c>
      <c r="E36" s="257" t="s">
        <v>42</v>
      </c>
    </row>
    <row r="37" spans="1:9" x14ac:dyDescent="0.25">
      <c r="A37" s="250" t="s">
        <v>76</v>
      </c>
      <c r="B37" s="249">
        <v>72</v>
      </c>
      <c r="C37" s="249">
        <v>80</v>
      </c>
      <c r="D37" s="249">
        <v>82</v>
      </c>
      <c r="E37" s="249">
        <v>85</v>
      </c>
    </row>
    <row r="38" spans="1:9" x14ac:dyDescent="0.25">
      <c r="A38" s="250" t="s">
        <v>77</v>
      </c>
      <c r="B38" s="249">
        <v>31628</v>
      </c>
      <c r="C38" s="249">
        <v>26340</v>
      </c>
      <c r="D38" s="249">
        <v>28050</v>
      </c>
      <c r="E38" s="249">
        <v>29550</v>
      </c>
    </row>
    <row r="39" spans="1:9" x14ac:dyDescent="0.25">
      <c r="A39" s="250" t="s">
        <v>78</v>
      </c>
      <c r="B39" s="249">
        <v>15.805027624309393</v>
      </c>
      <c r="C39" s="249">
        <v>15.969016393442622</v>
      </c>
      <c r="D39" s="249">
        <v>16.282972972972974</v>
      </c>
      <c r="E39" s="249">
        <v>16.012368421052631</v>
      </c>
    </row>
    <row r="40" spans="1:9" x14ac:dyDescent="0.25">
      <c r="A40" s="250" t="s">
        <v>79</v>
      </c>
      <c r="B40" s="253" t="s">
        <v>80</v>
      </c>
      <c r="C40" s="258">
        <v>1.1049723756906049E-2</v>
      </c>
      <c r="D40" s="258">
        <v>1.0928961748633892E-2</v>
      </c>
      <c r="E40" s="258">
        <v>2.7027027027026973E-2</v>
      </c>
      <c r="F40" s="150"/>
      <c r="G40" s="150"/>
      <c r="H40" s="150"/>
      <c r="I40" s="150"/>
    </row>
    <row r="41" spans="1:9" x14ac:dyDescent="0.25">
      <c r="A41" s="250" t="s">
        <v>81</v>
      </c>
      <c r="B41" s="253" t="s">
        <v>80</v>
      </c>
      <c r="C41" s="258">
        <v>2.1540107176190482E-2</v>
      </c>
      <c r="D41" s="258">
        <v>3.0804187069906508E-2</v>
      </c>
      <c r="E41" s="258">
        <v>9.9590021079887237E-3</v>
      </c>
    </row>
    <row r="42" spans="1:9" x14ac:dyDescent="0.25">
      <c r="A42" s="250" t="s">
        <v>82</v>
      </c>
      <c r="B42" s="253" t="s">
        <v>80</v>
      </c>
      <c r="C42" s="258">
        <v>1.0375734420166483E-2</v>
      </c>
      <c r="D42" s="258">
        <v>1.9660358020502366E-2</v>
      </c>
      <c r="E42" s="258">
        <v>-1.6618866368537377E-2</v>
      </c>
    </row>
    <row r="43" spans="1:9" x14ac:dyDescent="0.25">
      <c r="A43" s="796" t="s">
        <v>330</v>
      </c>
      <c r="B43" s="796"/>
      <c r="C43" s="796"/>
      <c r="D43" s="796"/>
      <c r="E43" s="796"/>
    </row>
    <row r="44" spans="1:9" ht="12.75" customHeight="1" x14ac:dyDescent="0.25">
      <c r="A44" s="795"/>
      <c r="B44" s="257">
        <v>2018</v>
      </c>
      <c r="C44" s="257">
        <v>2019</v>
      </c>
      <c r="D44" s="257">
        <v>2020</v>
      </c>
      <c r="E44" s="257">
        <v>2021</v>
      </c>
    </row>
    <row r="45" spans="1:9" ht="17.25" customHeight="1" x14ac:dyDescent="0.25">
      <c r="A45" s="795"/>
      <c r="B45" s="257" t="s">
        <v>41</v>
      </c>
      <c r="C45" s="257" t="s">
        <v>42</v>
      </c>
      <c r="D45" s="257" t="s">
        <v>42</v>
      </c>
      <c r="E45" s="257" t="s">
        <v>42</v>
      </c>
    </row>
    <row r="46" spans="1:9" x14ac:dyDescent="0.25">
      <c r="A46" s="259" t="s">
        <v>84</v>
      </c>
      <c r="B46" s="260">
        <v>15500</v>
      </c>
      <c r="C46" s="260">
        <v>12940</v>
      </c>
      <c r="D46" s="260">
        <v>13950</v>
      </c>
      <c r="E46" s="261">
        <v>14950</v>
      </c>
    </row>
    <row r="47" spans="1:9" ht="24" x14ac:dyDescent="0.25">
      <c r="A47" s="259" t="s">
        <v>85</v>
      </c>
      <c r="B47" s="260">
        <v>3400</v>
      </c>
      <c r="C47" s="260">
        <v>2800</v>
      </c>
      <c r="D47" s="260">
        <v>2500</v>
      </c>
      <c r="E47" s="261">
        <v>2950</v>
      </c>
    </row>
    <row r="48" spans="1:9" x14ac:dyDescent="0.25">
      <c r="A48" s="259" t="s">
        <v>86</v>
      </c>
      <c r="B48" s="262">
        <v>11873</v>
      </c>
      <c r="C48" s="260">
        <v>10000</v>
      </c>
      <c r="D48" s="260">
        <v>11000</v>
      </c>
      <c r="E48" s="260">
        <v>11050</v>
      </c>
    </row>
    <row r="49" spans="1:5" x14ac:dyDescent="0.25">
      <c r="A49" s="259" t="s">
        <v>87</v>
      </c>
      <c r="B49" s="262"/>
      <c r="C49" s="260"/>
      <c r="D49" s="260"/>
      <c r="E49" s="260"/>
    </row>
    <row r="50" spans="1:5" x14ac:dyDescent="0.25">
      <c r="A50" s="259" t="s">
        <v>88</v>
      </c>
      <c r="B50" s="262"/>
      <c r="C50" s="260"/>
      <c r="D50" s="260"/>
      <c r="E50" s="260"/>
    </row>
    <row r="51" spans="1:5" x14ac:dyDescent="0.25">
      <c r="A51" s="259" t="s">
        <v>89</v>
      </c>
      <c r="B51" s="263">
        <v>600</v>
      </c>
      <c r="C51" s="264">
        <v>600</v>
      </c>
      <c r="D51" s="264">
        <v>600</v>
      </c>
      <c r="E51" s="265">
        <v>600</v>
      </c>
    </row>
    <row r="52" spans="1:5" ht="24" x14ac:dyDescent="0.25">
      <c r="A52" s="259" t="s">
        <v>90</v>
      </c>
      <c r="B52" s="263">
        <v>255</v>
      </c>
      <c r="C52" s="260"/>
      <c r="D52" s="260"/>
      <c r="E52" s="260"/>
    </row>
    <row r="53" spans="1:5" x14ac:dyDescent="0.25">
      <c r="A53" s="266" t="s">
        <v>91</v>
      </c>
      <c r="B53" s="262">
        <f>B52+B51+B50+B49+B48+B47+B46</f>
        <v>31628</v>
      </c>
      <c r="C53" s="262">
        <f>C52+C51+C50+C49+C48+C47+C46</f>
        <v>26340</v>
      </c>
      <c r="D53" s="262">
        <f>D52+D51+D50+D49+D48+D47+D46</f>
        <v>28050</v>
      </c>
      <c r="E53" s="262">
        <f>E52+E51+E50+E49+E48+E47+E46</f>
        <v>29550</v>
      </c>
    </row>
    <row r="54" spans="1:5" x14ac:dyDescent="0.25">
      <c r="A54" s="267" t="s">
        <v>92</v>
      </c>
      <c r="B54" s="268">
        <f>IF(B53-B38=0,0,"Error")</f>
        <v>0</v>
      </c>
      <c r="C54" s="268">
        <f>IF(C53-C38=0,0,"Error")</f>
        <v>0</v>
      </c>
      <c r="D54" s="268">
        <f>IF(D53-D38=0,0,"Error")</f>
        <v>0</v>
      </c>
      <c r="E54" s="268">
        <f>IF(E53-E38=0,0,"Error")</f>
        <v>0</v>
      </c>
    </row>
    <row r="55" spans="1:5" x14ac:dyDescent="0.25">
      <c r="A55" s="269" t="s">
        <v>93</v>
      </c>
      <c r="B55" s="800" t="s">
        <v>331</v>
      </c>
      <c r="C55" s="800"/>
      <c r="D55" s="800"/>
      <c r="E55" s="800"/>
    </row>
    <row r="56" spans="1:5" ht="15.75" customHeight="1" x14ac:dyDescent="0.25">
      <c r="A56" s="250" t="s">
        <v>72</v>
      </c>
      <c r="B56" s="800" t="s">
        <v>332</v>
      </c>
      <c r="C56" s="800"/>
      <c r="D56" s="800"/>
      <c r="E56" s="800"/>
    </row>
    <row r="57" spans="1:5" x14ac:dyDescent="0.25">
      <c r="A57" s="250" t="s">
        <v>74</v>
      </c>
      <c r="B57" s="800" t="s">
        <v>329</v>
      </c>
      <c r="C57" s="800"/>
      <c r="D57" s="800"/>
      <c r="E57" s="800"/>
    </row>
    <row r="58" spans="1:5" x14ac:dyDescent="0.25">
      <c r="A58" s="250" t="s">
        <v>76</v>
      </c>
      <c r="B58" s="270">
        <v>700</v>
      </c>
      <c r="C58" s="270">
        <v>710</v>
      </c>
      <c r="D58" s="270">
        <v>720</v>
      </c>
      <c r="E58" s="270">
        <v>730</v>
      </c>
    </row>
    <row r="59" spans="1:5" ht="12.75" customHeight="1" x14ac:dyDescent="0.25">
      <c r="A59" s="795"/>
      <c r="B59" s="257">
        <v>2018</v>
      </c>
      <c r="C59" s="257">
        <v>2019</v>
      </c>
      <c r="D59" s="257">
        <v>2020</v>
      </c>
      <c r="E59" s="257">
        <v>2021</v>
      </c>
    </row>
    <row r="60" spans="1:5" ht="14.25" customHeight="1" x14ac:dyDescent="0.25">
      <c r="A60" s="795"/>
      <c r="B60" s="257" t="s">
        <v>41</v>
      </c>
      <c r="C60" s="257" t="s">
        <v>42</v>
      </c>
      <c r="D60" s="257" t="s">
        <v>42</v>
      </c>
      <c r="E60" s="257" t="s">
        <v>42</v>
      </c>
    </row>
    <row r="61" spans="1:5" x14ac:dyDescent="0.25">
      <c r="A61" s="250" t="s">
        <v>77</v>
      </c>
      <c r="B61" s="263">
        <v>30772</v>
      </c>
      <c r="C61" s="263">
        <v>36140</v>
      </c>
      <c r="D61" s="270">
        <v>34510</v>
      </c>
      <c r="E61" s="270">
        <v>33090</v>
      </c>
    </row>
    <row r="62" spans="1:5" x14ac:dyDescent="0.25">
      <c r="A62" s="250" t="s">
        <v>78</v>
      </c>
      <c r="B62" s="270">
        <f>B61/B58</f>
        <v>43.96</v>
      </c>
      <c r="C62" s="270">
        <f>C61/C58</f>
        <v>50.901408450704224</v>
      </c>
      <c r="D62" s="270">
        <f>D61/D58</f>
        <v>47.930555555555557</v>
      </c>
      <c r="E62" s="270">
        <f>E61/E58</f>
        <v>45.328767123287669</v>
      </c>
    </row>
    <row r="63" spans="1:5" x14ac:dyDescent="0.25">
      <c r="A63" s="250" t="s">
        <v>79</v>
      </c>
      <c r="B63" s="247"/>
      <c r="C63" s="271">
        <f>C58/B58-1</f>
        <v>1.4285714285714235E-2</v>
      </c>
      <c r="D63" s="272">
        <f>D58/C58-1</f>
        <v>1.4084507042253502E-2</v>
      </c>
      <c r="E63" s="271">
        <f>E58/D58-1</f>
        <v>1.388888888888884E-2</v>
      </c>
    </row>
    <row r="64" spans="1:5" x14ac:dyDescent="0.25">
      <c r="A64" s="250" t="s">
        <v>81</v>
      </c>
      <c r="B64" s="247"/>
      <c r="C64" s="271">
        <f t="shared" ref="C64:E65" si="0">C61/B61-1</f>
        <v>0.17444430001299893</v>
      </c>
      <c r="D64" s="272">
        <f t="shared" si="0"/>
        <v>-4.510237963475372E-2</v>
      </c>
      <c r="E64" s="271">
        <f t="shared" si="0"/>
        <v>-4.1147493480150676E-2</v>
      </c>
    </row>
    <row r="65" spans="1:5" x14ac:dyDescent="0.25">
      <c r="A65" s="250" t="s">
        <v>82</v>
      </c>
      <c r="B65" s="247"/>
      <c r="C65" s="271">
        <f t="shared" si="0"/>
        <v>0.15790283099873115</v>
      </c>
      <c r="D65" s="272">
        <f t="shared" si="0"/>
        <v>-5.8364846584270991E-2</v>
      </c>
      <c r="E65" s="271">
        <f t="shared" si="0"/>
        <v>-5.4282459322888443E-2</v>
      </c>
    </row>
    <row r="66" spans="1:5" ht="24.75" customHeight="1" x14ac:dyDescent="0.25">
      <c r="A66" s="796" t="s">
        <v>333</v>
      </c>
      <c r="B66" s="796"/>
      <c r="C66" s="796"/>
      <c r="D66" s="796"/>
      <c r="E66" s="796"/>
    </row>
    <row r="67" spans="1:5" ht="12.75" customHeight="1" x14ac:dyDescent="0.25">
      <c r="A67" s="795"/>
      <c r="B67" s="257">
        <v>2018</v>
      </c>
      <c r="C67" s="257">
        <v>2019</v>
      </c>
      <c r="D67" s="257">
        <v>2020</v>
      </c>
      <c r="E67" s="257">
        <v>2021</v>
      </c>
    </row>
    <row r="68" spans="1:5" ht="15" customHeight="1" x14ac:dyDescent="0.25">
      <c r="A68" s="795"/>
      <c r="B68" s="257" t="s">
        <v>41</v>
      </c>
      <c r="C68" s="257" t="s">
        <v>42</v>
      </c>
      <c r="D68" s="257" t="s">
        <v>42</v>
      </c>
      <c r="E68" s="257" t="s">
        <v>42</v>
      </c>
    </row>
    <row r="69" spans="1:5" ht="24.75" customHeight="1" x14ac:dyDescent="0.25">
      <c r="A69" s="259" t="s">
        <v>84</v>
      </c>
      <c r="B69" s="260">
        <v>15500</v>
      </c>
      <c r="C69" s="273">
        <v>18840</v>
      </c>
      <c r="D69" s="274">
        <v>17750</v>
      </c>
      <c r="E69" s="275">
        <v>16750</v>
      </c>
    </row>
    <row r="70" spans="1:5" ht="24.75" customHeight="1" x14ac:dyDescent="0.25">
      <c r="A70" s="259" t="s">
        <v>85</v>
      </c>
      <c r="B70" s="260">
        <v>3400</v>
      </c>
      <c r="C70" s="273">
        <v>3200</v>
      </c>
      <c r="D70" s="274">
        <v>3560</v>
      </c>
      <c r="E70" s="275">
        <v>3090</v>
      </c>
    </row>
    <row r="71" spans="1:5" ht="24.75" customHeight="1" x14ac:dyDescent="0.25">
      <c r="A71" s="259" t="s">
        <v>86</v>
      </c>
      <c r="B71" s="262">
        <v>11617</v>
      </c>
      <c r="C71" s="273">
        <v>14100</v>
      </c>
      <c r="D71" s="274">
        <v>13100</v>
      </c>
      <c r="E71" s="274">
        <v>13050</v>
      </c>
    </row>
    <row r="72" spans="1:5" x14ac:dyDescent="0.25">
      <c r="A72" s="259" t="s">
        <v>88</v>
      </c>
      <c r="B72" s="263"/>
      <c r="C72" s="273"/>
      <c r="D72" s="273"/>
      <c r="E72" s="273"/>
    </row>
    <row r="73" spans="1:5" x14ac:dyDescent="0.25">
      <c r="A73" s="259" t="s">
        <v>89</v>
      </c>
      <c r="B73" s="263"/>
      <c r="C73" s="273"/>
      <c r="D73" s="273"/>
      <c r="E73" s="273"/>
    </row>
    <row r="74" spans="1:5" ht="24" x14ac:dyDescent="0.25">
      <c r="A74" s="259" t="s">
        <v>90</v>
      </c>
      <c r="B74" s="263">
        <v>255</v>
      </c>
      <c r="C74" s="273"/>
      <c r="D74" s="273"/>
      <c r="E74" s="273"/>
    </row>
    <row r="75" spans="1:5" x14ac:dyDescent="0.25">
      <c r="A75" s="276" t="s">
        <v>98</v>
      </c>
      <c r="B75" s="263">
        <f>SUM(B69:B74)</f>
        <v>30772</v>
      </c>
      <c r="C75" s="277">
        <f>SUM(C69:C74)</f>
        <v>36140</v>
      </c>
      <c r="D75" s="277">
        <f>SUM(D69:D74)</f>
        <v>34410</v>
      </c>
      <c r="E75" s="277">
        <f>SUM(E69:E74)</f>
        <v>32890</v>
      </c>
    </row>
    <row r="76" spans="1:5" ht="17.25" customHeight="1" x14ac:dyDescent="0.25">
      <c r="A76" s="267" t="s">
        <v>92</v>
      </c>
      <c r="B76" s="278">
        <v>0</v>
      </c>
      <c r="C76" s="279">
        <v>0</v>
      </c>
      <c r="D76" s="279">
        <v>0</v>
      </c>
      <c r="E76" s="279">
        <v>0</v>
      </c>
    </row>
    <row r="77" spans="1:5" x14ac:dyDescent="0.25">
      <c r="A77" s="802"/>
      <c r="B77" s="802"/>
      <c r="C77" s="802"/>
      <c r="D77" s="802"/>
      <c r="E77" s="802"/>
    </row>
    <row r="78" spans="1:5" x14ac:dyDescent="0.25">
      <c r="A78" s="802"/>
      <c r="B78" s="802"/>
      <c r="C78" s="802"/>
      <c r="D78" s="802"/>
      <c r="E78" s="802"/>
    </row>
    <row r="79" spans="1:5" x14ac:dyDescent="0.25">
      <c r="A79" s="280"/>
      <c r="B79" s="799"/>
      <c r="C79" s="799"/>
      <c r="D79" s="799"/>
      <c r="E79" s="799"/>
    </row>
    <row r="80" spans="1:5" x14ac:dyDescent="0.25">
      <c r="A80" s="256" t="s">
        <v>99</v>
      </c>
      <c r="B80" s="800" t="s">
        <v>334</v>
      </c>
      <c r="C80" s="800"/>
      <c r="D80" s="800"/>
      <c r="E80" s="800"/>
    </row>
    <row r="81" spans="1:9" ht="24.75" customHeight="1" x14ac:dyDescent="0.25">
      <c r="A81" s="250" t="s">
        <v>72</v>
      </c>
      <c r="B81" s="795"/>
      <c r="C81" s="795"/>
      <c r="D81" s="795"/>
      <c r="E81" s="795"/>
    </row>
    <row r="82" spans="1:9" x14ac:dyDescent="0.25">
      <c r="A82" s="250" t="s">
        <v>74</v>
      </c>
      <c r="B82" s="798" t="s">
        <v>325</v>
      </c>
      <c r="C82" s="798"/>
      <c r="D82" s="798"/>
      <c r="E82" s="798"/>
    </row>
    <row r="83" spans="1:9" ht="12.75" customHeight="1" x14ac:dyDescent="0.25">
      <c r="A83" s="795"/>
      <c r="B83" s="257">
        <v>2018</v>
      </c>
      <c r="C83" s="257">
        <v>2019</v>
      </c>
      <c r="D83" s="257">
        <v>2020</v>
      </c>
      <c r="E83" s="257">
        <v>2021</v>
      </c>
    </row>
    <row r="84" spans="1:9" ht="21" customHeight="1" x14ac:dyDescent="0.25">
      <c r="A84" s="795"/>
      <c r="B84" s="257" t="s">
        <v>41</v>
      </c>
      <c r="C84" s="257" t="s">
        <v>42</v>
      </c>
      <c r="D84" s="257" t="s">
        <v>42</v>
      </c>
      <c r="E84" s="257" t="s">
        <v>42</v>
      </c>
    </row>
    <row r="85" spans="1:9" x14ac:dyDescent="0.25">
      <c r="A85" s="250" t="s">
        <v>76</v>
      </c>
      <c r="B85" s="281">
        <v>180</v>
      </c>
      <c r="C85" s="281">
        <v>198</v>
      </c>
      <c r="D85" s="281">
        <v>218</v>
      </c>
      <c r="E85" s="281">
        <v>240</v>
      </c>
    </row>
    <row r="86" spans="1:9" x14ac:dyDescent="0.25">
      <c r="A86" s="250" t="s">
        <v>77</v>
      </c>
      <c r="B86" s="281">
        <v>8200</v>
      </c>
      <c r="C86" s="281">
        <v>8210</v>
      </c>
      <c r="D86" s="281">
        <v>8220</v>
      </c>
      <c r="E86" s="281">
        <v>8230</v>
      </c>
    </row>
    <row r="87" spans="1:9" x14ac:dyDescent="0.25">
      <c r="A87" s="250" t="s">
        <v>78</v>
      </c>
      <c r="B87" s="281">
        <f>B86/B85</f>
        <v>45.555555555555557</v>
      </c>
      <c r="C87" s="281">
        <f>C86/C85</f>
        <v>41.464646464646464</v>
      </c>
      <c r="D87" s="281">
        <f>D86/D85</f>
        <v>37.706422018348626</v>
      </c>
      <c r="E87" s="281">
        <f>E86/E85</f>
        <v>34.291666666666664</v>
      </c>
    </row>
    <row r="88" spans="1:9" x14ac:dyDescent="0.25">
      <c r="A88" s="250" t="s">
        <v>79</v>
      </c>
      <c r="B88" s="247"/>
      <c r="C88" s="282">
        <f>C85/B85-1</f>
        <v>0.10000000000000009</v>
      </c>
      <c r="D88" s="271">
        <v>4.3478260869565188E-2</v>
      </c>
      <c r="E88" s="271">
        <v>4.1666666666666741E-2</v>
      </c>
      <c r="F88" s="150"/>
      <c r="G88" s="150"/>
      <c r="H88" s="150"/>
      <c r="I88" s="150"/>
    </row>
    <row r="89" spans="1:9" x14ac:dyDescent="0.25">
      <c r="A89" s="250" t="s">
        <v>81</v>
      </c>
      <c r="B89" s="247"/>
      <c r="C89" s="271"/>
      <c r="D89" s="271"/>
      <c r="E89" s="271"/>
    </row>
    <row r="90" spans="1:9" x14ac:dyDescent="0.25">
      <c r="A90" s="250" t="s">
        <v>82</v>
      </c>
      <c r="B90" s="247"/>
      <c r="C90" s="282">
        <f>C87/B87-1</f>
        <v>-8.9800443458980084E-2</v>
      </c>
      <c r="D90" s="283">
        <f>D87/C87-1</f>
        <v>-9.0636838047134183E-2</v>
      </c>
      <c r="E90" s="282">
        <f>E87/D87-1</f>
        <v>-9.0561638280616474E-2</v>
      </c>
    </row>
    <row r="91" spans="1:9" x14ac:dyDescent="0.25">
      <c r="A91" s="796" t="s">
        <v>335</v>
      </c>
      <c r="B91" s="796"/>
      <c r="C91" s="796"/>
      <c r="D91" s="796"/>
      <c r="E91" s="796"/>
    </row>
    <row r="92" spans="1:9" ht="12.75" customHeight="1" x14ac:dyDescent="0.25">
      <c r="A92" s="795"/>
      <c r="B92" s="257">
        <v>2018</v>
      </c>
      <c r="C92" s="257">
        <v>2019</v>
      </c>
      <c r="D92" s="257">
        <v>2020</v>
      </c>
      <c r="E92" s="257">
        <v>2021</v>
      </c>
    </row>
    <row r="93" spans="1:9" ht="17.25" customHeight="1" x14ac:dyDescent="0.25">
      <c r="A93" s="795"/>
      <c r="B93" s="257" t="s">
        <v>41</v>
      </c>
      <c r="C93" s="257" t="s">
        <v>42</v>
      </c>
      <c r="D93" s="257" t="s">
        <v>42</v>
      </c>
      <c r="E93" s="257" t="s">
        <v>42</v>
      </c>
    </row>
    <row r="94" spans="1:9" x14ac:dyDescent="0.25">
      <c r="A94" s="284" t="s">
        <v>84</v>
      </c>
      <c r="B94" s="260">
        <v>4600</v>
      </c>
      <c r="C94" s="260">
        <v>4605</v>
      </c>
      <c r="D94" s="261">
        <v>4610</v>
      </c>
      <c r="E94" s="260">
        <v>4615</v>
      </c>
    </row>
    <row r="95" spans="1:9" ht="25.5" x14ac:dyDescent="0.25">
      <c r="A95" s="284" t="s">
        <v>85</v>
      </c>
      <c r="B95" s="260">
        <v>600</v>
      </c>
      <c r="C95" s="260">
        <v>605</v>
      </c>
      <c r="D95" s="261">
        <v>610</v>
      </c>
      <c r="E95" s="260">
        <v>615</v>
      </c>
    </row>
    <row r="96" spans="1:9" x14ac:dyDescent="0.25">
      <c r="A96" s="284" t="s">
        <v>86</v>
      </c>
      <c r="B96" s="262">
        <v>3000</v>
      </c>
      <c r="C96" s="260">
        <v>3000</v>
      </c>
      <c r="D96" s="261">
        <v>3000</v>
      </c>
      <c r="E96" s="260">
        <v>3000</v>
      </c>
    </row>
    <row r="97" spans="1:5" x14ac:dyDescent="0.25">
      <c r="A97" s="284" t="s">
        <v>87</v>
      </c>
      <c r="B97" s="262"/>
      <c r="C97" s="260"/>
      <c r="D97" s="260"/>
      <c r="E97" s="260"/>
    </row>
    <row r="98" spans="1:5" x14ac:dyDescent="0.25">
      <c r="A98" s="284" t="s">
        <v>88</v>
      </c>
      <c r="B98" s="262"/>
      <c r="C98" s="260"/>
      <c r="D98" s="260"/>
      <c r="E98" s="260"/>
    </row>
    <row r="99" spans="1:5" x14ac:dyDescent="0.25">
      <c r="A99" s="284" t="s">
        <v>89</v>
      </c>
      <c r="B99" s="262"/>
      <c r="C99" s="260"/>
      <c r="D99" s="260"/>
      <c r="E99" s="260"/>
    </row>
    <row r="100" spans="1:5" ht="25.5" x14ac:dyDescent="0.25">
      <c r="A100" s="284" t="s">
        <v>90</v>
      </c>
      <c r="B100" s="262"/>
      <c r="C100" s="260"/>
      <c r="D100" s="260"/>
      <c r="E100" s="260"/>
    </row>
    <row r="101" spans="1:5" x14ac:dyDescent="0.25">
      <c r="A101" s="285" t="s">
        <v>103</v>
      </c>
      <c r="B101" s="262">
        <f>B100+B99+B98+B97+B96+B95+B94</f>
        <v>8200</v>
      </c>
      <c r="C101" s="262">
        <f>C100+C99+C98+C97+C96+C95+C94</f>
        <v>8210</v>
      </c>
      <c r="D101" s="262">
        <f>D100+D99+D98+D97+D96+D95+D94</f>
        <v>8220</v>
      </c>
      <c r="E101" s="262">
        <f>E100+E99+E98+E97+E96+E95+E94</f>
        <v>8230</v>
      </c>
    </row>
    <row r="102" spans="1:5" ht="15" customHeight="1" x14ac:dyDescent="0.25">
      <c r="A102" s="797"/>
      <c r="B102" s="798"/>
      <c r="C102" s="798"/>
      <c r="D102" s="798"/>
      <c r="E102" s="798"/>
    </row>
    <row r="103" spans="1:5" x14ac:dyDescent="0.25">
      <c r="A103" s="797"/>
      <c r="B103" s="798"/>
      <c r="C103" s="798"/>
      <c r="D103" s="798"/>
      <c r="E103" s="798"/>
    </row>
    <row r="104" spans="1:5" x14ac:dyDescent="0.25">
      <c r="A104" s="797"/>
      <c r="B104" s="798"/>
      <c r="C104" s="798"/>
      <c r="D104" s="798"/>
      <c r="E104" s="798"/>
    </row>
    <row r="105" spans="1:5" x14ac:dyDescent="0.25">
      <c r="A105" s="280"/>
      <c r="B105" s="799"/>
      <c r="C105" s="799"/>
      <c r="D105" s="799"/>
      <c r="E105" s="799"/>
    </row>
    <row r="106" spans="1:5" x14ac:dyDescent="0.25">
      <c r="A106" s="256" t="s">
        <v>115</v>
      </c>
      <c r="B106" s="800" t="s">
        <v>336</v>
      </c>
      <c r="C106" s="800"/>
      <c r="D106" s="800"/>
      <c r="E106" s="800"/>
    </row>
    <row r="107" spans="1:5" ht="17.25" customHeight="1" x14ac:dyDescent="0.25">
      <c r="A107" s="250" t="s">
        <v>72</v>
      </c>
      <c r="B107" s="801"/>
      <c r="C107" s="801"/>
      <c r="D107" s="801"/>
      <c r="E107" s="801"/>
    </row>
    <row r="108" spans="1:5" x14ac:dyDescent="0.25">
      <c r="A108" s="250" t="s">
        <v>74</v>
      </c>
      <c r="B108" s="798" t="s">
        <v>326</v>
      </c>
      <c r="C108" s="798"/>
      <c r="D108" s="798"/>
      <c r="E108" s="798"/>
    </row>
    <row r="109" spans="1:5" ht="12.75" customHeight="1" x14ac:dyDescent="0.25">
      <c r="A109" s="795"/>
      <c r="B109" s="257">
        <v>2018</v>
      </c>
      <c r="C109" s="257">
        <v>2019</v>
      </c>
      <c r="D109" s="257">
        <v>2020</v>
      </c>
      <c r="E109" s="257">
        <v>2021</v>
      </c>
    </row>
    <row r="110" spans="1:5" ht="13.5" customHeight="1" x14ac:dyDescent="0.25">
      <c r="A110" s="795"/>
      <c r="B110" s="257" t="s">
        <v>41</v>
      </c>
      <c r="C110" s="257" t="s">
        <v>42</v>
      </c>
      <c r="D110" s="257" t="s">
        <v>42</v>
      </c>
      <c r="E110" s="257" t="s">
        <v>42</v>
      </c>
    </row>
    <row r="111" spans="1:5" x14ac:dyDescent="0.25">
      <c r="A111" s="286" t="s">
        <v>76</v>
      </c>
      <c r="B111" s="249">
        <v>55</v>
      </c>
      <c r="C111" s="249">
        <v>58</v>
      </c>
      <c r="D111" s="249">
        <v>61</v>
      </c>
      <c r="E111" s="249">
        <v>64</v>
      </c>
    </row>
    <row r="112" spans="1:5" x14ac:dyDescent="0.25">
      <c r="A112" s="286" t="s">
        <v>77</v>
      </c>
      <c r="B112" s="249">
        <v>8200</v>
      </c>
      <c r="C112" s="249">
        <v>8210</v>
      </c>
      <c r="D112" s="249">
        <v>8220</v>
      </c>
      <c r="E112" s="249">
        <v>8230</v>
      </c>
    </row>
    <row r="113" spans="1:9" x14ac:dyDescent="0.25">
      <c r="A113" s="286" t="s">
        <v>78</v>
      </c>
      <c r="B113" s="249">
        <f>B112/B109</f>
        <v>4.063429137760159</v>
      </c>
      <c r="C113" s="249">
        <v>141</v>
      </c>
      <c r="D113" s="249">
        <f>D112/D109</f>
        <v>4.0693069306930694</v>
      </c>
      <c r="E113" s="249">
        <f>E112/E109</f>
        <v>4.0722414646214746</v>
      </c>
    </row>
    <row r="114" spans="1:9" x14ac:dyDescent="0.25">
      <c r="A114" s="286" t="s">
        <v>79</v>
      </c>
      <c r="B114" s="253" t="s">
        <v>80</v>
      </c>
      <c r="C114" s="258">
        <v>5.4545454545454453E-2</v>
      </c>
      <c r="D114" s="258">
        <v>5.1724137931034475E-2</v>
      </c>
      <c r="E114" s="258">
        <v>4.9180327868852514E-2</v>
      </c>
      <c r="F114" s="150"/>
      <c r="G114" s="150"/>
      <c r="H114" s="150"/>
      <c r="I114" s="150"/>
    </row>
    <row r="115" spans="1:9" x14ac:dyDescent="0.25">
      <c r="A115" s="286" t="s">
        <v>81</v>
      </c>
      <c r="B115" s="253" t="s">
        <v>80</v>
      </c>
      <c r="C115" s="258">
        <v>1.2195121951219523E-3</v>
      </c>
      <c r="D115" s="258">
        <v>1.2180267965895553E-3</v>
      </c>
      <c r="E115" s="258">
        <v>1.2165450121655041E-3</v>
      </c>
    </row>
    <row r="116" spans="1:9" x14ac:dyDescent="0.25">
      <c r="A116" s="286" t="s">
        <v>82</v>
      </c>
      <c r="B116" s="253" t="s">
        <v>80</v>
      </c>
      <c r="C116" s="258">
        <v>-5.4268292682926877E-2</v>
      </c>
      <c r="D116" s="258">
        <v>-4.4297174747122359E-2</v>
      </c>
      <c r="E116" s="258">
        <v>-4.5715480535279851E-2</v>
      </c>
    </row>
    <row r="117" spans="1:9" x14ac:dyDescent="0.25">
      <c r="A117" s="796" t="s">
        <v>337</v>
      </c>
      <c r="B117" s="796"/>
      <c r="C117" s="796"/>
      <c r="D117" s="796"/>
      <c r="E117" s="796"/>
    </row>
    <row r="118" spans="1:9" ht="12.75" customHeight="1" x14ac:dyDescent="0.25">
      <c r="A118" s="795"/>
      <c r="B118" s="257">
        <v>2018</v>
      </c>
      <c r="C118" s="257">
        <v>2019</v>
      </c>
      <c r="D118" s="257">
        <v>2020</v>
      </c>
      <c r="E118" s="257">
        <v>2021</v>
      </c>
    </row>
    <row r="119" spans="1:9" ht="15" customHeight="1" x14ac:dyDescent="0.25">
      <c r="A119" s="795"/>
      <c r="B119" s="257" t="s">
        <v>41</v>
      </c>
      <c r="C119" s="257" t="s">
        <v>42</v>
      </c>
      <c r="D119" s="257" t="s">
        <v>42</v>
      </c>
      <c r="E119" s="257" t="s">
        <v>42</v>
      </c>
    </row>
    <row r="120" spans="1:9" x14ac:dyDescent="0.25">
      <c r="A120" s="259" t="s">
        <v>84</v>
      </c>
      <c r="B120" s="264">
        <v>4600</v>
      </c>
      <c r="C120" s="264">
        <v>4605</v>
      </c>
      <c r="D120" s="265">
        <v>4610</v>
      </c>
      <c r="E120" s="264">
        <v>4615</v>
      </c>
    </row>
    <row r="121" spans="1:9" ht="24" x14ac:dyDescent="0.25">
      <c r="A121" s="259" t="s">
        <v>85</v>
      </c>
      <c r="B121" s="264">
        <v>600</v>
      </c>
      <c r="C121" s="264">
        <v>605</v>
      </c>
      <c r="D121" s="265">
        <v>610</v>
      </c>
      <c r="E121" s="264">
        <v>615</v>
      </c>
    </row>
    <row r="122" spans="1:9" x14ac:dyDescent="0.25">
      <c r="A122" s="259" t="s">
        <v>86</v>
      </c>
      <c r="B122" s="263">
        <v>3000</v>
      </c>
      <c r="C122" s="264">
        <v>3000</v>
      </c>
      <c r="D122" s="265">
        <v>3000</v>
      </c>
      <c r="E122" s="264">
        <v>3000</v>
      </c>
    </row>
    <row r="123" spans="1:9" x14ac:dyDescent="0.25">
      <c r="A123" s="259" t="s">
        <v>87</v>
      </c>
      <c r="B123" s="264"/>
      <c r="C123" s="264"/>
      <c r="D123" s="264"/>
      <c r="E123" s="264"/>
    </row>
    <row r="124" spans="1:9" x14ac:dyDescent="0.25">
      <c r="A124" s="259" t="s">
        <v>88</v>
      </c>
      <c r="B124" s="264"/>
      <c r="C124" s="264"/>
      <c r="D124" s="264"/>
      <c r="E124" s="264"/>
    </row>
    <row r="125" spans="1:9" x14ac:dyDescent="0.25">
      <c r="A125" s="259" t="s">
        <v>89</v>
      </c>
      <c r="B125" s="264"/>
      <c r="C125" s="264"/>
      <c r="D125" s="264"/>
      <c r="E125" s="264"/>
    </row>
    <row r="126" spans="1:9" ht="24" x14ac:dyDescent="0.25">
      <c r="A126" s="259" t="s">
        <v>90</v>
      </c>
      <c r="B126" s="264"/>
      <c r="C126" s="264"/>
      <c r="D126" s="264"/>
      <c r="E126" s="264"/>
    </row>
    <row r="127" spans="1:9" x14ac:dyDescent="0.25">
      <c r="A127" s="259" t="s">
        <v>262</v>
      </c>
      <c r="B127" s="263">
        <f>SUM(B120:B126)</f>
        <v>8200</v>
      </c>
      <c r="C127" s="264">
        <f>SUM(C120:C126)</f>
        <v>8210</v>
      </c>
      <c r="D127" s="264">
        <f>SUM(D120:D126)</f>
        <v>8220</v>
      </c>
      <c r="E127" s="264">
        <f>SUM(E120:E126)</f>
        <v>8230</v>
      </c>
    </row>
    <row r="128" spans="1:9" x14ac:dyDescent="0.25">
      <c r="A128" s="266" t="s">
        <v>92</v>
      </c>
      <c r="B128" s="263">
        <v>0</v>
      </c>
      <c r="C128" s="263">
        <v>0</v>
      </c>
      <c r="D128" s="263">
        <v>0</v>
      </c>
      <c r="E128" s="263">
        <v>0</v>
      </c>
    </row>
  </sheetData>
  <mergeCells count="48">
    <mergeCell ref="A15:E15"/>
    <mergeCell ref="B3:E3"/>
    <mergeCell ref="B4:E4"/>
    <mergeCell ref="B5:E5"/>
    <mergeCell ref="C6:E6"/>
    <mergeCell ref="C7:E7"/>
    <mergeCell ref="C8:E8"/>
    <mergeCell ref="A9:E9"/>
    <mergeCell ref="A10:E10"/>
    <mergeCell ref="B12:E12"/>
    <mergeCell ref="B13:E13"/>
    <mergeCell ref="B14:E14"/>
    <mergeCell ref="A44:A45"/>
    <mergeCell ref="A16:E18"/>
    <mergeCell ref="B19:E19"/>
    <mergeCell ref="A20:A21"/>
    <mergeCell ref="B24:E24"/>
    <mergeCell ref="A25:E25"/>
    <mergeCell ref="A31:E31"/>
    <mergeCell ref="B32:E32"/>
    <mergeCell ref="B33:E33"/>
    <mergeCell ref="B34:E34"/>
    <mergeCell ref="A35:A36"/>
    <mergeCell ref="A43:E43"/>
    <mergeCell ref="B82:E82"/>
    <mergeCell ref="B55:E55"/>
    <mergeCell ref="B56:E56"/>
    <mergeCell ref="B57:E57"/>
    <mergeCell ref="A59:A60"/>
    <mergeCell ref="A66:E66"/>
    <mergeCell ref="A67:A68"/>
    <mergeCell ref="A77:E77"/>
    <mergeCell ref="A78:E78"/>
    <mergeCell ref="B79:E79"/>
    <mergeCell ref="B80:E80"/>
    <mergeCell ref="B81:E81"/>
    <mergeCell ref="A118:A119"/>
    <mergeCell ref="A83:A84"/>
    <mergeCell ref="A91:E91"/>
    <mergeCell ref="A92:A93"/>
    <mergeCell ref="A102:A104"/>
    <mergeCell ref="B102:E104"/>
    <mergeCell ref="B105:E105"/>
    <mergeCell ref="B106:E106"/>
    <mergeCell ref="B107:E107"/>
    <mergeCell ref="B108:E108"/>
    <mergeCell ref="A109:A110"/>
    <mergeCell ref="A117:E117"/>
  </mergeCells>
  <printOptions horizontalCentered="1" verticalCentered="1"/>
  <pageMargins left="0.25" right="0.25" top="0.75" bottom="0.75" header="0.3" footer="0.3"/>
  <pageSetup scale="61" fitToHeight="0" orientation="portrait" r:id="rId1"/>
  <rowBreaks count="1" manualBreakCount="1">
    <brk id="7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723"/>
  <sheetViews>
    <sheetView view="pageBreakPreview" topLeftCell="A697" zoomScale="60" zoomScaleNormal="85" workbookViewId="0">
      <selection activeCell="B270" sqref="B270:E270"/>
    </sheetView>
  </sheetViews>
  <sheetFormatPr defaultRowHeight="15" x14ac:dyDescent="0.25"/>
  <cols>
    <col min="1" max="1" width="25.5703125" style="122" customWidth="1"/>
    <col min="2" max="2" width="15" style="122" customWidth="1"/>
    <col min="3" max="3" width="18.28515625" style="122" customWidth="1"/>
    <col min="4" max="4" width="16.7109375" style="122" customWidth="1"/>
    <col min="5" max="5" width="18.7109375" style="122" customWidth="1"/>
    <col min="6" max="6" width="11" style="122" customWidth="1"/>
    <col min="7" max="7" width="11" style="122" bestFit="1" customWidth="1"/>
    <col min="8" max="16384" width="9.140625" style="122"/>
  </cols>
  <sheetData>
    <row r="1" spans="1:5" x14ac:dyDescent="0.25">
      <c r="A1" s="120" t="s">
        <v>0</v>
      </c>
      <c r="B1" s="121"/>
      <c r="C1" s="121"/>
      <c r="D1" s="121"/>
    </row>
    <row r="3" spans="1:5" ht="15.75" thickBot="1" x14ac:dyDescent="0.3"/>
    <row r="4" spans="1:5" ht="32.25" thickBot="1" x14ac:dyDescent="0.3">
      <c r="A4" s="124" t="s">
        <v>4</v>
      </c>
      <c r="B4" s="125" t="s">
        <v>619</v>
      </c>
      <c r="C4" s="791" t="s">
        <v>6</v>
      </c>
      <c r="D4" s="791"/>
      <c r="E4" s="792"/>
    </row>
    <row r="5" spans="1:5" ht="140.25" customHeight="1" thickBot="1" x14ac:dyDescent="0.3">
      <c r="A5" s="124" t="s">
        <v>19</v>
      </c>
      <c r="B5" s="126">
        <v>4130</v>
      </c>
      <c r="C5" s="898" t="s">
        <v>682</v>
      </c>
      <c r="D5" s="793"/>
      <c r="E5" s="794"/>
    </row>
    <row r="6" spans="1:5" ht="48.75" customHeight="1" x14ac:dyDescent="0.25">
      <c r="A6" s="940" t="s">
        <v>32</v>
      </c>
      <c r="B6" s="940"/>
      <c r="C6" s="940"/>
      <c r="D6" s="940"/>
      <c r="E6" s="940"/>
    </row>
    <row r="7" spans="1:5" ht="18" customHeight="1" x14ac:dyDescent="0.25">
      <c r="A7" s="941" t="s">
        <v>618</v>
      </c>
      <c r="B7" s="941"/>
      <c r="C7" s="941"/>
      <c r="D7" s="941"/>
      <c r="E7" s="941"/>
    </row>
    <row r="8" spans="1:5" ht="16.5" thickBot="1" x14ac:dyDescent="0.3">
      <c r="A8" s="400"/>
      <c r="B8" s="400"/>
      <c r="C8" s="400"/>
      <c r="D8" s="400"/>
      <c r="E8" s="400"/>
    </row>
    <row r="9" spans="1:5" ht="32.25" thickBot="1" x14ac:dyDescent="0.3">
      <c r="A9" s="399" t="s">
        <v>33</v>
      </c>
      <c r="B9" s="871" t="s">
        <v>338</v>
      </c>
      <c r="C9" s="871"/>
      <c r="D9" s="871"/>
      <c r="E9" s="871"/>
    </row>
    <row r="10" spans="1:5" ht="16.5" thickBot="1" x14ac:dyDescent="0.3">
      <c r="A10" s="399" t="s">
        <v>5</v>
      </c>
      <c r="B10" s="872" t="s">
        <v>25</v>
      </c>
      <c r="C10" s="873"/>
      <c r="D10" s="873"/>
      <c r="E10" s="874"/>
    </row>
    <row r="11" spans="1:5" ht="32.25" thickBot="1" x14ac:dyDescent="0.3">
      <c r="A11" s="399" t="s">
        <v>35</v>
      </c>
      <c r="B11" s="875" t="s">
        <v>36</v>
      </c>
      <c r="C11" s="876"/>
      <c r="D11" s="876"/>
      <c r="E11" s="877"/>
    </row>
    <row r="12" spans="1:5" ht="16.5" thickBot="1" x14ac:dyDescent="0.3">
      <c r="A12" s="878" t="s">
        <v>6</v>
      </c>
      <c r="B12" s="879"/>
      <c r="C12" s="879"/>
      <c r="D12" s="879"/>
      <c r="E12" s="880"/>
    </row>
    <row r="13" spans="1:5" x14ac:dyDescent="0.25">
      <c r="A13" s="914" t="s">
        <v>339</v>
      </c>
      <c r="B13" s="915"/>
      <c r="C13" s="915"/>
      <c r="D13" s="915"/>
      <c r="E13" s="916"/>
    </row>
    <row r="14" spans="1:5" ht="36.75" customHeight="1" x14ac:dyDescent="0.25">
      <c r="A14" s="917"/>
      <c r="B14" s="918"/>
      <c r="C14" s="918"/>
      <c r="D14" s="918"/>
      <c r="E14" s="919"/>
    </row>
    <row r="15" spans="1:5" ht="75.75" customHeight="1" thickBot="1" x14ac:dyDescent="0.3">
      <c r="A15" s="920"/>
      <c r="B15" s="921"/>
      <c r="C15" s="921"/>
      <c r="D15" s="921"/>
      <c r="E15" s="922"/>
    </row>
    <row r="16" spans="1:5" ht="150.75" customHeight="1" thickBot="1" x14ac:dyDescent="0.3">
      <c r="A16" s="398" t="s">
        <v>38</v>
      </c>
      <c r="B16" s="923" t="s">
        <v>681</v>
      </c>
      <c r="C16" s="924"/>
      <c r="D16" s="924"/>
      <c r="E16" s="925"/>
    </row>
    <row r="17" spans="1:8" ht="23.25" customHeight="1" x14ac:dyDescent="0.25">
      <c r="A17" s="932" t="s">
        <v>138</v>
      </c>
      <c r="B17" s="397">
        <v>2018</v>
      </c>
      <c r="C17" s="397">
        <v>2019</v>
      </c>
      <c r="D17" s="397">
        <v>2020</v>
      </c>
      <c r="E17" s="397">
        <v>2021</v>
      </c>
    </row>
    <row r="18" spans="1:8" ht="16.5" thickBot="1" x14ac:dyDescent="0.3">
      <c r="A18" s="933"/>
      <c r="B18" s="396" t="s">
        <v>41</v>
      </c>
      <c r="C18" s="396" t="s">
        <v>42</v>
      </c>
      <c r="D18" s="396" t="s">
        <v>42</v>
      </c>
      <c r="E18" s="396" t="s">
        <v>42</v>
      </c>
    </row>
    <row r="19" spans="1:8" ht="32.25" thickBot="1" x14ac:dyDescent="0.3">
      <c r="A19" s="388" t="s">
        <v>680</v>
      </c>
      <c r="B19" s="394">
        <v>22</v>
      </c>
      <c r="C19" s="395">
        <v>25</v>
      </c>
      <c r="D19" s="395">
        <v>25</v>
      </c>
      <c r="E19" s="394">
        <v>25</v>
      </c>
    </row>
    <row r="20" spans="1:8" ht="16.5" thickBot="1" x14ac:dyDescent="0.3">
      <c r="A20" s="387" t="s">
        <v>679</v>
      </c>
      <c r="B20" s="394">
        <v>120</v>
      </c>
      <c r="C20" s="394">
        <v>130</v>
      </c>
      <c r="D20" s="394">
        <v>130</v>
      </c>
      <c r="E20" s="394">
        <v>130</v>
      </c>
    </row>
    <row r="21" spans="1:8" ht="16.5" thickBot="1" x14ac:dyDescent="0.3">
      <c r="A21" s="387" t="s">
        <v>678</v>
      </c>
      <c r="B21" s="393">
        <v>85</v>
      </c>
      <c r="C21" s="393">
        <v>85</v>
      </c>
      <c r="D21" s="393">
        <v>85</v>
      </c>
      <c r="E21" s="393">
        <v>85</v>
      </c>
    </row>
    <row r="22" spans="1:8" ht="16.5" thickBot="1" x14ac:dyDescent="0.3">
      <c r="A22" s="391" t="s">
        <v>398</v>
      </c>
      <c r="B22" s="392">
        <v>1</v>
      </c>
      <c r="C22" s="392">
        <v>1</v>
      </c>
      <c r="D22" s="392">
        <v>1</v>
      </c>
      <c r="E22" s="392">
        <v>1</v>
      </c>
    </row>
    <row r="23" spans="1:8" ht="32.25" thickBot="1" x14ac:dyDescent="0.3">
      <c r="A23" s="391" t="s">
        <v>677</v>
      </c>
      <c r="B23" s="390">
        <v>100</v>
      </c>
      <c r="C23" s="390">
        <v>130</v>
      </c>
      <c r="D23" s="390">
        <v>150</v>
      </c>
      <c r="E23" s="390">
        <v>200</v>
      </c>
    </row>
    <row r="24" spans="1:8" ht="45.75" customHeight="1" thickBot="1" x14ac:dyDescent="0.3">
      <c r="A24" s="389" t="s">
        <v>45</v>
      </c>
      <c r="B24" s="934" t="s">
        <v>344</v>
      </c>
      <c r="C24" s="935"/>
      <c r="D24" s="935"/>
      <c r="E24" s="936"/>
    </row>
    <row r="25" spans="1:8" ht="23.25" customHeight="1" thickBot="1" x14ac:dyDescent="0.3">
      <c r="A25" s="875" t="s">
        <v>153</v>
      </c>
      <c r="B25" s="876"/>
      <c r="C25" s="876"/>
      <c r="D25" s="876"/>
      <c r="E25" s="877"/>
      <c r="F25" s="135"/>
      <c r="H25" s="135"/>
    </row>
    <row r="26" spans="1:8" ht="32.25" thickBot="1" x14ac:dyDescent="0.3">
      <c r="A26" s="388" t="s">
        <v>676</v>
      </c>
      <c r="B26" s="386" t="s">
        <v>60</v>
      </c>
      <c r="C26" s="386" t="s">
        <v>61</v>
      </c>
      <c r="D26" s="386" t="s">
        <v>61</v>
      </c>
      <c r="E26" s="386" t="s">
        <v>61</v>
      </c>
    </row>
    <row r="27" spans="1:8" ht="48" thickBot="1" x14ac:dyDescent="0.3">
      <c r="A27" s="387" t="s">
        <v>675</v>
      </c>
      <c r="B27" s="386" t="s">
        <v>60</v>
      </c>
      <c r="C27" s="386" t="s">
        <v>61</v>
      </c>
      <c r="D27" s="386" t="s">
        <v>61</v>
      </c>
      <c r="E27" s="386" t="s">
        <v>61</v>
      </c>
    </row>
    <row r="28" spans="1:8" ht="32.25" thickBot="1" x14ac:dyDescent="0.3">
      <c r="A28" s="387" t="s">
        <v>343</v>
      </c>
      <c r="B28" s="386" t="s">
        <v>60</v>
      </c>
      <c r="C28" s="386" t="s">
        <v>61</v>
      </c>
      <c r="D28" s="386" t="s">
        <v>61</v>
      </c>
      <c r="E28" s="386" t="s">
        <v>61</v>
      </c>
    </row>
    <row r="29" spans="1:8" ht="15.75" thickBot="1" x14ac:dyDescent="0.3">
      <c r="A29" s="899" t="s">
        <v>68</v>
      </c>
      <c r="B29" s="900"/>
      <c r="C29" s="900"/>
      <c r="D29" s="900"/>
      <c r="E29" s="901"/>
    </row>
    <row r="30" spans="1:8" ht="15.75" thickBot="1" x14ac:dyDescent="0.3">
      <c r="A30" s="926" t="s">
        <v>375</v>
      </c>
      <c r="B30" s="927"/>
      <c r="C30" s="927"/>
      <c r="D30" s="927"/>
      <c r="E30" s="928"/>
    </row>
    <row r="31" spans="1:8" ht="15.75" thickBot="1" x14ac:dyDescent="0.3">
      <c r="A31" s="385" t="s">
        <v>108</v>
      </c>
      <c r="B31" s="890" t="s">
        <v>376</v>
      </c>
      <c r="C31" s="891"/>
      <c r="D31" s="891"/>
      <c r="E31" s="892"/>
    </row>
    <row r="32" spans="1:8" ht="33" customHeight="1" thickBot="1" x14ac:dyDescent="0.3">
      <c r="A32" s="133" t="s">
        <v>72</v>
      </c>
      <c r="B32" s="929" t="s">
        <v>377</v>
      </c>
      <c r="C32" s="930"/>
      <c r="D32" s="930"/>
      <c r="E32" s="931"/>
    </row>
    <row r="33" spans="1:5" ht="15.75" thickBot="1" x14ac:dyDescent="0.3">
      <c r="A33" s="133" t="s">
        <v>74</v>
      </c>
      <c r="B33" s="890" t="s">
        <v>378</v>
      </c>
      <c r="C33" s="891"/>
      <c r="D33" s="891"/>
      <c r="E33" s="892"/>
    </row>
    <row r="34" spans="1:5" x14ac:dyDescent="0.25">
      <c r="A34" s="893"/>
      <c r="B34" s="145">
        <v>2018</v>
      </c>
      <c r="C34" s="145">
        <v>2019</v>
      </c>
      <c r="D34" s="145">
        <v>2020</v>
      </c>
      <c r="E34" s="145">
        <v>2021</v>
      </c>
    </row>
    <row r="35" spans="1:5" ht="15.75" thickBot="1" x14ac:dyDescent="0.3">
      <c r="A35" s="894"/>
      <c r="B35" s="146" t="s">
        <v>41</v>
      </c>
      <c r="C35" s="146" t="s">
        <v>42</v>
      </c>
      <c r="D35" s="146" t="s">
        <v>42</v>
      </c>
      <c r="E35" s="146" t="s">
        <v>42</v>
      </c>
    </row>
    <row r="36" spans="1:5" ht="15.75" thickBot="1" x14ac:dyDescent="0.3">
      <c r="A36" s="133" t="s">
        <v>76</v>
      </c>
      <c r="B36" s="147">
        <v>1</v>
      </c>
      <c r="C36" s="147">
        <v>3</v>
      </c>
      <c r="D36" s="147">
        <v>4</v>
      </c>
      <c r="E36" s="147">
        <v>4</v>
      </c>
    </row>
    <row r="37" spans="1:5" ht="15.75" thickBot="1" x14ac:dyDescent="0.3">
      <c r="A37" s="133" t="s">
        <v>77</v>
      </c>
      <c r="B37" s="147">
        <v>24800</v>
      </c>
      <c r="C37" s="327">
        <v>30967</v>
      </c>
      <c r="D37" s="327">
        <v>30967</v>
      </c>
      <c r="E37" s="327">
        <v>30967</v>
      </c>
    </row>
    <row r="38" spans="1:5" ht="15.75" thickBot="1" x14ac:dyDescent="0.3">
      <c r="A38" s="133" t="s">
        <v>78</v>
      </c>
      <c r="B38" s="147">
        <f>B37/B36</f>
        <v>24800</v>
      </c>
      <c r="C38" s="296">
        <f>C37/C36</f>
        <v>10322.333333333334</v>
      </c>
      <c r="D38" s="147">
        <f>D37/D36</f>
        <v>7741.75</v>
      </c>
      <c r="E38" s="147">
        <f>E37/E36</f>
        <v>7741.75</v>
      </c>
    </row>
    <row r="39" spans="1:5" ht="15.75" thickBot="1" x14ac:dyDescent="0.3">
      <c r="A39" s="133" t="s">
        <v>79</v>
      </c>
      <c r="B39" s="148" t="s">
        <v>80</v>
      </c>
      <c r="C39" s="149">
        <f t="shared" ref="C39:E41" si="0">C36/B36-1</f>
        <v>2</v>
      </c>
      <c r="D39" s="149">
        <f t="shared" si="0"/>
        <v>0.33333333333333326</v>
      </c>
      <c r="E39" s="149">
        <f t="shared" si="0"/>
        <v>0</v>
      </c>
    </row>
    <row r="40" spans="1:5" ht="15.75" thickBot="1" x14ac:dyDescent="0.3">
      <c r="A40" s="133" t="s">
        <v>81</v>
      </c>
      <c r="B40" s="148" t="s">
        <v>80</v>
      </c>
      <c r="C40" s="149">
        <f t="shared" si="0"/>
        <v>0.24866935483870978</v>
      </c>
      <c r="D40" s="149">
        <f t="shared" si="0"/>
        <v>0</v>
      </c>
      <c r="E40" s="149">
        <f t="shared" si="0"/>
        <v>0</v>
      </c>
    </row>
    <row r="41" spans="1:5" ht="15.75" thickBot="1" x14ac:dyDescent="0.3">
      <c r="A41" s="133" t="s">
        <v>82</v>
      </c>
      <c r="B41" s="148" t="s">
        <v>80</v>
      </c>
      <c r="C41" s="149">
        <f t="shared" si="0"/>
        <v>-0.58377688172043007</v>
      </c>
      <c r="D41" s="149">
        <f t="shared" si="0"/>
        <v>-0.25</v>
      </c>
      <c r="E41" s="149">
        <f t="shared" si="0"/>
        <v>0</v>
      </c>
    </row>
    <row r="42" spans="1:5" ht="15.75" thickBot="1" x14ac:dyDescent="0.3">
      <c r="A42" s="895" t="s">
        <v>83</v>
      </c>
      <c r="B42" s="896"/>
      <c r="C42" s="896"/>
      <c r="D42" s="896"/>
      <c r="E42" s="897"/>
    </row>
    <row r="43" spans="1:5" x14ac:dyDescent="0.25">
      <c r="A43" s="893"/>
      <c r="B43" s="145">
        <v>2018</v>
      </c>
      <c r="C43" s="145">
        <v>2019</v>
      </c>
      <c r="D43" s="145">
        <v>2020</v>
      </c>
      <c r="E43" s="145">
        <v>2021</v>
      </c>
    </row>
    <row r="44" spans="1:5" ht="15.75" thickBot="1" x14ac:dyDescent="0.3">
      <c r="A44" s="894"/>
      <c r="B44" s="146" t="s">
        <v>41</v>
      </c>
      <c r="C44" s="146" t="s">
        <v>42</v>
      </c>
      <c r="D44" s="146" t="s">
        <v>42</v>
      </c>
      <c r="E44" s="146" t="s">
        <v>42</v>
      </c>
    </row>
    <row r="45" spans="1:5" ht="15.75" thickBot="1" x14ac:dyDescent="0.3">
      <c r="A45" s="382" t="s">
        <v>84</v>
      </c>
      <c r="B45" s="183">
        <v>12800</v>
      </c>
      <c r="C45" s="183">
        <v>16716</v>
      </c>
      <c r="D45" s="183">
        <v>16716</v>
      </c>
      <c r="E45" s="183">
        <v>16716</v>
      </c>
    </row>
    <row r="46" spans="1:5" ht="24.75" thickBot="1" x14ac:dyDescent="0.3">
      <c r="A46" s="381" t="s">
        <v>379</v>
      </c>
      <c r="B46" s="379"/>
      <c r="C46" s="384"/>
      <c r="D46" s="384"/>
      <c r="E46" s="384"/>
    </row>
    <row r="47" spans="1:5" ht="24.75" thickBot="1" x14ac:dyDescent="0.3">
      <c r="A47" s="381" t="s">
        <v>380</v>
      </c>
      <c r="B47" s="379"/>
      <c r="C47" s="383"/>
      <c r="D47" s="383"/>
      <c r="E47" s="383"/>
    </row>
    <row r="48" spans="1:5" ht="24.75" thickBot="1" x14ac:dyDescent="0.3">
      <c r="A48" s="382" t="s">
        <v>85</v>
      </c>
      <c r="B48" s="183">
        <v>2500</v>
      </c>
      <c r="C48" s="183">
        <v>3250</v>
      </c>
      <c r="D48" s="183">
        <v>3250</v>
      </c>
      <c r="E48" s="183">
        <v>3250</v>
      </c>
    </row>
    <row r="49" spans="1:5" ht="36.75" thickBot="1" x14ac:dyDescent="0.3">
      <c r="A49" s="381" t="s">
        <v>381</v>
      </c>
      <c r="B49" s="379"/>
      <c r="C49" s="183"/>
      <c r="D49" s="183"/>
      <c r="E49" s="183"/>
    </row>
    <row r="50" spans="1:5" ht="36.75" thickBot="1" x14ac:dyDescent="0.3">
      <c r="A50" s="381" t="s">
        <v>382</v>
      </c>
      <c r="B50" s="379"/>
      <c r="C50" s="183"/>
      <c r="D50" s="183"/>
      <c r="E50" s="183"/>
    </row>
    <row r="51" spans="1:5" ht="15.75" thickBot="1" x14ac:dyDescent="0.3">
      <c r="A51" s="382" t="s">
        <v>86</v>
      </c>
      <c r="B51" s="379">
        <v>9500</v>
      </c>
      <c r="C51" s="183">
        <v>11000</v>
      </c>
      <c r="D51" s="183">
        <v>11000</v>
      </c>
      <c r="E51" s="183">
        <v>11000</v>
      </c>
    </row>
    <row r="52" spans="1:5" ht="36.75" thickBot="1" x14ac:dyDescent="0.3">
      <c r="A52" s="381" t="s">
        <v>383</v>
      </c>
      <c r="B52" s="379"/>
      <c r="C52" s="183"/>
      <c r="D52" s="183"/>
      <c r="E52" s="183"/>
    </row>
    <row r="53" spans="1:5" ht="36.75" thickBot="1" x14ac:dyDescent="0.3">
      <c r="A53" s="381" t="s">
        <v>384</v>
      </c>
      <c r="B53" s="379"/>
      <c r="C53" s="183"/>
      <c r="D53" s="183"/>
      <c r="E53" s="183"/>
    </row>
    <row r="54" spans="1:5" ht="15.75" thickBot="1" x14ac:dyDescent="0.3">
      <c r="A54" s="382" t="s">
        <v>87</v>
      </c>
      <c r="B54" s="379"/>
      <c r="C54" s="183"/>
      <c r="D54" s="183"/>
      <c r="E54" s="183"/>
    </row>
    <row r="55" spans="1:5" ht="36.75" thickBot="1" x14ac:dyDescent="0.3">
      <c r="A55" s="381" t="s">
        <v>385</v>
      </c>
      <c r="B55" s="379"/>
      <c r="C55" s="183"/>
      <c r="D55" s="183"/>
      <c r="E55" s="183"/>
    </row>
    <row r="56" spans="1:5" ht="36.75" thickBot="1" x14ac:dyDescent="0.3">
      <c r="A56" s="381" t="s">
        <v>386</v>
      </c>
      <c r="B56" s="379"/>
      <c r="C56" s="183"/>
      <c r="D56" s="183"/>
      <c r="E56" s="183"/>
    </row>
    <row r="57" spans="1:5" ht="15.75" thickBot="1" x14ac:dyDescent="0.3">
      <c r="A57" s="382" t="s">
        <v>88</v>
      </c>
      <c r="B57" s="379"/>
      <c r="C57" s="183"/>
      <c r="D57" s="183"/>
      <c r="E57" s="183"/>
    </row>
    <row r="58" spans="1:5" ht="36.75" thickBot="1" x14ac:dyDescent="0.3">
      <c r="A58" s="381" t="s">
        <v>387</v>
      </c>
      <c r="B58" s="379"/>
      <c r="C58" s="183"/>
      <c r="D58" s="183"/>
      <c r="E58" s="183"/>
    </row>
    <row r="59" spans="1:5" ht="36.75" thickBot="1" x14ac:dyDescent="0.3">
      <c r="A59" s="381" t="s">
        <v>388</v>
      </c>
      <c r="B59" s="379"/>
      <c r="C59" s="183"/>
      <c r="D59" s="183"/>
      <c r="E59" s="183"/>
    </row>
    <row r="60" spans="1:5" ht="15.75" thickBot="1" x14ac:dyDescent="0.3">
      <c r="A60" s="382" t="s">
        <v>89</v>
      </c>
      <c r="B60" s="379"/>
      <c r="C60" s="183"/>
      <c r="D60" s="183"/>
      <c r="E60" s="183"/>
    </row>
    <row r="61" spans="1:5" ht="36.75" thickBot="1" x14ac:dyDescent="0.3">
      <c r="A61" s="381" t="s">
        <v>389</v>
      </c>
      <c r="B61" s="379"/>
      <c r="C61" s="183"/>
      <c r="D61" s="183"/>
      <c r="E61" s="183"/>
    </row>
    <row r="62" spans="1:5" ht="36.75" thickBot="1" x14ac:dyDescent="0.3">
      <c r="A62" s="381" t="s">
        <v>390</v>
      </c>
      <c r="B62" s="379"/>
      <c r="C62" s="183"/>
      <c r="D62" s="183"/>
      <c r="E62" s="183"/>
    </row>
    <row r="63" spans="1:5" ht="24.75" thickBot="1" x14ac:dyDescent="0.3">
      <c r="A63" s="382" t="s">
        <v>90</v>
      </c>
      <c r="B63" s="379"/>
      <c r="C63" s="183"/>
      <c r="D63" s="183"/>
      <c r="E63" s="183"/>
    </row>
    <row r="64" spans="1:5" ht="36.75" thickBot="1" x14ac:dyDescent="0.3">
      <c r="A64" s="381" t="s">
        <v>391</v>
      </c>
      <c r="B64" s="379"/>
      <c r="C64" s="183"/>
      <c r="D64" s="183"/>
      <c r="E64" s="183"/>
    </row>
    <row r="65" spans="1:5" ht="36.75" thickBot="1" x14ac:dyDescent="0.3">
      <c r="A65" s="381" t="s">
        <v>392</v>
      </c>
      <c r="B65" s="379"/>
      <c r="C65" s="183"/>
      <c r="D65" s="183"/>
      <c r="E65" s="183"/>
    </row>
    <row r="66" spans="1:5" ht="15.75" thickBot="1" x14ac:dyDescent="0.3">
      <c r="A66" s="380" t="s">
        <v>91</v>
      </c>
      <c r="B66" s="379">
        <f>B63+B60+B57+B54+B51+B48+B45</f>
        <v>24800</v>
      </c>
      <c r="C66" s="379">
        <f>C63+C60+C57+C54+C51+C48+C45</f>
        <v>30966</v>
      </c>
      <c r="D66" s="379">
        <f>D63+D60+D57+D54+D51+D48+D45</f>
        <v>30966</v>
      </c>
      <c r="E66" s="379">
        <f>E63+E60+E57+E54+E51+E48+E45</f>
        <v>30966</v>
      </c>
    </row>
    <row r="67" spans="1:5" x14ac:dyDescent="0.25">
      <c r="A67" s="902" t="s">
        <v>393</v>
      </c>
      <c r="B67" s="905"/>
      <c r="C67" s="906"/>
      <c r="D67" s="906"/>
      <c r="E67" s="907"/>
    </row>
    <row r="68" spans="1:5" x14ac:dyDescent="0.25">
      <c r="A68" s="903"/>
      <c r="B68" s="908"/>
      <c r="C68" s="909"/>
      <c r="D68" s="909"/>
      <c r="E68" s="910"/>
    </row>
    <row r="69" spans="1:5" ht="15.75" thickBot="1" x14ac:dyDescent="0.3">
      <c r="A69" s="904"/>
      <c r="B69" s="911"/>
      <c r="C69" s="912"/>
      <c r="D69" s="912"/>
      <c r="E69" s="913"/>
    </row>
    <row r="70" spans="1:5" ht="15.75" thickBot="1" x14ac:dyDescent="0.3">
      <c r="A70" s="378" t="s">
        <v>92</v>
      </c>
      <c r="B70" s="377">
        <f>IF(B66-B37=0,0,"Error")</f>
        <v>0</v>
      </c>
      <c r="C70" s="377" t="str">
        <f>IF(C66-C37=0,0,"Error")</f>
        <v>Error</v>
      </c>
      <c r="D70" s="377" t="str">
        <f>IF(D66-D37=0,0,"Error")</f>
        <v>Error</v>
      </c>
      <c r="E70" s="377" t="str">
        <f>IF(E66-E37=0,0,"Error")</f>
        <v>Error</v>
      </c>
    </row>
    <row r="71" spans="1:5" ht="45" customHeight="1" thickBot="1" x14ac:dyDescent="0.3">
      <c r="A71" s="376" t="s">
        <v>181</v>
      </c>
      <c r="B71" s="884" t="s">
        <v>394</v>
      </c>
      <c r="C71" s="885"/>
      <c r="D71" s="885"/>
      <c r="E71" s="886"/>
    </row>
    <row r="72" spans="1:5" ht="15.75" thickBot="1" x14ac:dyDescent="0.3">
      <c r="A72" s="859" t="s">
        <v>183</v>
      </c>
      <c r="B72" s="860"/>
      <c r="C72" s="860"/>
      <c r="D72" s="860"/>
      <c r="E72" s="861"/>
    </row>
    <row r="73" spans="1:5" ht="22.5" x14ac:dyDescent="0.25">
      <c r="A73" s="375" t="s">
        <v>395</v>
      </c>
      <c r="B73" s="374">
        <v>22</v>
      </c>
      <c r="C73" s="374">
        <v>25</v>
      </c>
      <c r="D73" s="374">
        <v>25</v>
      </c>
      <c r="E73" s="374">
        <v>25</v>
      </c>
    </row>
    <row r="74" spans="1:5" x14ac:dyDescent="0.25">
      <c r="A74" s="373" t="s">
        <v>396</v>
      </c>
      <c r="B74" s="372">
        <v>120</v>
      </c>
      <c r="C74" s="372">
        <v>130</v>
      </c>
      <c r="D74" s="372">
        <v>130</v>
      </c>
      <c r="E74" s="372">
        <v>130</v>
      </c>
    </row>
    <row r="75" spans="1:5" x14ac:dyDescent="0.25">
      <c r="A75" s="371" t="s">
        <v>397</v>
      </c>
      <c r="B75" s="372">
        <v>85</v>
      </c>
      <c r="C75" s="372">
        <v>85</v>
      </c>
      <c r="D75" s="372">
        <v>85</v>
      </c>
      <c r="E75" s="372">
        <v>85</v>
      </c>
    </row>
    <row r="76" spans="1:5" x14ac:dyDescent="0.25">
      <c r="A76" s="371" t="s">
        <v>398</v>
      </c>
      <c r="B76" s="370">
        <v>1</v>
      </c>
      <c r="C76" s="370">
        <v>1</v>
      </c>
      <c r="D76" s="370">
        <v>1</v>
      </c>
      <c r="E76" s="370">
        <v>1</v>
      </c>
    </row>
    <row r="77" spans="1:5" ht="23.25" thickBot="1" x14ac:dyDescent="0.3">
      <c r="A77" s="369" t="s">
        <v>399</v>
      </c>
      <c r="B77" s="368">
        <v>100</v>
      </c>
      <c r="C77" s="368">
        <v>130</v>
      </c>
      <c r="D77" s="368">
        <v>150</v>
      </c>
      <c r="E77" s="368">
        <v>200</v>
      </c>
    </row>
    <row r="78" spans="1:5" ht="15.75" thickBot="1" x14ac:dyDescent="0.3">
      <c r="A78" s="827" t="s">
        <v>196</v>
      </c>
      <c r="B78" s="828"/>
      <c r="C78" s="828"/>
      <c r="D78" s="828"/>
      <c r="E78" s="829"/>
    </row>
    <row r="79" spans="1:5" ht="15.75" thickBot="1" x14ac:dyDescent="0.3">
      <c r="A79" s="887" t="s">
        <v>114</v>
      </c>
      <c r="B79" s="888"/>
      <c r="C79" s="888"/>
      <c r="D79" s="888"/>
      <c r="E79" s="889"/>
    </row>
    <row r="80" spans="1:5" x14ac:dyDescent="0.25">
      <c r="A80" s="825"/>
      <c r="B80" s="357">
        <v>2018</v>
      </c>
      <c r="C80" s="357">
        <v>2019</v>
      </c>
      <c r="D80" s="357">
        <v>2020</v>
      </c>
      <c r="E80" s="357">
        <v>2021</v>
      </c>
    </row>
    <row r="81" spans="1:5" ht="15.75" thickBot="1" x14ac:dyDescent="0.3">
      <c r="A81" s="826"/>
      <c r="B81" s="356" t="s">
        <v>41</v>
      </c>
      <c r="C81" s="356" t="s">
        <v>42</v>
      </c>
      <c r="D81" s="356" t="s">
        <v>42</v>
      </c>
      <c r="E81" s="356" t="s">
        <v>42</v>
      </c>
    </row>
    <row r="82" spans="1:5" ht="15.75" thickBot="1" x14ac:dyDescent="0.3">
      <c r="A82" s="360" t="s">
        <v>108</v>
      </c>
      <c r="B82" s="884" t="s">
        <v>400</v>
      </c>
      <c r="C82" s="885"/>
      <c r="D82" s="885"/>
      <c r="E82" s="886"/>
    </row>
    <row r="83" spans="1:5" ht="97.5" customHeight="1" thickBot="1" x14ac:dyDescent="0.3">
      <c r="A83" s="342" t="s">
        <v>72</v>
      </c>
      <c r="B83" s="937" t="s">
        <v>401</v>
      </c>
      <c r="C83" s="938"/>
      <c r="D83" s="938"/>
      <c r="E83" s="939"/>
    </row>
    <row r="84" spans="1:5" ht="15.75" thickBot="1" x14ac:dyDescent="0.3">
      <c r="A84" s="342" t="s">
        <v>74</v>
      </c>
      <c r="B84" s="822" t="s">
        <v>378</v>
      </c>
      <c r="C84" s="823"/>
      <c r="D84" s="823"/>
      <c r="E84" s="824"/>
    </row>
    <row r="85" spans="1:5" x14ac:dyDescent="0.25">
      <c r="A85" s="825"/>
      <c r="B85" s="357">
        <v>2018</v>
      </c>
      <c r="C85" s="357">
        <v>2019</v>
      </c>
      <c r="D85" s="357">
        <v>2020</v>
      </c>
      <c r="E85" s="357">
        <v>2021</v>
      </c>
    </row>
    <row r="86" spans="1:5" ht="15.75" thickBot="1" x14ac:dyDescent="0.3">
      <c r="A86" s="826"/>
      <c r="B86" s="356" t="s">
        <v>41</v>
      </c>
      <c r="C86" s="356" t="s">
        <v>42</v>
      </c>
      <c r="D86" s="356" t="s">
        <v>42</v>
      </c>
      <c r="E86" s="356" t="s">
        <v>42</v>
      </c>
    </row>
    <row r="87" spans="1:5" ht="15.75" thickBot="1" x14ac:dyDescent="0.3">
      <c r="A87" s="342" t="s">
        <v>76</v>
      </c>
      <c r="B87" s="296">
        <v>22</v>
      </c>
      <c r="C87" s="363">
        <v>25</v>
      </c>
      <c r="D87" s="363">
        <v>25</v>
      </c>
      <c r="E87" s="363">
        <v>25</v>
      </c>
    </row>
    <row r="88" spans="1:5" ht="15.75" thickBot="1" x14ac:dyDescent="0.3">
      <c r="A88" s="342" t="s">
        <v>77</v>
      </c>
      <c r="B88" s="296">
        <v>24800</v>
      </c>
      <c r="C88" s="327">
        <v>30966</v>
      </c>
      <c r="D88" s="327">
        <v>30966</v>
      </c>
      <c r="E88" s="327">
        <v>30966</v>
      </c>
    </row>
    <row r="89" spans="1:5" ht="15.75" thickBot="1" x14ac:dyDescent="0.3">
      <c r="A89" s="342" t="s">
        <v>78</v>
      </c>
      <c r="B89" s="296">
        <f>B88/B87</f>
        <v>1127.2727272727273</v>
      </c>
      <c r="C89" s="296">
        <f>C88/C87</f>
        <v>1238.6400000000001</v>
      </c>
      <c r="D89" s="296">
        <f>D88/D87</f>
        <v>1238.6400000000001</v>
      </c>
      <c r="E89" s="296">
        <f>E88/E87</f>
        <v>1238.6400000000001</v>
      </c>
    </row>
    <row r="90" spans="1:5" ht="15.75" thickBot="1" x14ac:dyDescent="0.3">
      <c r="A90" s="342" t="s">
        <v>79</v>
      </c>
      <c r="B90" s="359"/>
      <c r="C90" s="358">
        <f t="shared" ref="C90:E92" si="1">C87/B87-1</f>
        <v>0.13636363636363646</v>
      </c>
      <c r="D90" s="358">
        <f t="shared" si="1"/>
        <v>0</v>
      </c>
      <c r="E90" s="358">
        <f t="shared" si="1"/>
        <v>0</v>
      </c>
    </row>
    <row r="91" spans="1:5" ht="15.75" thickBot="1" x14ac:dyDescent="0.3">
      <c r="A91" s="342" t="s">
        <v>81</v>
      </c>
      <c r="B91" s="359"/>
      <c r="C91" s="358">
        <f t="shared" si="1"/>
        <v>0.24862903225806443</v>
      </c>
      <c r="D91" s="358">
        <f t="shared" si="1"/>
        <v>0</v>
      </c>
      <c r="E91" s="358">
        <f t="shared" si="1"/>
        <v>0</v>
      </c>
    </row>
    <row r="92" spans="1:5" ht="15.75" thickBot="1" x14ac:dyDescent="0.3">
      <c r="A92" s="342" t="s">
        <v>82</v>
      </c>
      <c r="B92" s="359"/>
      <c r="C92" s="358">
        <f t="shared" si="1"/>
        <v>9.8793548387096974E-2</v>
      </c>
      <c r="D92" s="358">
        <f t="shared" si="1"/>
        <v>0</v>
      </c>
      <c r="E92" s="358">
        <f t="shared" si="1"/>
        <v>0</v>
      </c>
    </row>
    <row r="93" spans="1:5" x14ac:dyDescent="0.25">
      <c r="A93" s="825"/>
      <c r="B93" s="357">
        <v>2018</v>
      </c>
      <c r="C93" s="357">
        <v>2019</v>
      </c>
      <c r="D93" s="357">
        <v>2020</v>
      </c>
      <c r="E93" s="357">
        <v>2021</v>
      </c>
    </row>
    <row r="94" spans="1:5" ht="15.75" thickBot="1" x14ac:dyDescent="0.3">
      <c r="A94" s="826"/>
      <c r="B94" s="356" t="s">
        <v>41</v>
      </c>
      <c r="C94" s="356" t="s">
        <v>42</v>
      </c>
      <c r="D94" s="356" t="s">
        <v>42</v>
      </c>
      <c r="E94" s="356" t="s">
        <v>42</v>
      </c>
    </row>
    <row r="95" spans="1:5" ht="15.75" thickBot="1" x14ac:dyDescent="0.3">
      <c r="A95" s="827" t="s">
        <v>374</v>
      </c>
      <c r="B95" s="828"/>
      <c r="C95" s="828"/>
      <c r="D95" s="828"/>
      <c r="E95" s="829"/>
    </row>
    <row r="96" spans="1:5" x14ac:dyDescent="0.25">
      <c r="A96" s="825"/>
      <c r="B96" s="357">
        <v>2018</v>
      </c>
      <c r="C96" s="357">
        <v>2019</v>
      </c>
      <c r="D96" s="357">
        <v>2020</v>
      </c>
      <c r="E96" s="357">
        <v>2021</v>
      </c>
    </row>
    <row r="97" spans="1:5" ht="15.75" thickBot="1" x14ac:dyDescent="0.3">
      <c r="A97" s="826"/>
      <c r="B97" s="356" t="s">
        <v>41</v>
      </c>
      <c r="C97" s="356" t="s">
        <v>42</v>
      </c>
      <c r="D97" s="356" t="s">
        <v>42</v>
      </c>
      <c r="E97" s="356" t="s">
        <v>42</v>
      </c>
    </row>
    <row r="98" spans="1:5" ht="15.75" thickBot="1" x14ac:dyDescent="0.3">
      <c r="A98" s="355" t="s">
        <v>84</v>
      </c>
      <c r="B98" s="363">
        <v>12800</v>
      </c>
      <c r="C98" s="363">
        <v>16716</v>
      </c>
      <c r="D98" s="363">
        <v>16716</v>
      </c>
      <c r="E98" s="363">
        <v>16716</v>
      </c>
    </row>
    <row r="99" spans="1:5" ht="24.75" thickBot="1" x14ac:dyDescent="0.3">
      <c r="A99" s="366" t="s">
        <v>379</v>
      </c>
      <c r="B99" s="353"/>
      <c r="C99" s="367"/>
      <c r="D99" s="367"/>
      <c r="E99" s="367"/>
    </row>
    <row r="100" spans="1:5" ht="24.75" thickBot="1" x14ac:dyDescent="0.3">
      <c r="A100" s="366" t="s">
        <v>402</v>
      </c>
      <c r="B100" s="353"/>
      <c r="C100" s="367"/>
      <c r="D100" s="367"/>
      <c r="E100" s="367"/>
    </row>
    <row r="101" spans="1:5" ht="24.75" thickBot="1" x14ac:dyDescent="0.3">
      <c r="A101" s="355" t="s">
        <v>85</v>
      </c>
      <c r="B101" s="363">
        <v>2500</v>
      </c>
      <c r="C101" s="363">
        <v>3250</v>
      </c>
      <c r="D101" s="363">
        <v>3250</v>
      </c>
      <c r="E101" s="363">
        <v>3250</v>
      </c>
    </row>
    <row r="102" spans="1:5" ht="36.75" thickBot="1" x14ac:dyDescent="0.3">
      <c r="A102" s="366" t="s">
        <v>381</v>
      </c>
      <c r="B102" s="353"/>
      <c r="C102" s="363"/>
      <c r="D102" s="363"/>
      <c r="E102" s="363"/>
    </row>
    <row r="103" spans="1:5" ht="36.75" thickBot="1" x14ac:dyDescent="0.3">
      <c r="A103" s="366" t="s">
        <v>403</v>
      </c>
      <c r="B103" s="353"/>
      <c r="C103" s="363"/>
      <c r="D103" s="363"/>
      <c r="E103" s="363"/>
    </row>
    <row r="104" spans="1:5" ht="15.75" thickBot="1" x14ac:dyDescent="0.3">
      <c r="A104" s="355" t="s">
        <v>86</v>
      </c>
      <c r="B104" s="353">
        <v>9500</v>
      </c>
      <c r="C104" s="353">
        <v>11000</v>
      </c>
      <c r="D104" s="353">
        <v>11000</v>
      </c>
      <c r="E104" s="353">
        <v>11000</v>
      </c>
    </row>
    <row r="105" spans="1:5" ht="36.75" thickBot="1" x14ac:dyDescent="0.3">
      <c r="A105" s="366" t="s">
        <v>383</v>
      </c>
      <c r="B105" s="353"/>
      <c r="C105" s="363"/>
      <c r="D105" s="363"/>
      <c r="E105" s="363"/>
    </row>
    <row r="106" spans="1:5" ht="36.75" thickBot="1" x14ac:dyDescent="0.3">
      <c r="A106" s="366" t="s">
        <v>404</v>
      </c>
      <c r="B106" s="353"/>
      <c r="C106" s="363"/>
      <c r="D106" s="363"/>
      <c r="E106" s="363"/>
    </row>
    <row r="107" spans="1:5" ht="15.75" thickBot="1" x14ac:dyDescent="0.3">
      <c r="A107" s="355" t="s">
        <v>87</v>
      </c>
      <c r="B107" s="353"/>
      <c r="C107" s="363"/>
      <c r="D107" s="363"/>
      <c r="E107" s="363"/>
    </row>
    <row r="108" spans="1:5" ht="36.75" thickBot="1" x14ac:dyDescent="0.3">
      <c r="A108" s="366" t="s">
        <v>385</v>
      </c>
      <c r="B108" s="353"/>
      <c r="C108" s="363"/>
      <c r="D108" s="363"/>
      <c r="E108" s="363"/>
    </row>
    <row r="109" spans="1:5" ht="36.75" thickBot="1" x14ac:dyDescent="0.3">
      <c r="A109" s="366" t="s">
        <v>405</v>
      </c>
      <c r="B109" s="353"/>
      <c r="C109" s="363"/>
      <c r="D109" s="363"/>
      <c r="E109" s="363"/>
    </row>
    <row r="110" spans="1:5" ht="15.75" thickBot="1" x14ac:dyDescent="0.3">
      <c r="A110" s="355" t="s">
        <v>88</v>
      </c>
      <c r="B110" s="353"/>
      <c r="C110" s="363"/>
      <c r="D110" s="363"/>
      <c r="E110" s="363"/>
    </row>
    <row r="111" spans="1:5" ht="36.75" thickBot="1" x14ac:dyDescent="0.3">
      <c r="A111" s="366" t="s">
        <v>387</v>
      </c>
      <c r="B111" s="353"/>
      <c r="C111" s="363"/>
      <c r="D111" s="363"/>
      <c r="E111" s="363"/>
    </row>
    <row r="112" spans="1:5" ht="36.75" thickBot="1" x14ac:dyDescent="0.3">
      <c r="A112" s="366" t="s">
        <v>406</v>
      </c>
      <c r="B112" s="353"/>
      <c r="C112" s="363"/>
      <c r="D112" s="363"/>
      <c r="E112" s="363"/>
    </row>
    <row r="113" spans="1:5" ht="15.75" thickBot="1" x14ac:dyDescent="0.3">
      <c r="A113" s="355" t="s">
        <v>89</v>
      </c>
      <c r="B113" s="353"/>
      <c r="C113" s="363"/>
      <c r="D113" s="363"/>
      <c r="E113" s="363"/>
    </row>
    <row r="114" spans="1:5" ht="36.75" thickBot="1" x14ac:dyDescent="0.3">
      <c r="A114" s="366" t="s">
        <v>389</v>
      </c>
      <c r="B114" s="353"/>
      <c r="C114" s="363"/>
      <c r="D114" s="363"/>
      <c r="E114" s="363"/>
    </row>
    <row r="115" spans="1:5" ht="36.75" thickBot="1" x14ac:dyDescent="0.3">
      <c r="A115" s="366" t="s">
        <v>407</v>
      </c>
      <c r="B115" s="353"/>
      <c r="C115" s="363"/>
      <c r="D115" s="363"/>
      <c r="E115" s="363"/>
    </row>
    <row r="116" spans="1:5" ht="24.75" thickBot="1" x14ac:dyDescent="0.3">
      <c r="A116" s="355" t="s">
        <v>90</v>
      </c>
      <c r="B116" s="353"/>
      <c r="C116" s="363"/>
      <c r="D116" s="363"/>
      <c r="E116" s="363"/>
    </row>
    <row r="117" spans="1:5" ht="36.75" thickBot="1" x14ac:dyDescent="0.3">
      <c r="A117" s="366" t="s">
        <v>391</v>
      </c>
      <c r="B117" s="353"/>
      <c r="C117" s="363"/>
      <c r="D117" s="363"/>
      <c r="E117" s="363"/>
    </row>
    <row r="118" spans="1:5" ht="36.75" thickBot="1" x14ac:dyDescent="0.3">
      <c r="A118" s="366" t="s">
        <v>408</v>
      </c>
      <c r="B118" s="353"/>
      <c r="C118" s="363"/>
      <c r="D118" s="363"/>
      <c r="E118" s="363"/>
    </row>
    <row r="119" spans="1:5" ht="24.75" thickBot="1" x14ac:dyDescent="0.3">
      <c r="A119" s="365" t="s">
        <v>120</v>
      </c>
      <c r="B119" s="364">
        <f>B116+B113+B110+B107+B104+B101+B98</f>
        <v>24800</v>
      </c>
      <c r="C119" s="364">
        <f>C116+C113+C110+C107+C104+C101+C98</f>
        <v>30966</v>
      </c>
      <c r="D119" s="364">
        <f>D116+D113+D110+D107+D104+D101+D98</f>
        <v>30966</v>
      </c>
      <c r="E119" s="364">
        <f>E116+E113+E110+E107+E104+E101+E98</f>
        <v>30966</v>
      </c>
    </row>
    <row r="120" spans="1:5" x14ac:dyDescent="0.25">
      <c r="A120" s="841" t="s">
        <v>227</v>
      </c>
      <c r="B120" s="863" t="s">
        <v>80</v>
      </c>
      <c r="C120" s="863"/>
      <c r="D120" s="863"/>
      <c r="E120" s="864"/>
    </row>
    <row r="121" spans="1:5" x14ac:dyDescent="0.25">
      <c r="A121" s="842"/>
      <c r="B121" s="866"/>
      <c r="C121" s="866"/>
      <c r="D121" s="866"/>
      <c r="E121" s="867"/>
    </row>
    <row r="122" spans="1:5" ht="15.75" thickBot="1" x14ac:dyDescent="0.3">
      <c r="A122" s="843"/>
      <c r="B122" s="869"/>
      <c r="C122" s="869"/>
      <c r="D122" s="869"/>
      <c r="E122" s="870"/>
    </row>
    <row r="123" spans="1:5" ht="15.75" thickBot="1" x14ac:dyDescent="0.3">
      <c r="A123" s="339" t="s">
        <v>92</v>
      </c>
      <c r="B123" s="364">
        <f>IF(B119-B88=0,0,"Error")</f>
        <v>0</v>
      </c>
      <c r="C123" s="364">
        <f>IF(C119-C88=0,0,"Error")</f>
        <v>0</v>
      </c>
      <c r="D123" s="364">
        <f>IF(D119-D88=0,0,"Error")</f>
        <v>0</v>
      </c>
      <c r="E123" s="364">
        <f>IF(E119-E88=0,0,"Error")</f>
        <v>0</v>
      </c>
    </row>
    <row r="124" spans="1:5" ht="15.75" thickBot="1" x14ac:dyDescent="0.3">
      <c r="A124" s="881" t="s">
        <v>104</v>
      </c>
      <c r="B124" s="882"/>
      <c r="C124" s="882"/>
      <c r="D124" s="882"/>
      <c r="E124" s="883"/>
    </row>
    <row r="125" spans="1:5" ht="15.75" thickBot="1" x14ac:dyDescent="0.3">
      <c r="A125" s="881" t="s">
        <v>170</v>
      </c>
      <c r="B125" s="882"/>
      <c r="C125" s="882"/>
      <c r="D125" s="882"/>
      <c r="E125" s="883"/>
    </row>
    <row r="126" spans="1:5" ht="15.75" thickBot="1" x14ac:dyDescent="0.3">
      <c r="A126" s="342" t="s">
        <v>257</v>
      </c>
      <c r="B126" s="853" t="s">
        <v>409</v>
      </c>
      <c r="C126" s="854"/>
      <c r="D126" s="854"/>
      <c r="E126" s="855"/>
    </row>
    <row r="127" spans="1:5" ht="15.75" thickBot="1" x14ac:dyDescent="0.3">
      <c r="A127" s="360" t="s">
        <v>93</v>
      </c>
      <c r="B127" s="853" t="s">
        <v>410</v>
      </c>
      <c r="C127" s="854"/>
      <c r="D127" s="854"/>
      <c r="E127" s="855"/>
    </row>
    <row r="128" spans="1:5" ht="15.75" thickBot="1" x14ac:dyDescent="0.3">
      <c r="A128" s="342" t="s">
        <v>72</v>
      </c>
      <c r="B128" s="859" t="s">
        <v>411</v>
      </c>
      <c r="C128" s="860"/>
      <c r="D128" s="860"/>
      <c r="E128" s="861"/>
    </row>
    <row r="129" spans="1:5" ht="15.75" thickBot="1" x14ac:dyDescent="0.3">
      <c r="A129" s="342" t="s">
        <v>74</v>
      </c>
      <c r="B129" s="822" t="s">
        <v>398</v>
      </c>
      <c r="C129" s="823"/>
      <c r="D129" s="823"/>
      <c r="E129" s="824"/>
    </row>
    <row r="130" spans="1:5" x14ac:dyDescent="0.25">
      <c r="A130" s="825"/>
      <c r="B130" s="357">
        <v>2018</v>
      </c>
      <c r="C130" s="357">
        <v>2019</v>
      </c>
      <c r="D130" s="357">
        <v>2020</v>
      </c>
      <c r="E130" s="357">
        <v>2021</v>
      </c>
    </row>
    <row r="131" spans="1:5" ht="15.75" thickBot="1" x14ac:dyDescent="0.3">
      <c r="A131" s="826"/>
      <c r="B131" s="356" t="s">
        <v>41</v>
      </c>
      <c r="C131" s="356" t="s">
        <v>42</v>
      </c>
      <c r="D131" s="356" t="s">
        <v>42</v>
      </c>
      <c r="E131" s="356" t="s">
        <v>42</v>
      </c>
    </row>
    <row r="132" spans="1:5" ht="15.75" thickBot="1" x14ac:dyDescent="0.3">
      <c r="A132" s="342" t="s">
        <v>412</v>
      </c>
      <c r="B132" s="296">
        <v>20</v>
      </c>
      <c r="C132" s="296">
        <v>20</v>
      </c>
      <c r="D132" s="296">
        <v>20</v>
      </c>
      <c r="E132" s="296">
        <v>20</v>
      </c>
    </row>
    <row r="133" spans="1:5" ht="15.75" thickBot="1" x14ac:dyDescent="0.3">
      <c r="A133" s="342" t="s">
        <v>77</v>
      </c>
      <c r="B133" s="296">
        <v>28000</v>
      </c>
      <c r="C133" s="296">
        <v>28000</v>
      </c>
      <c r="D133" s="296">
        <v>28000</v>
      </c>
      <c r="E133" s="296">
        <v>28000</v>
      </c>
    </row>
    <row r="134" spans="1:5" ht="15.75" thickBot="1" x14ac:dyDescent="0.3">
      <c r="A134" s="342" t="s">
        <v>78</v>
      </c>
      <c r="B134" s="296">
        <f>B133/B132</f>
        <v>1400</v>
      </c>
      <c r="C134" s="296">
        <f>C133/C132</f>
        <v>1400</v>
      </c>
      <c r="D134" s="296">
        <f>D133/D132</f>
        <v>1400</v>
      </c>
      <c r="E134" s="296">
        <f>E133/E132</f>
        <v>1400</v>
      </c>
    </row>
    <row r="135" spans="1:5" ht="15.75" thickBot="1" x14ac:dyDescent="0.3">
      <c r="A135" s="342" t="s">
        <v>79</v>
      </c>
      <c r="B135" s="359" t="s">
        <v>80</v>
      </c>
      <c r="C135" s="358">
        <f t="shared" ref="C135:E137" si="2">C132/B132-1</f>
        <v>0</v>
      </c>
      <c r="D135" s="358">
        <f t="shared" si="2"/>
        <v>0</v>
      </c>
      <c r="E135" s="358">
        <f t="shared" si="2"/>
        <v>0</v>
      </c>
    </row>
    <row r="136" spans="1:5" ht="15.75" thickBot="1" x14ac:dyDescent="0.3">
      <c r="A136" s="342" t="s">
        <v>81</v>
      </c>
      <c r="B136" s="359" t="s">
        <v>80</v>
      </c>
      <c r="C136" s="358">
        <f t="shared" si="2"/>
        <v>0</v>
      </c>
      <c r="D136" s="358">
        <f t="shared" si="2"/>
        <v>0</v>
      </c>
      <c r="E136" s="358">
        <f t="shared" si="2"/>
        <v>0</v>
      </c>
    </row>
    <row r="137" spans="1:5" ht="15.75" thickBot="1" x14ac:dyDescent="0.3">
      <c r="A137" s="342" t="s">
        <v>82</v>
      </c>
      <c r="B137" s="359" t="s">
        <v>80</v>
      </c>
      <c r="C137" s="358">
        <f t="shared" si="2"/>
        <v>0</v>
      </c>
      <c r="D137" s="358">
        <f t="shared" si="2"/>
        <v>0</v>
      </c>
      <c r="E137" s="358">
        <f t="shared" si="2"/>
        <v>0</v>
      </c>
    </row>
    <row r="138" spans="1:5" ht="15.75" thickBot="1" x14ac:dyDescent="0.3">
      <c r="A138" s="827" t="s">
        <v>97</v>
      </c>
      <c r="B138" s="828"/>
      <c r="C138" s="828"/>
      <c r="D138" s="828"/>
      <c r="E138" s="829"/>
    </row>
    <row r="139" spans="1:5" x14ac:dyDescent="0.25">
      <c r="A139" s="825"/>
      <c r="B139" s="357">
        <v>2018</v>
      </c>
      <c r="C139" s="357">
        <v>2019</v>
      </c>
      <c r="D139" s="357">
        <v>2020</v>
      </c>
      <c r="E139" s="357">
        <v>2021</v>
      </c>
    </row>
    <row r="140" spans="1:5" ht="15.75" thickBot="1" x14ac:dyDescent="0.3">
      <c r="A140" s="826"/>
      <c r="B140" s="356" t="s">
        <v>41</v>
      </c>
      <c r="C140" s="356" t="s">
        <v>42</v>
      </c>
      <c r="D140" s="356" t="s">
        <v>42</v>
      </c>
      <c r="E140" s="356" t="s">
        <v>42</v>
      </c>
    </row>
    <row r="141" spans="1:5" ht="15.75" thickBot="1" x14ac:dyDescent="0.3">
      <c r="A141" s="355" t="s">
        <v>112</v>
      </c>
      <c r="B141" s="353">
        <v>28000</v>
      </c>
      <c r="C141" s="353">
        <v>28000</v>
      </c>
      <c r="D141" s="353">
        <v>28000</v>
      </c>
      <c r="E141" s="353">
        <v>28000</v>
      </c>
    </row>
    <row r="142" spans="1:5" ht="15.75" thickBot="1" x14ac:dyDescent="0.3">
      <c r="A142" s="354" t="s">
        <v>98</v>
      </c>
      <c r="B142" s="353">
        <f>B141</f>
        <v>28000</v>
      </c>
      <c r="C142" s="353">
        <f>C141</f>
        <v>28000</v>
      </c>
      <c r="D142" s="353">
        <f>D141</f>
        <v>28000</v>
      </c>
      <c r="E142" s="353">
        <f>E141</f>
        <v>28000</v>
      </c>
    </row>
    <row r="143" spans="1:5" x14ac:dyDescent="0.25">
      <c r="A143" s="841" t="s">
        <v>113</v>
      </c>
      <c r="B143" s="862"/>
      <c r="C143" s="863"/>
      <c r="D143" s="863"/>
      <c r="E143" s="864"/>
    </row>
    <row r="144" spans="1:5" x14ac:dyDescent="0.25">
      <c r="A144" s="842"/>
      <c r="B144" s="865"/>
      <c r="C144" s="866"/>
      <c r="D144" s="866"/>
      <c r="E144" s="867"/>
    </row>
    <row r="145" spans="1:5" ht="15.75" thickBot="1" x14ac:dyDescent="0.3">
      <c r="A145" s="843"/>
      <c r="B145" s="868"/>
      <c r="C145" s="869"/>
      <c r="D145" s="869"/>
      <c r="E145" s="870"/>
    </row>
    <row r="146" spans="1:5" ht="15.75" thickBot="1" x14ac:dyDescent="0.3">
      <c r="A146" s="342" t="s">
        <v>257</v>
      </c>
      <c r="B146" s="853" t="s">
        <v>413</v>
      </c>
      <c r="C146" s="854"/>
      <c r="D146" s="854"/>
      <c r="E146" s="855"/>
    </row>
    <row r="147" spans="1:5" ht="23.25" thickBot="1" x14ac:dyDescent="0.3">
      <c r="A147" s="360" t="s">
        <v>414</v>
      </c>
      <c r="B147" s="822" t="s">
        <v>415</v>
      </c>
      <c r="C147" s="823"/>
      <c r="D147" s="823"/>
      <c r="E147" s="824"/>
    </row>
    <row r="148" spans="1:5" ht="15.75" thickBot="1" x14ac:dyDescent="0.3">
      <c r="A148" s="342" t="s">
        <v>72</v>
      </c>
      <c r="B148" s="859" t="s">
        <v>416</v>
      </c>
      <c r="C148" s="860"/>
      <c r="D148" s="860"/>
      <c r="E148" s="861"/>
    </row>
    <row r="149" spans="1:5" ht="15.75" thickBot="1" x14ac:dyDescent="0.3">
      <c r="A149" s="342" t="s">
        <v>74</v>
      </c>
      <c r="B149" s="822" t="s">
        <v>417</v>
      </c>
      <c r="C149" s="823"/>
      <c r="D149" s="823"/>
      <c r="E149" s="824"/>
    </row>
    <row r="150" spans="1:5" x14ac:dyDescent="0.25">
      <c r="A150" s="825"/>
      <c r="B150" s="357">
        <v>2018</v>
      </c>
      <c r="C150" s="357">
        <v>2019</v>
      </c>
      <c r="D150" s="357">
        <v>2020</v>
      </c>
      <c r="E150" s="357">
        <v>2021</v>
      </c>
    </row>
    <row r="151" spans="1:5" ht="15.75" thickBot="1" x14ac:dyDescent="0.3">
      <c r="A151" s="826"/>
      <c r="B151" s="356" t="s">
        <v>41</v>
      </c>
      <c r="C151" s="356" t="s">
        <v>42</v>
      </c>
      <c r="D151" s="356" t="s">
        <v>42</v>
      </c>
      <c r="E151" s="356" t="s">
        <v>42</v>
      </c>
    </row>
    <row r="152" spans="1:5" ht="15.75" thickBot="1" x14ac:dyDescent="0.3">
      <c r="A152" s="342" t="s">
        <v>412</v>
      </c>
      <c r="B152" s="296">
        <v>25</v>
      </c>
      <c r="C152" s="296">
        <v>25</v>
      </c>
      <c r="D152" s="296">
        <v>25</v>
      </c>
      <c r="E152" s="296">
        <v>25</v>
      </c>
    </row>
    <row r="153" spans="1:5" ht="15.75" thickBot="1" x14ac:dyDescent="0.3">
      <c r="A153" s="342" t="s">
        <v>77</v>
      </c>
      <c r="B153" s="296">
        <v>15000</v>
      </c>
      <c r="C153" s="296">
        <v>15000</v>
      </c>
      <c r="D153" s="296">
        <v>15000</v>
      </c>
      <c r="E153" s="296">
        <v>15000</v>
      </c>
    </row>
    <row r="154" spans="1:5" ht="15.75" thickBot="1" x14ac:dyDescent="0.3">
      <c r="A154" s="342" t="s">
        <v>78</v>
      </c>
      <c r="B154" s="296">
        <f>B153/B152</f>
        <v>600</v>
      </c>
      <c r="C154" s="296">
        <f>C153/C152</f>
        <v>600</v>
      </c>
      <c r="D154" s="296">
        <f>D153/D152</f>
        <v>600</v>
      </c>
      <c r="E154" s="296">
        <f>E153/E152</f>
        <v>600</v>
      </c>
    </row>
    <row r="155" spans="1:5" ht="15.75" thickBot="1" x14ac:dyDescent="0.3">
      <c r="A155" s="342" t="s">
        <v>79</v>
      </c>
      <c r="B155" s="359" t="s">
        <v>80</v>
      </c>
      <c r="C155" s="358">
        <f t="shared" ref="C155:E157" si="3">C152/B152-1</f>
        <v>0</v>
      </c>
      <c r="D155" s="358">
        <f t="shared" si="3"/>
        <v>0</v>
      </c>
      <c r="E155" s="358">
        <f t="shared" si="3"/>
        <v>0</v>
      </c>
    </row>
    <row r="156" spans="1:5" ht="15.75" thickBot="1" x14ac:dyDescent="0.3">
      <c r="A156" s="342" t="s">
        <v>81</v>
      </c>
      <c r="B156" s="359" t="s">
        <v>80</v>
      </c>
      <c r="C156" s="358">
        <f t="shared" si="3"/>
        <v>0</v>
      </c>
      <c r="D156" s="358">
        <f t="shared" si="3"/>
        <v>0</v>
      </c>
      <c r="E156" s="358">
        <f t="shared" si="3"/>
        <v>0</v>
      </c>
    </row>
    <row r="157" spans="1:5" ht="15.75" thickBot="1" x14ac:dyDescent="0.3">
      <c r="A157" s="342" t="s">
        <v>82</v>
      </c>
      <c r="B157" s="359" t="s">
        <v>80</v>
      </c>
      <c r="C157" s="358">
        <f t="shared" si="3"/>
        <v>0</v>
      </c>
      <c r="D157" s="358">
        <f t="shared" si="3"/>
        <v>0</v>
      </c>
      <c r="E157" s="358">
        <f t="shared" si="3"/>
        <v>0</v>
      </c>
    </row>
    <row r="158" spans="1:5" ht="15.75" thickBot="1" x14ac:dyDescent="0.3">
      <c r="A158" s="827" t="s">
        <v>418</v>
      </c>
      <c r="B158" s="828"/>
      <c r="C158" s="828"/>
      <c r="D158" s="828"/>
      <c r="E158" s="829"/>
    </row>
    <row r="159" spans="1:5" x14ac:dyDescent="0.25">
      <c r="A159" s="825"/>
      <c r="B159" s="357">
        <v>2018</v>
      </c>
      <c r="C159" s="357">
        <v>2019</v>
      </c>
      <c r="D159" s="357">
        <v>2020</v>
      </c>
      <c r="E159" s="357">
        <v>2021</v>
      </c>
    </row>
    <row r="160" spans="1:5" ht="15.75" thickBot="1" x14ac:dyDescent="0.3">
      <c r="A160" s="826"/>
      <c r="B160" s="356" t="s">
        <v>41</v>
      </c>
      <c r="C160" s="356" t="s">
        <v>42</v>
      </c>
      <c r="D160" s="356" t="s">
        <v>42</v>
      </c>
      <c r="E160" s="356" t="s">
        <v>42</v>
      </c>
    </row>
    <row r="161" spans="1:5" ht="15.75" thickBot="1" x14ac:dyDescent="0.3">
      <c r="A161" s="355" t="s">
        <v>169</v>
      </c>
      <c r="B161" s="363">
        <v>15000</v>
      </c>
      <c r="C161" s="363">
        <v>15000</v>
      </c>
      <c r="D161" s="363">
        <v>15000</v>
      </c>
      <c r="E161" s="363">
        <v>15000</v>
      </c>
    </row>
    <row r="162" spans="1:5" ht="15.75" thickBot="1" x14ac:dyDescent="0.3">
      <c r="A162" s="355" t="s">
        <v>112</v>
      </c>
      <c r="B162" s="353"/>
      <c r="C162" s="363"/>
      <c r="D162" s="363"/>
      <c r="E162" s="363"/>
    </row>
    <row r="163" spans="1:5" ht="15.75" thickBot="1" x14ac:dyDescent="0.3">
      <c r="A163" s="354" t="s">
        <v>103</v>
      </c>
      <c r="B163" s="353">
        <f>B162+B161</f>
        <v>15000</v>
      </c>
      <c r="C163" s="353">
        <f>C162+C161</f>
        <v>15000</v>
      </c>
      <c r="D163" s="353">
        <f>D162+D161</f>
        <v>15000</v>
      </c>
      <c r="E163" s="353">
        <f>E162+E161</f>
        <v>15000</v>
      </c>
    </row>
    <row r="164" spans="1:5" x14ac:dyDescent="0.25">
      <c r="A164" s="842" t="s">
        <v>419</v>
      </c>
      <c r="B164" s="865"/>
      <c r="C164" s="866"/>
      <c r="D164" s="866"/>
      <c r="E164" s="867"/>
    </row>
    <row r="165" spans="1:5" x14ac:dyDescent="0.25">
      <c r="A165" s="842"/>
      <c r="B165" s="865"/>
      <c r="C165" s="866"/>
      <c r="D165" s="866"/>
      <c r="E165" s="867"/>
    </row>
    <row r="166" spans="1:5" x14ac:dyDescent="0.25">
      <c r="A166" s="842"/>
      <c r="B166" s="865"/>
      <c r="C166" s="866"/>
      <c r="D166" s="866"/>
      <c r="E166" s="867"/>
    </row>
    <row r="167" spans="1:5" ht="15.75" thickBot="1" x14ac:dyDescent="0.3">
      <c r="A167" s="843"/>
      <c r="B167" s="868"/>
      <c r="C167" s="869"/>
      <c r="D167" s="869"/>
      <c r="E167" s="870"/>
    </row>
    <row r="168" spans="1:5" ht="15.75" thickBot="1" x14ac:dyDescent="0.3">
      <c r="A168" s="344"/>
      <c r="B168" s="362"/>
      <c r="C168" s="362"/>
      <c r="D168" s="362"/>
      <c r="E168" s="361"/>
    </row>
    <row r="169" spans="1:5" ht="15.75" thickBot="1" x14ac:dyDescent="0.3">
      <c r="A169" s="342" t="s">
        <v>257</v>
      </c>
      <c r="B169" s="853" t="s">
        <v>420</v>
      </c>
      <c r="C169" s="854"/>
      <c r="D169" s="854"/>
      <c r="E169" s="855"/>
    </row>
    <row r="170" spans="1:5" ht="15.75" thickBot="1" x14ac:dyDescent="0.3">
      <c r="A170" s="360" t="s">
        <v>115</v>
      </c>
      <c r="B170" s="853" t="s">
        <v>421</v>
      </c>
      <c r="C170" s="854"/>
      <c r="D170" s="854"/>
      <c r="E170" s="855"/>
    </row>
    <row r="171" spans="1:5" ht="15.75" thickBot="1" x14ac:dyDescent="0.3">
      <c r="A171" s="342" t="s">
        <v>72</v>
      </c>
      <c r="B171" s="859" t="s">
        <v>422</v>
      </c>
      <c r="C171" s="860"/>
      <c r="D171" s="860"/>
      <c r="E171" s="861"/>
    </row>
    <row r="172" spans="1:5" ht="15.75" thickBot="1" x14ac:dyDescent="0.3">
      <c r="A172" s="342" t="s">
        <v>74</v>
      </c>
      <c r="B172" s="822" t="s">
        <v>398</v>
      </c>
      <c r="C172" s="823"/>
      <c r="D172" s="823"/>
      <c r="E172" s="824"/>
    </row>
    <row r="173" spans="1:5" x14ac:dyDescent="0.25">
      <c r="A173" s="825"/>
      <c r="B173" s="357">
        <v>2018</v>
      </c>
      <c r="C173" s="357">
        <v>2019</v>
      </c>
      <c r="D173" s="357">
        <v>2020</v>
      </c>
      <c r="E173" s="357">
        <v>2021</v>
      </c>
    </row>
    <row r="174" spans="1:5" ht="15.75" thickBot="1" x14ac:dyDescent="0.3">
      <c r="A174" s="826"/>
      <c r="B174" s="356" t="s">
        <v>41</v>
      </c>
      <c r="C174" s="356" t="s">
        <v>42</v>
      </c>
      <c r="D174" s="356" t="s">
        <v>42</v>
      </c>
      <c r="E174" s="356" t="s">
        <v>42</v>
      </c>
    </row>
    <row r="175" spans="1:5" ht="15.75" thickBot="1" x14ac:dyDescent="0.3">
      <c r="A175" s="342" t="s">
        <v>412</v>
      </c>
      <c r="B175" s="296">
        <v>20</v>
      </c>
      <c r="C175" s="296">
        <v>20</v>
      </c>
      <c r="D175" s="296">
        <v>20</v>
      </c>
      <c r="E175" s="296">
        <v>20</v>
      </c>
    </row>
    <row r="176" spans="1:5" ht="15.75" thickBot="1" x14ac:dyDescent="0.3">
      <c r="A176" s="342" t="s">
        <v>77</v>
      </c>
      <c r="B176" s="296">
        <v>10000</v>
      </c>
      <c r="C176" s="296">
        <v>10000</v>
      </c>
      <c r="D176" s="296">
        <v>10000</v>
      </c>
      <c r="E176" s="296">
        <v>10000</v>
      </c>
    </row>
    <row r="177" spans="1:5" ht="15.75" thickBot="1" x14ac:dyDescent="0.3">
      <c r="A177" s="342" t="s">
        <v>78</v>
      </c>
      <c r="B177" s="296">
        <f>B176/B175</f>
        <v>500</v>
      </c>
      <c r="C177" s="296">
        <f>C176/C175</f>
        <v>500</v>
      </c>
      <c r="D177" s="296">
        <f>D176/D175</f>
        <v>500</v>
      </c>
      <c r="E177" s="296">
        <f>E176/E175</f>
        <v>500</v>
      </c>
    </row>
    <row r="178" spans="1:5" ht="15.75" thickBot="1" x14ac:dyDescent="0.3">
      <c r="A178" s="342" t="s">
        <v>79</v>
      </c>
      <c r="B178" s="359" t="s">
        <v>80</v>
      </c>
      <c r="C178" s="358">
        <f t="shared" ref="C178:E180" si="4">C175/B175-1</f>
        <v>0</v>
      </c>
      <c r="D178" s="358">
        <f t="shared" si="4"/>
        <v>0</v>
      </c>
      <c r="E178" s="358">
        <f t="shared" si="4"/>
        <v>0</v>
      </c>
    </row>
    <row r="179" spans="1:5" ht="15.75" thickBot="1" x14ac:dyDescent="0.3">
      <c r="A179" s="342" t="s">
        <v>81</v>
      </c>
      <c r="B179" s="359" t="s">
        <v>80</v>
      </c>
      <c r="C179" s="358">
        <f t="shared" si="4"/>
        <v>0</v>
      </c>
      <c r="D179" s="358">
        <f t="shared" si="4"/>
        <v>0</v>
      </c>
      <c r="E179" s="358">
        <f t="shared" si="4"/>
        <v>0</v>
      </c>
    </row>
    <row r="180" spans="1:5" ht="15.75" thickBot="1" x14ac:dyDescent="0.3">
      <c r="A180" s="342" t="s">
        <v>82</v>
      </c>
      <c r="B180" s="359" t="s">
        <v>80</v>
      </c>
      <c r="C180" s="358">
        <f t="shared" si="4"/>
        <v>0</v>
      </c>
      <c r="D180" s="358">
        <f t="shared" si="4"/>
        <v>0</v>
      </c>
      <c r="E180" s="358">
        <f t="shared" si="4"/>
        <v>0</v>
      </c>
    </row>
    <row r="181" spans="1:5" ht="15.75" thickBot="1" x14ac:dyDescent="0.3">
      <c r="A181" s="827" t="s">
        <v>423</v>
      </c>
      <c r="B181" s="828"/>
      <c r="C181" s="828"/>
      <c r="D181" s="828"/>
      <c r="E181" s="829"/>
    </row>
    <row r="182" spans="1:5" x14ac:dyDescent="0.25">
      <c r="A182" s="825"/>
      <c r="B182" s="357">
        <v>2018</v>
      </c>
      <c r="C182" s="357">
        <v>2019</v>
      </c>
      <c r="D182" s="357">
        <v>2020</v>
      </c>
      <c r="E182" s="357">
        <v>2021</v>
      </c>
    </row>
    <row r="183" spans="1:5" ht="15.75" thickBot="1" x14ac:dyDescent="0.3">
      <c r="A183" s="826"/>
      <c r="B183" s="356" t="s">
        <v>41</v>
      </c>
      <c r="C183" s="356" t="s">
        <v>42</v>
      </c>
      <c r="D183" s="356" t="s">
        <v>42</v>
      </c>
      <c r="E183" s="356" t="s">
        <v>42</v>
      </c>
    </row>
    <row r="184" spans="1:5" ht="15.75" thickBot="1" x14ac:dyDescent="0.3">
      <c r="A184" s="355" t="s">
        <v>112</v>
      </c>
      <c r="B184" s="353">
        <v>10000</v>
      </c>
      <c r="C184" s="353">
        <v>10000</v>
      </c>
      <c r="D184" s="353">
        <v>10000</v>
      </c>
      <c r="E184" s="353">
        <v>10000</v>
      </c>
    </row>
    <row r="185" spans="1:5" ht="15.75" thickBot="1" x14ac:dyDescent="0.3">
      <c r="A185" s="354" t="s">
        <v>262</v>
      </c>
      <c r="B185" s="353">
        <f>B184</f>
        <v>10000</v>
      </c>
      <c r="C185" s="353">
        <f>C184</f>
        <v>10000</v>
      </c>
      <c r="D185" s="353">
        <f>D184</f>
        <v>10000</v>
      </c>
      <c r="E185" s="353">
        <f>E184</f>
        <v>10000</v>
      </c>
    </row>
    <row r="186" spans="1:5" x14ac:dyDescent="0.25">
      <c r="A186" s="841" t="s">
        <v>113</v>
      </c>
      <c r="B186" s="862"/>
      <c r="C186" s="863"/>
      <c r="D186" s="863"/>
      <c r="E186" s="864"/>
    </row>
    <row r="187" spans="1:5" x14ac:dyDescent="0.25">
      <c r="A187" s="842"/>
      <c r="B187" s="865"/>
      <c r="C187" s="866"/>
      <c r="D187" s="866"/>
      <c r="E187" s="867"/>
    </row>
    <row r="188" spans="1:5" ht="15.75" thickBot="1" x14ac:dyDescent="0.3">
      <c r="A188" s="843"/>
      <c r="B188" s="868"/>
      <c r="C188" s="869"/>
      <c r="D188" s="869"/>
      <c r="E188" s="870"/>
    </row>
    <row r="189" spans="1:5" ht="15.75" thickBot="1" x14ac:dyDescent="0.3">
      <c r="A189" s="342" t="s">
        <v>257</v>
      </c>
      <c r="B189" s="853" t="s">
        <v>424</v>
      </c>
      <c r="C189" s="854"/>
      <c r="D189" s="854"/>
      <c r="E189" s="855"/>
    </row>
    <row r="190" spans="1:5" ht="15.75" thickBot="1" x14ac:dyDescent="0.3">
      <c r="A190" s="360" t="s">
        <v>264</v>
      </c>
      <c r="B190" s="853" t="s">
        <v>425</v>
      </c>
      <c r="C190" s="854"/>
      <c r="D190" s="854"/>
      <c r="E190" s="855"/>
    </row>
    <row r="191" spans="1:5" ht="27.75" customHeight="1" thickBot="1" x14ac:dyDescent="0.3">
      <c r="A191" s="342" t="s">
        <v>72</v>
      </c>
      <c r="B191" s="856" t="s">
        <v>426</v>
      </c>
      <c r="C191" s="857"/>
      <c r="D191" s="857"/>
      <c r="E191" s="858"/>
    </row>
    <row r="192" spans="1:5" ht="15.75" thickBot="1" x14ac:dyDescent="0.3">
      <c r="A192" s="342" t="s">
        <v>74</v>
      </c>
      <c r="B192" s="822" t="s">
        <v>398</v>
      </c>
      <c r="C192" s="823"/>
      <c r="D192" s="823"/>
      <c r="E192" s="824"/>
    </row>
    <row r="193" spans="1:5" x14ac:dyDescent="0.25">
      <c r="A193" s="825"/>
      <c r="B193" s="357">
        <v>2018</v>
      </c>
      <c r="C193" s="357">
        <v>2019</v>
      </c>
      <c r="D193" s="357">
        <v>2020</v>
      </c>
      <c r="E193" s="357">
        <v>2021</v>
      </c>
    </row>
    <row r="194" spans="1:5" ht="15.75" thickBot="1" x14ac:dyDescent="0.3">
      <c r="A194" s="826"/>
      <c r="B194" s="356" t="s">
        <v>41</v>
      </c>
      <c r="C194" s="356" t="s">
        <v>42</v>
      </c>
      <c r="D194" s="356" t="s">
        <v>42</v>
      </c>
      <c r="E194" s="356" t="s">
        <v>42</v>
      </c>
    </row>
    <row r="195" spans="1:5" ht="15.75" thickBot="1" x14ac:dyDescent="0.3">
      <c r="A195" s="342" t="s">
        <v>412</v>
      </c>
      <c r="B195" s="296">
        <v>20</v>
      </c>
      <c r="C195" s="296">
        <v>20</v>
      </c>
      <c r="D195" s="296">
        <v>20</v>
      </c>
      <c r="E195" s="296">
        <v>20</v>
      </c>
    </row>
    <row r="196" spans="1:5" ht="15.75" thickBot="1" x14ac:dyDescent="0.3">
      <c r="A196" s="342" t="s">
        <v>77</v>
      </c>
      <c r="B196" s="296">
        <v>10000</v>
      </c>
      <c r="C196" s="296">
        <v>10000</v>
      </c>
      <c r="D196" s="296">
        <v>10000</v>
      </c>
      <c r="E196" s="296">
        <v>10000</v>
      </c>
    </row>
    <row r="197" spans="1:5" ht="15.75" thickBot="1" x14ac:dyDescent="0.3">
      <c r="A197" s="342" t="s">
        <v>78</v>
      </c>
      <c r="B197" s="296">
        <f>B196/B195</f>
        <v>500</v>
      </c>
      <c r="C197" s="296">
        <f>C196/C195</f>
        <v>500</v>
      </c>
      <c r="D197" s="296">
        <f>D196/D195</f>
        <v>500</v>
      </c>
      <c r="E197" s="296">
        <f>E196/E195</f>
        <v>500</v>
      </c>
    </row>
    <row r="198" spans="1:5" ht="15.75" thickBot="1" x14ac:dyDescent="0.3">
      <c r="A198" s="342" t="s">
        <v>79</v>
      </c>
      <c r="B198" s="359" t="s">
        <v>80</v>
      </c>
      <c r="C198" s="358">
        <f t="shared" ref="C198:E200" si="5">C195/B195-1</f>
        <v>0</v>
      </c>
      <c r="D198" s="358">
        <f t="shared" si="5"/>
        <v>0</v>
      </c>
      <c r="E198" s="358">
        <f t="shared" si="5"/>
        <v>0</v>
      </c>
    </row>
    <row r="199" spans="1:5" ht="15.75" thickBot="1" x14ac:dyDescent="0.3">
      <c r="A199" s="342" t="s">
        <v>81</v>
      </c>
      <c r="B199" s="359" t="s">
        <v>80</v>
      </c>
      <c r="C199" s="358">
        <f t="shared" si="5"/>
        <v>0</v>
      </c>
      <c r="D199" s="358">
        <f t="shared" si="5"/>
        <v>0</v>
      </c>
      <c r="E199" s="358">
        <f t="shared" si="5"/>
        <v>0</v>
      </c>
    </row>
    <row r="200" spans="1:5" ht="15.75" thickBot="1" x14ac:dyDescent="0.3">
      <c r="A200" s="342" t="s">
        <v>82</v>
      </c>
      <c r="B200" s="359" t="s">
        <v>80</v>
      </c>
      <c r="C200" s="358">
        <f t="shared" si="5"/>
        <v>0</v>
      </c>
      <c r="D200" s="358">
        <f t="shared" si="5"/>
        <v>0</v>
      </c>
      <c r="E200" s="358">
        <f t="shared" si="5"/>
        <v>0</v>
      </c>
    </row>
    <row r="201" spans="1:5" ht="15.75" thickBot="1" x14ac:dyDescent="0.3">
      <c r="A201" s="827" t="s">
        <v>427</v>
      </c>
      <c r="B201" s="828"/>
      <c r="C201" s="828"/>
      <c r="D201" s="828"/>
      <c r="E201" s="829"/>
    </row>
    <row r="202" spans="1:5" x14ac:dyDescent="0.25">
      <c r="A202" s="825"/>
      <c r="B202" s="357">
        <v>2018</v>
      </c>
      <c r="C202" s="357">
        <v>2019</v>
      </c>
      <c r="D202" s="357">
        <v>2020</v>
      </c>
      <c r="E202" s="357">
        <v>2021</v>
      </c>
    </row>
    <row r="203" spans="1:5" ht="15.75" thickBot="1" x14ac:dyDescent="0.3">
      <c r="A203" s="826"/>
      <c r="B203" s="356" t="s">
        <v>41</v>
      </c>
      <c r="C203" s="356" t="s">
        <v>42</v>
      </c>
      <c r="D203" s="356" t="s">
        <v>42</v>
      </c>
      <c r="E203" s="356" t="s">
        <v>42</v>
      </c>
    </row>
    <row r="204" spans="1:5" ht="15.75" thickBot="1" x14ac:dyDescent="0.3">
      <c r="A204" s="355" t="s">
        <v>112</v>
      </c>
      <c r="B204" s="353">
        <v>10000</v>
      </c>
      <c r="C204" s="353">
        <v>10000</v>
      </c>
      <c r="D204" s="353">
        <v>10000</v>
      </c>
      <c r="E204" s="353">
        <v>10000</v>
      </c>
    </row>
    <row r="205" spans="1:5" ht="15.75" thickBot="1" x14ac:dyDescent="0.3">
      <c r="A205" s="354" t="s">
        <v>266</v>
      </c>
      <c r="B205" s="353">
        <f>B204</f>
        <v>10000</v>
      </c>
      <c r="C205" s="353">
        <f>C204</f>
        <v>10000</v>
      </c>
      <c r="D205" s="353">
        <f>D204</f>
        <v>10000</v>
      </c>
      <c r="E205" s="353">
        <f>E204</f>
        <v>10000</v>
      </c>
    </row>
    <row r="206" spans="1:5" x14ac:dyDescent="0.25">
      <c r="A206" s="841" t="s">
        <v>113</v>
      </c>
      <c r="B206" s="862"/>
      <c r="C206" s="863"/>
      <c r="D206" s="863"/>
      <c r="E206" s="864"/>
    </row>
    <row r="207" spans="1:5" x14ac:dyDescent="0.25">
      <c r="A207" s="842"/>
      <c r="B207" s="865"/>
      <c r="C207" s="866"/>
      <c r="D207" s="866"/>
      <c r="E207" s="867"/>
    </row>
    <row r="208" spans="1:5" ht="15.75" thickBot="1" x14ac:dyDescent="0.3">
      <c r="A208" s="843"/>
      <c r="B208" s="868"/>
      <c r="C208" s="869"/>
      <c r="D208" s="869"/>
      <c r="E208" s="870"/>
    </row>
    <row r="209" spans="1:5" ht="86.25" customHeight="1" thickBot="1" x14ac:dyDescent="0.3">
      <c r="A209" s="128" t="s">
        <v>38</v>
      </c>
      <c r="B209" s="942" t="s">
        <v>340</v>
      </c>
      <c r="C209" s="943"/>
      <c r="D209" s="943"/>
      <c r="E209" s="944"/>
    </row>
    <row r="210" spans="1:5" x14ac:dyDescent="0.25">
      <c r="A210" s="893" t="s">
        <v>138</v>
      </c>
      <c r="B210" s="129">
        <v>2018</v>
      </c>
      <c r="C210" s="129">
        <v>2019</v>
      </c>
      <c r="D210" s="129">
        <v>2020</v>
      </c>
      <c r="E210" s="129">
        <v>2021</v>
      </c>
    </row>
    <row r="211" spans="1:5" ht="15.75" thickBot="1" x14ac:dyDescent="0.3">
      <c r="A211" s="894"/>
      <c r="B211" s="130" t="s">
        <v>41</v>
      </c>
      <c r="C211" s="130" t="s">
        <v>42</v>
      </c>
      <c r="D211" s="130" t="s">
        <v>42</v>
      </c>
      <c r="E211" s="130" t="s">
        <v>42</v>
      </c>
    </row>
    <row r="212" spans="1:5" ht="15.75" thickBot="1" x14ac:dyDescent="0.3">
      <c r="A212" s="131" t="s">
        <v>341</v>
      </c>
      <c r="B212" s="350">
        <v>23</v>
      </c>
      <c r="C212" s="350">
        <v>23</v>
      </c>
      <c r="D212" s="350">
        <v>23</v>
      </c>
      <c r="E212" s="350">
        <v>23</v>
      </c>
    </row>
    <row r="213" spans="1:5" ht="23.25" thickBot="1" x14ac:dyDescent="0.3">
      <c r="A213" s="133" t="s">
        <v>342</v>
      </c>
      <c r="B213" s="132" t="s">
        <v>60</v>
      </c>
      <c r="C213" s="132" t="s">
        <v>61</v>
      </c>
      <c r="D213" s="132" t="s">
        <v>61</v>
      </c>
      <c r="E213" s="132" t="s">
        <v>61</v>
      </c>
    </row>
    <row r="214" spans="1:5" ht="23.25" thickBot="1" x14ac:dyDescent="0.3">
      <c r="A214" s="133" t="s">
        <v>343</v>
      </c>
      <c r="B214" s="132" t="s">
        <v>60</v>
      </c>
      <c r="C214" s="132" t="s">
        <v>61</v>
      </c>
      <c r="D214" s="132" t="s">
        <v>61</v>
      </c>
      <c r="E214" s="132" t="s">
        <v>61</v>
      </c>
    </row>
    <row r="215" spans="1:5" ht="24.75" thickBot="1" x14ac:dyDescent="0.3">
      <c r="A215" s="134" t="s">
        <v>45</v>
      </c>
      <c r="B215" s="844" t="s">
        <v>344</v>
      </c>
      <c r="C215" s="845"/>
      <c r="D215" s="845"/>
      <c r="E215" s="846"/>
    </row>
    <row r="216" spans="1:5" ht="15.75" thickBot="1" x14ac:dyDescent="0.3">
      <c r="A216" s="945" t="s">
        <v>153</v>
      </c>
      <c r="B216" s="946"/>
      <c r="C216" s="946"/>
      <c r="D216" s="946"/>
      <c r="E216" s="947"/>
    </row>
    <row r="217" spans="1:5" ht="34.5" thickBot="1" x14ac:dyDescent="0.3">
      <c r="A217" s="352" t="s">
        <v>345</v>
      </c>
      <c r="B217" s="350">
        <v>23</v>
      </c>
      <c r="C217" s="350">
        <v>23</v>
      </c>
      <c r="D217" s="350">
        <v>23</v>
      </c>
      <c r="E217" s="350">
        <v>23</v>
      </c>
    </row>
    <row r="218" spans="1:5" ht="23.25" thickBot="1" x14ac:dyDescent="0.3">
      <c r="A218" s="351" t="s">
        <v>346</v>
      </c>
      <c r="B218" s="350">
        <v>12</v>
      </c>
      <c r="C218" s="350">
        <v>12</v>
      </c>
      <c r="D218" s="350">
        <v>12</v>
      </c>
      <c r="E218" s="350">
        <v>12</v>
      </c>
    </row>
    <row r="219" spans="1:5" ht="23.25" thickBot="1" x14ac:dyDescent="0.3">
      <c r="A219" s="44" t="s">
        <v>347</v>
      </c>
      <c r="B219" s="350">
        <v>12</v>
      </c>
      <c r="C219" s="350">
        <v>12</v>
      </c>
      <c r="D219" s="350">
        <v>12</v>
      </c>
      <c r="E219" s="350">
        <v>12</v>
      </c>
    </row>
    <row r="220" spans="1:5" ht="23.25" thickBot="1" x14ac:dyDescent="0.3">
      <c r="A220" s="45" t="s">
        <v>348</v>
      </c>
      <c r="B220" s="350">
        <v>8</v>
      </c>
      <c r="C220" s="350">
        <v>8</v>
      </c>
      <c r="D220" s="350">
        <v>8</v>
      </c>
      <c r="E220" s="350">
        <v>8</v>
      </c>
    </row>
    <row r="221" spans="1:5" ht="15.75" thickBot="1" x14ac:dyDescent="0.3">
      <c r="A221" s="948" t="s">
        <v>68</v>
      </c>
      <c r="B221" s="949"/>
      <c r="C221" s="949"/>
      <c r="D221" s="949"/>
      <c r="E221" s="950"/>
    </row>
    <row r="222" spans="1:5" ht="15.75" thickBot="1" x14ac:dyDescent="0.3">
      <c r="A222" s="832" t="s">
        <v>69</v>
      </c>
      <c r="B222" s="833"/>
      <c r="C222" s="833"/>
      <c r="D222" s="833"/>
      <c r="E222" s="834"/>
    </row>
    <row r="223" spans="1:5" ht="15.75" thickBot="1" x14ac:dyDescent="0.3">
      <c r="A223" s="328" t="s">
        <v>70</v>
      </c>
      <c r="B223" s="847" t="s">
        <v>349</v>
      </c>
      <c r="C223" s="848"/>
      <c r="D223" s="848"/>
      <c r="E223" s="849"/>
    </row>
    <row r="224" spans="1:5" ht="15.75" thickBot="1" x14ac:dyDescent="0.3">
      <c r="A224" s="326" t="s">
        <v>72</v>
      </c>
      <c r="B224" s="850" t="s">
        <v>350</v>
      </c>
      <c r="C224" s="851"/>
      <c r="D224" s="851"/>
      <c r="E224" s="852"/>
    </row>
    <row r="225" spans="1:5" ht="15.75" thickBot="1" x14ac:dyDescent="0.3">
      <c r="A225" s="326" t="s">
        <v>74</v>
      </c>
      <c r="B225" s="838" t="s">
        <v>351</v>
      </c>
      <c r="C225" s="839"/>
      <c r="D225" s="839"/>
      <c r="E225" s="840"/>
    </row>
    <row r="226" spans="1:5" x14ac:dyDescent="0.25">
      <c r="A226" s="830"/>
      <c r="B226" s="323">
        <v>2018</v>
      </c>
      <c r="C226" s="323">
        <v>2019</v>
      </c>
      <c r="D226" s="323">
        <v>2020</v>
      </c>
      <c r="E226" s="323">
        <v>2021</v>
      </c>
    </row>
    <row r="227" spans="1:5" ht="15.75" thickBot="1" x14ac:dyDescent="0.3">
      <c r="A227" s="831"/>
      <c r="B227" s="322" t="s">
        <v>41</v>
      </c>
      <c r="C227" s="322" t="s">
        <v>42</v>
      </c>
      <c r="D227" s="322" t="s">
        <v>42</v>
      </c>
      <c r="E227" s="322" t="s">
        <v>42</v>
      </c>
    </row>
    <row r="228" spans="1:5" ht="15.75" thickBot="1" x14ac:dyDescent="0.3">
      <c r="A228" s="326" t="s">
        <v>76</v>
      </c>
      <c r="B228" s="327">
        <v>46</v>
      </c>
      <c r="C228" s="327">
        <v>46</v>
      </c>
      <c r="D228" s="327">
        <v>46</v>
      </c>
      <c r="E228" s="327">
        <v>46</v>
      </c>
    </row>
    <row r="229" spans="1:5" ht="15.75" thickBot="1" x14ac:dyDescent="0.3">
      <c r="A229" s="326" t="s">
        <v>77</v>
      </c>
      <c r="B229" s="327">
        <v>7168</v>
      </c>
      <c r="C229" s="327">
        <v>7168</v>
      </c>
      <c r="D229" s="327">
        <v>7168</v>
      </c>
      <c r="E229" s="327">
        <v>7168</v>
      </c>
    </row>
    <row r="230" spans="1:5" ht="15.75" thickBot="1" x14ac:dyDescent="0.3">
      <c r="A230" s="326" t="s">
        <v>78</v>
      </c>
      <c r="B230" s="327">
        <f>B229/B228</f>
        <v>155.82608695652175</v>
      </c>
      <c r="C230" s="327">
        <f>C229/C228</f>
        <v>155.82608695652175</v>
      </c>
      <c r="D230" s="327">
        <f>D229/D228</f>
        <v>155.82608695652175</v>
      </c>
      <c r="E230" s="327">
        <f>E229/E228</f>
        <v>155.82608695652175</v>
      </c>
    </row>
    <row r="231" spans="1:5" ht="15.75" thickBot="1" x14ac:dyDescent="0.3">
      <c r="A231" s="326" t="s">
        <v>79</v>
      </c>
      <c r="B231" s="325" t="s">
        <v>80</v>
      </c>
      <c r="C231" s="324">
        <f t="shared" ref="C231:E233" si="6">C228/B228-1</f>
        <v>0</v>
      </c>
      <c r="D231" s="324">
        <f t="shared" si="6"/>
        <v>0</v>
      </c>
      <c r="E231" s="324">
        <f t="shared" si="6"/>
        <v>0</v>
      </c>
    </row>
    <row r="232" spans="1:5" ht="15.75" thickBot="1" x14ac:dyDescent="0.3">
      <c r="A232" s="326" t="s">
        <v>81</v>
      </c>
      <c r="B232" s="325" t="s">
        <v>80</v>
      </c>
      <c r="C232" s="324">
        <f t="shared" si="6"/>
        <v>0</v>
      </c>
      <c r="D232" s="324">
        <f t="shared" si="6"/>
        <v>0</v>
      </c>
      <c r="E232" s="324">
        <f t="shared" si="6"/>
        <v>0</v>
      </c>
    </row>
    <row r="233" spans="1:5" ht="15.75" thickBot="1" x14ac:dyDescent="0.3">
      <c r="A233" s="326" t="s">
        <v>82</v>
      </c>
      <c r="B233" s="325" t="s">
        <v>80</v>
      </c>
      <c r="C233" s="324">
        <f t="shared" si="6"/>
        <v>0</v>
      </c>
      <c r="D233" s="324">
        <f t="shared" si="6"/>
        <v>0</v>
      </c>
      <c r="E233" s="324">
        <f t="shared" si="6"/>
        <v>0</v>
      </c>
    </row>
    <row r="234" spans="1:5" ht="15.75" thickBot="1" x14ac:dyDescent="0.3">
      <c r="A234" s="951" t="s">
        <v>83</v>
      </c>
      <c r="B234" s="952"/>
      <c r="C234" s="952"/>
      <c r="D234" s="952"/>
      <c r="E234" s="953"/>
    </row>
    <row r="235" spans="1:5" x14ac:dyDescent="0.25">
      <c r="A235" s="830"/>
      <c r="B235" s="323">
        <v>2018</v>
      </c>
      <c r="C235" s="323">
        <v>2019</v>
      </c>
      <c r="D235" s="323">
        <v>2020</v>
      </c>
      <c r="E235" s="323">
        <v>2021</v>
      </c>
    </row>
    <row r="236" spans="1:5" ht="15.75" thickBot="1" x14ac:dyDescent="0.3">
      <c r="A236" s="831"/>
      <c r="B236" s="322" t="s">
        <v>41</v>
      </c>
      <c r="C236" s="322" t="s">
        <v>42</v>
      </c>
      <c r="D236" s="322" t="s">
        <v>42</v>
      </c>
      <c r="E236" s="322" t="s">
        <v>42</v>
      </c>
    </row>
    <row r="237" spans="1:5" ht="15.75" thickBot="1" x14ac:dyDescent="0.3">
      <c r="A237" s="316" t="s">
        <v>84</v>
      </c>
      <c r="B237" s="309">
        <v>4803</v>
      </c>
      <c r="C237" s="309">
        <v>4803</v>
      </c>
      <c r="D237" s="309">
        <v>4803</v>
      </c>
      <c r="E237" s="309">
        <v>4803</v>
      </c>
    </row>
    <row r="238" spans="1:5" ht="24.75" thickBot="1" x14ac:dyDescent="0.3">
      <c r="A238" s="316" t="s">
        <v>85</v>
      </c>
      <c r="B238" s="309">
        <v>802</v>
      </c>
      <c r="C238" s="309">
        <v>802</v>
      </c>
      <c r="D238" s="309">
        <v>802</v>
      </c>
      <c r="E238" s="309">
        <v>802</v>
      </c>
    </row>
    <row r="239" spans="1:5" ht="15.75" thickBot="1" x14ac:dyDescent="0.3">
      <c r="A239" s="316" t="s">
        <v>86</v>
      </c>
      <c r="B239" s="314">
        <v>1563</v>
      </c>
      <c r="C239" s="314">
        <v>1563</v>
      </c>
      <c r="D239" s="314">
        <v>1563</v>
      </c>
      <c r="E239" s="314">
        <v>1563</v>
      </c>
    </row>
    <row r="240" spans="1:5" ht="15.75" thickBot="1" x14ac:dyDescent="0.3">
      <c r="A240" s="316" t="s">
        <v>87</v>
      </c>
      <c r="B240" s="314"/>
      <c r="C240" s="309"/>
      <c r="D240" s="309"/>
      <c r="E240" s="309"/>
    </row>
    <row r="241" spans="1:5" ht="15.75" thickBot="1" x14ac:dyDescent="0.3">
      <c r="A241" s="316" t="s">
        <v>88</v>
      </c>
      <c r="B241" s="314"/>
      <c r="C241" s="309"/>
      <c r="D241" s="309"/>
      <c r="E241" s="309"/>
    </row>
    <row r="242" spans="1:5" ht="15.75" thickBot="1" x14ac:dyDescent="0.3">
      <c r="A242" s="316" t="s">
        <v>89</v>
      </c>
      <c r="B242" s="314"/>
      <c r="C242" s="309"/>
      <c r="D242" s="309"/>
      <c r="E242" s="309"/>
    </row>
    <row r="243" spans="1:5" ht="24.75" thickBot="1" x14ac:dyDescent="0.3">
      <c r="A243" s="316" t="s">
        <v>90</v>
      </c>
      <c r="B243" s="314"/>
      <c r="C243" s="309"/>
      <c r="D243" s="309"/>
      <c r="E243" s="309"/>
    </row>
    <row r="244" spans="1:5" ht="15.75" thickBot="1" x14ac:dyDescent="0.3">
      <c r="A244" s="321" t="s">
        <v>91</v>
      </c>
      <c r="B244" s="314">
        <f>B243+B242+B241+B240+B239+B238+B237</f>
        <v>7168</v>
      </c>
      <c r="C244" s="314">
        <f>C243+C242+C241+C240+C239+C238+C237</f>
        <v>7168</v>
      </c>
      <c r="D244" s="314">
        <f>D243+D242+D241+D240+D239+D238+D237</f>
        <v>7168</v>
      </c>
      <c r="E244" s="314">
        <f>E243+E242+E241+E240+E239+E238+E237</f>
        <v>7168</v>
      </c>
    </row>
    <row r="245" spans="1:5" ht="15.75" thickBot="1" x14ac:dyDescent="0.3">
      <c r="A245" s="312" t="s">
        <v>92</v>
      </c>
      <c r="B245" s="311">
        <f>IF(B244-B229=0,0,"Error")</f>
        <v>0</v>
      </c>
      <c r="C245" s="311">
        <f>IF(C244-C229=0,0,"Error")</f>
        <v>0</v>
      </c>
      <c r="D245" s="311">
        <f>IF(D244-D229=0,0,"Error")</f>
        <v>0</v>
      </c>
      <c r="E245" s="311">
        <f>IF(E244-E229=0,0,"Error")</f>
        <v>0</v>
      </c>
    </row>
    <row r="246" spans="1:5" ht="15.75" thickBot="1" x14ac:dyDescent="0.3">
      <c r="A246" s="349" t="s">
        <v>93</v>
      </c>
      <c r="B246" s="838" t="s">
        <v>352</v>
      </c>
      <c r="C246" s="839"/>
      <c r="D246" s="839"/>
      <c r="E246" s="840"/>
    </row>
    <row r="247" spans="1:5" ht="15.75" thickBot="1" x14ac:dyDescent="0.3">
      <c r="A247" s="326" t="s">
        <v>72</v>
      </c>
      <c r="B247" s="847" t="s">
        <v>353</v>
      </c>
      <c r="C247" s="954"/>
      <c r="D247" s="954"/>
      <c r="E247" s="955"/>
    </row>
    <row r="248" spans="1:5" ht="15.75" thickBot="1" x14ac:dyDescent="0.3">
      <c r="A248" s="326" t="s">
        <v>74</v>
      </c>
      <c r="B248" s="956" t="s">
        <v>354</v>
      </c>
      <c r="C248" s="848"/>
      <c r="D248" s="848"/>
      <c r="E248" s="849"/>
    </row>
    <row r="249" spans="1:5" ht="15.75" thickBot="1" x14ac:dyDescent="0.3">
      <c r="A249" s="326" t="s">
        <v>76</v>
      </c>
      <c r="B249" s="327">
        <v>24</v>
      </c>
      <c r="C249" s="327">
        <v>24</v>
      </c>
      <c r="D249" s="327">
        <v>24</v>
      </c>
      <c r="E249" s="327">
        <v>24</v>
      </c>
    </row>
    <row r="250" spans="1:5" x14ac:dyDescent="0.25">
      <c r="A250" s="830"/>
      <c r="B250" s="323">
        <v>2018</v>
      </c>
      <c r="C250" s="323">
        <v>2019</v>
      </c>
      <c r="D250" s="323">
        <v>2020</v>
      </c>
      <c r="E250" s="323">
        <v>2021</v>
      </c>
    </row>
    <row r="251" spans="1:5" ht="15.75" thickBot="1" x14ac:dyDescent="0.3">
      <c r="A251" s="831"/>
      <c r="B251" s="322" t="s">
        <v>41</v>
      </c>
      <c r="C251" s="322" t="s">
        <v>42</v>
      </c>
      <c r="D251" s="322" t="s">
        <v>42</v>
      </c>
      <c r="E251" s="322" t="s">
        <v>42</v>
      </c>
    </row>
    <row r="252" spans="1:5" ht="15.75" thickBot="1" x14ac:dyDescent="0.3">
      <c r="A252" s="326" t="s">
        <v>77</v>
      </c>
      <c r="B252" s="327">
        <v>3740</v>
      </c>
      <c r="C252" s="327">
        <v>3740</v>
      </c>
      <c r="D252" s="327">
        <v>3740</v>
      </c>
      <c r="E252" s="327">
        <v>3740</v>
      </c>
    </row>
    <row r="253" spans="1:5" ht="15.75" thickBot="1" x14ac:dyDescent="0.3">
      <c r="A253" s="326" t="s">
        <v>78</v>
      </c>
      <c r="B253" s="327">
        <f>B252/B249</f>
        <v>155.83333333333334</v>
      </c>
      <c r="C253" s="327">
        <f>C252/C249</f>
        <v>155.83333333333334</v>
      </c>
      <c r="D253" s="327">
        <f>D252/D249</f>
        <v>155.83333333333334</v>
      </c>
      <c r="E253" s="327">
        <f>E252/E249</f>
        <v>155.83333333333334</v>
      </c>
    </row>
    <row r="254" spans="1:5" ht="15.75" thickBot="1" x14ac:dyDescent="0.3">
      <c r="A254" s="326" t="s">
        <v>79</v>
      </c>
      <c r="B254" s="325"/>
      <c r="C254" s="324">
        <f>C249/B249-1</f>
        <v>0</v>
      </c>
      <c r="D254" s="324">
        <f>D249/C249-1</f>
        <v>0</v>
      </c>
      <c r="E254" s="324">
        <f>E249/D249-1</f>
        <v>0</v>
      </c>
    </row>
    <row r="255" spans="1:5" ht="15.75" thickBot="1" x14ac:dyDescent="0.3">
      <c r="A255" s="326" t="s">
        <v>81</v>
      </c>
      <c r="B255" s="325"/>
      <c r="C255" s="324">
        <f t="shared" ref="C255:E256" si="7">C252/B252-1</f>
        <v>0</v>
      </c>
      <c r="D255" s="324">
        <f t="shared" si="7"/>
        <v>0</v>
      </c>
      <c r="E255" s="324">
        <f t="shared" si="7"/>
        <v>0</v>
      </c>
    </row>
    <row r="256" spans="1:5" ht="15.75" thickBot="1" x14ac:dyDescent="0.3">
      <c r="A256" s="326" t="s">
        <v>82</v>
      </c>
      <c r="B256" s="325"/>
      <c r="C256" s="324">
        <f t="shared" si="7"/>
        <v>0</v>
      </c>
      <c r="D256" s="324">
        <f t="shared" si="7"/>
        <v>0</v>
      </c>
      <c r="E256" s="324">
        <f t="shared" si="7"/>
        <v>0</v>
      </c>
    </row>
    <row r="257" spans="1:5" ht="15.75" thickBot="1" x14ac:dyDescent="0.3">
      <c r="A257" s="951" t="s">
        <v>355</v>
      </c>
      <c r="B257" s="952"/>
      <c r="C257" s="952"/>
      <c r="D257" s="952"/>
      <c r="E257" s="953"/>
    </row>
    <row r="258" spans="1:5" x14ac:dyDescent="0.25">
      <c r="A258" s="830"/>
      <c r="B258" s="323">
        <v>2018</v>
      </c>
      <c r="C258" s="323">
        <v>2019</v>
      </c>
      <c r="D258" s="323">
        <v>2020</v>
      </c>
      <c r="E258" s="323">
        <v>2021</v>
      </c>
    </row>
    <row r="259" spans="1:5" ht="15.75" thickBot="1" x14ac:dyDescent="0.3">
      <c r="A259" s="831"/>
      <c r="B259" s="322" t="s">
        <v>41</v>
      </c>
      <c r="C259" s="322" t="s">
        <v>42</v>
      </c>
      <c r="D259" s="322" t="s">
        <v>42</v>
      </c>
      <c r="E259" s="322" t="s">
        <v>42</v>
      </c>
    </row>
    <row r="260" spans="1:5" ht="15.75" thickBot="1" x14ac:dyDescent="0.3">
      <c r="A260" s="316" t="s">
        <v>84</v>
      </c>
      <c r="B260" s="309">
        <v>2506</v>
      </c>
      <c r="C260" s="309">
        <v>2506</v>
      </c>
      <c r="D260" s="309">
        <v>2506</v>
      </c>
      <c r="E260" s="309">
        <v>2506</v>
      </c>
    </row>
    <row r="261" spans="1:5" ht="24.75" thickBot="1" x14ac:dyDescent="0.3">
      <c r="A261" s="316" t="s">
        <v>85</v>
      </c>
      <c r="B261" s="309">
        <v>418</v>
      </c>
      <c r="C261" s="309">
        <v>418</v>
      </c>
      <c r="D261" s="309">
        <v>418</v>
      </c>
      <c r="E261" s="309">
        <v>418</v>
      </c>
    </row>
    <row r="262" spans="1:5" ht="15.75" thickBot="1" x14ac:dyDescent="0.3">
      <c r="A262" s="316" t="s">
        <v>86</v>
      </c>
      <c r="B262" s="314">
        <v>816</v>
      </c>
      <c r="C262" s="314">
        <v>816</v>
      </c>
      <c r="D262" s="314">
        <v>816</v>
      </c>
      <c r="E262" s="314">
        <v>816</v>
      </c>
    </row>
    <row r="263" spans="1:5" ht="15.75" thickBot="1" x14ac:dyDescent="0.3">
      <c r="A263" s="316" t="s">
        <v>87</v>
      </c>
      <c r="B263" s="314"/>
      <c r="C263" s="309"/>
      <c r="D263" s="309"/>
      <c r="E263" s="309"/>
    </row>
    <row r="264" spans="1:5" ht="15.75" thickBot="1" x14ac:dyDescent="0.3">
      <c r="A264" s="316" t="s">
        <v>88</v>
      </c>
      <c r="B264" s="314"/>
      <c r="C264" s="309"/>
      <c r="D264" s="309"/>
      <c r="E264" s="309"/>
    </row>
    <row r="265" spans="1:5" ht="15.75" thickBot="1" x14ac:dyDescent="0.3">
      <c r="A265" s="316" t="s">
        <v>89</v>
      </c>
      <c r="B265" s="314"/>
      <c r="C265" s="309"/>
      <c r="D265" s="309"/>
      <c r="E265" s="309"/>
    </row>
    <row r="266" spans="1:5" ht="24.75" thickBot="1" x14ac:dyDescent="0.3">
      <c r="A266" s="316" t="s">
        <v>90</v>
      </c>
      <c r="B266" s="314"/>
      <c r="C266" s="309"/>
      <c r="D266" s="309"/>
      <c r="E266" s="309"/>
    </row>
    <row r="267" spans="1:5" ht="15.75" thickBot="1" x14ac:dyDescent="0.3">
      <c r="A267" s="335" t="s">
        <v>98</v>
      </c>
      <c r="B267" s="314">
        <f>B266+B265+B264+B263+B262+B261+B260</f>
        <v>3740</v>
      </c>
      <c r="C267" s="314">
        <f>C266+C265+C264+C263+C262+C261+C260</f>
        <v>3740</v>
      </c>
      <c r="D267" s="314">
        <f>D266+D265+D264+D263+D262+D261+D260</f>
        <v>3740</v>
      </c>
      <c r="E267" s="314">
        <f>E266+E265+E264+E263+E262+E261+E260</f>
        <v>3740</v>
      </c>
    </row>
    <row r="268" spans="1:5" ht="15.75" thickBot="1" x14ac:dyDescent="0.3">
      <c r="A268" s="312" t="s">
        <v>92</v>
      </c>
      <c r="B268" s="311">
        <f>IF(B267-B252=0,0,"Error")</f>
        <v>0</v>
      </c>
      <c r="C268" s="311">
        <f>IF(C267-C252=0,0,"Error")</f>
        <v>0</v>
      </c>
      <c r="D268" s="311">
        <f>IF(D267-D252=0,0,"Error")</f>
        <v>0</v>
      </c>
      <c r="E268" s="311">
        <f>IF(E267-E252=0,0,"Error")</f>
        <v>0</v>
      </c>
    </row>
    <row r="269" spans="1:5" ht="15.75" thickBot="1" x14ac:dyDescent="0.3">
      <c r="A269" s="349" t="s">
        <v>99</v>
      </c>
      <c r="B269" s="847" t="s">
        <v>356</v>
      </c>
      <c r="C269" s="848"/>
      <c r="D269" s="848"/>
      <c r="E269" s="849"/>
    </row>
    <row r="270" spans="1:5" ht="15.75" thickBot="1" x14ac:dyDescent="0.3">
      <c r="A270" s="326" t="s">
        <v>72</v>
      </c>
      <c r="B270" s="850" t="s">
        <v>357</v>
      </c>
      <c r="C270" s="851"/>
      <c r="D270" s="851"/>
      <c r="E270" s="852"/>
    </row>
    <row r="271" spans="1:5" ht="15.75" thickBot="1" x14ac:dyDescent="0.3">
      <c r="A271" s="326" t="s">
        <v>74</v>
      </c>
      <c r="B271" s="838" t="s">
        <v>358</v>
      </c>
      <c r="C271" s="839"/>
      <c r="D271" s="839"/>
      <c r="E271" s="840"/>
    </row>
    <row r="272" spans="1:5" ht="15.75" thickBot="1" x14ac:dyDescent="0.3">
      <c r="A272" s="326" t="s">
        <v>76</v>
      </c>
      <c r="B272" s="327">
        <v>24</v>
      </c>
      <c r="C272" s="327">
        <v>24</v>
      </c>
      <c r="D272" s="327">
        <v>24</v>
      </c>
      <c r="E272" s="327">
        <v>24</v>
      </c>
    </row>
    <row r="273" spans="1:5" x14ac:dyDescent="0.25">
      <c r="A273" s="830"/>
      <c r="B273" s="323">
        <v>2018</v>
      </c>
      <c r="C273" s="323">
        <v>2019</v>
      </c>
      <c r="D273" s="323">
        <v>2020</v>
      </c>
      <c r="E273" s="323">
        <v>2021</v>
      </c>
    </row>
    <row r="274" spans="1:5" ht="15.75" thickBot="1" x14ac:dyDescent="0.3">
      <c r="A274" s="831"/>
      <c r="B274" s="322" t="s">
        <v>41</v>
      </c>
      <c r="C274" s="322" t="s">
        <v>42</v>
      </c>
      <c r="D274" s="322" t="s">
        <v>42</v>
      </c>
      <c r="E274" s="322" t="s">
        <v>42</v>
      </c>
    </row>
    <row r="275" spans="1:5" ht="15.75" thickBot="1" x14ac:dyDescent="0.3">
      <c r="A275" s="326" t="s">
        <v>77</v>
      </c>
      <c r="B275" s="327">
        <v>3740</v>
      </c>
      <c r="C275" s="327">
        <v>3740</v>
      </c>
      <c r="D275" s="327">
        <v>3740</v>
      </c>
      <c r="E275" s="327">
        <v>3740</v>
      </c>
    </row>
    <row r="276" spans="1:5" ht="15.75" thickBot="1" x14ac:dyDescent="0.3">
      <c r="A276" s="326" t="s">
        <v>78</v>
      </c>
      <c r="B276" s="327">
        <f>B275/B272</f>
        <v>155.83333333333334</v>
      </c>
      <c r="C276" s="327">
        <f>C275/C272</f>
        <v>155.83333333333334</v>
      </c>
      <c r="D276" s="327">
        <f>D275/D272</f>
        <v>155.83333333333334</v>
      </c>
      <c r="E276" s="327">
        <f>E275/E272</f>
        <v>155.83333333333334</v>
      </c>
    </row>
    <row r="277" spans="1:5" ht="15.75" thickBot="1" x14ac:dyDescent="0.3">
      <c r="A277" s="326" t="s">
        <v>79</v>
      </c>
      <c r="B277" s="325"/>
      <c r="C277" s="324">
        <f>C272/B272-1</f>
        <v>0</v>
      </c>
      <c r="D277" s="324">
        <f>D272/C272-1</f>
        <v>0</v>
      </c>
      <c r="E277" s="324">
        <f>E272/D272-1</f>
        <v>0</v>
      </c>
    </row>
    <row r="278" spans="1:5" ht="15.75" thickBot="1" x14ac:dyDescent="0.3">
      <c r="A278" s="326" t="s">
        <v>81</v>
      </c>
      <c r="B278" s="325"/>
      <c r="C278" s="324">
        <f t="shared" ref="C278:E279" si="8">C275/B275-1</f>
        <v>0</v>
      </c>
      <c r="D278" s="324">
        <f t="shared" si="8"/>
        <v>0</v>
      </c>
      <c r="E278" s="324">
        <f t="shared" si="8"/>
        <v>0</v>
      </c>
    </row>
    <row r="279" spans="1:5" ht="15.75" thickBot="1" x14ac:dyDescent="0.3">
      <c r="A279" s="326" t="s">
        <v>82</v>
      </c>
      <c r="B279" s="325"/>
      <c r="C279" s="324">
        <f t="shared" si="8"/>
        <v>0</v>
      </c>
      <c r="D279" s="324">
        <f t="shared" si="8"/>
        <v>0</v>
      </c>
      <c r="E279" s="324">
        <f t="shared" si="8"/>
        <v>0</v>
      </c>
    </row>
    <row r="280" spans="1:5" ht="15.75" thickBot="1" x14ac:dyDescent="0.3">
      <c r="A280" s="951" t="s">
        <v>359</v>
      </c>
      <c r="B280" s="952"/>
      <c r="C280" s="952"/>
      <c r="D280" s="952"/>
      <c r="E280" s="953"/>
    </row>
    <row r="281" spans="1:5" x14ac:dyDescent="0.25">
      <c r="A281" s="830"/>
      <c r="B281" s="323">
        <v>2018</v>
      </c>
      <c r="C281" s="323">
        <v>2019</v>
      </c>
      <c r="D281" s="323">
        <v>2020</v>
      </c>
      <c r="E281" s="323">
        <v>2021</v>
      </c>
    </row>
    <row r="282" spans="1:5" ht="15.75" thickBot="1" x14ac:dyDescent="0.3">
      <c r="A282" s="831"/>
      <c r="B282" s="322" t="s">
        <v>41</v>
      </c>
      <c r="C282" s="322" t="s">
        <v>42</v>
      </c>
      <c r="D282" s="322" t="s">
        <v>42</v>
      </c>
      <c r="E282" s="322" t="s">
        <v>42</v>
      </c>
    </row>
    <row r="283" spans="1:5" ht="15.75" thickBot="1" x14ac:dyDescent="0.3">
      <c r="A283" s="316" t="s">
        <v>84</v>
      </c>
      <c r="B283" s="309">
        <v>2506</v>
      </c>
      <c r="C283" s="309">
        <v>2506</v>
      </c>
      <c r="D283" s="309">
        <v>2506</v>
      </c>
      <c r="E283" s="309">
        <v>2506</v>
      </c>
    </row>
    <row r="284" spans="1:5" ht="24.75" thickBot="1" x14ac:dyDescent="0.3">
      <c r="A284" s="316" t="s">
        <v>85</v>
      </c>
      <c r="B284" s="309">
        <v>418</v>
      </c>
      <c r="C284" s="309">
        <v>418</v>
      </c>
      <c r="D284" s="309">
        <v>418</v>
      </c>
      <c r="E284" s="309">
        <v>418</v>
      </c>
    </row>
    <row r="285" spans="1:5" ht="15.75" thickBot="1" x14ac:dyDescent="0.3">
      <c r="A285" s="316" t="s">
        <v>86</v>
      </c>
      <c r="B285" s="314">
        <v>816</v>
      </c>
      <c r="C285" s="314">
        <v>816</v>
      </c>
      <c r="D285" s="314">
        <v>816</v>
      </c>
      <c r="E285" s="314">
        <v>816</v>
      </c>
    </row>
    <row r="286" spans="1:5" ht="15.75" thickBot="1" x14ac:dyDescent="0.3">
      <c r="A286" s="316" t="s">
        <v>87</v>
      </c>
      <c r="B286" s="314"/>
      <c r="C286" s="309"/>
      <c r="D286" s="309"/>
      <c r="E286" s="309"/>
    </row>
    <row r="287" spans="1:5" ht="15.75" thickBot="1" x14ac:dyDescent="0.3">
      <c r="A287" s="316" t="s">
        <v>88</v>
      </c>
      <c r="B287" s="314"/>
      <c r="C287" s="309"/>
      <c r="D287" s="309"/>
      <c r="E287" s="309"/>
    </row>
    <row r="288" spans="1:5" ht="15.75" thickBot="1" x14ac:dyDescent="0.3">
      <c r="A288" s="316" t="s">
        <v>89</v>
      </c>
      <c r="B288" s="314"/>
      <c r="C288" s="309"/>
      <c r="D288" s="309"/>
      <c r="E288" s="309"/>
    </row>
    <row r="289" spans="1:5" ht="24.75" thickBot="1" x14ac:dyDescent="0.3">
      <c r="A289" s="316" t="s">
        <v>90</v>
      </c>
      <c r="B289" s="314"/>
      <c r="C289" s="309"/>
      <c r="D289" s="309"/>
      <c r="E289" s="309"/>
    </row>
    <row r="290" spans="1:5" ht="15.75" thickBot="1" x14ac:dyDescent="0.3">
      <c r="A290" s="335" t="s">
        <v>103</v>
      </c>
      <c r="B290" s="314">
        <f>B289+B288+B287+B286+B285+B284+B283</f>
        <v>3740</v>
      </c>
      <c r="C290" s="314">
        <f>C289+C288+C287+C286+C285+C284+C283</f>
        <v>3740</v>
      </c>
      <c r="D290" s="314">
        <f>D289+D288+D287+D286+D285+D284+D283</f>
        <v>3740</v>
      </c>
      <c r="E290" s="314">
        <f>E289+E288+E287+E286+E285+E284+E283</f>
        <v>3740</v>
      </c>
    </row>
    <row r="291" spans="1:5" ht="15.75" thickBot="1" x14ac:dyDescent="0.3">
      <c r="A291" s="312" t="s">
        <v>92</v>
      </c>
      <c r="B291" s="311">
        <f>IF(B290-B275=0,0,"Error")</f>
        <v>0</v>
      </c>
      <c r="C291" s="311">
        <f>IF(C290-C275=0,0,"Error")</f>
        <v>0</v>
      </c>
      <c r="D291" s="311">
        <f>IF(D290-D275=0,0,"Error")</f>
        <v>0</v>
      </c>
      <c r="E291" s="311">
        <f>IF(E290-E275=0,0,"Error")</f>
        <v>0</v>
      </c>
    </row>
    <row r="292" spans="1:5" ht="15.75" thickBot="1" x14ac:dyDescent="0.3">
      <c r="A292" s="349" t="s">
        <v>115</v>
      </c>
      <c r="B292" s="847" t="s">
        <v>360</v>
      </c>
      <c r="C292" s="848"/>
      <c r="D292" s="848"/>
      <c r="E292" s="849"/>
    </row>
    <row r="293" spans="1:5" ht="15.75" thickBot="1" x14ac:dyDescent="0.3">
      <c r="A293" s="326" t="s">
        <v>72</v>
      </c>
      <c r="B293" s="850" t="s">
        <v>361</v>
      </c>
      <c r="C293" s="851"/>
      <c r="D293" s="851"/>
      <c r="E293" s="852"/>
    </row>
    <row r="294" spans="1:5" ht="15.75" thickBot="1" x14ac:dyDescent="0.3">
      <c r="A294" s="326" t="s">
        <v>74</v>
      </c>
      <c r="B294" s="838" t="s">
        <v>362</v>
      </c>
      <c r="C294" s="839"/>
      <c r="D294" s="839"/>
      <c r="E294" s="840"/>
    </row>
    <row r="295" spans="1:5" x14ac:dyDescent="0.25">
      <c r="A295" s="830"/>
      <c r="B295" s="323">
        <v>2018</v>
      </c>
      <c r="C295" s="323">
        <v>2019</v>
      </c>
      <c r="D295" s="323">
        <v>2020</v>
      </c>
      <c r="E295" s="323">
        <v>2021</v>
      </c>
    </row>
    <row r="296" spans="1:5" ht="15.75" thickBot="1" x14ac:dyDescent="0.3">
      <c r="A296" s="831"/>
      <c r="B296" s="322" t="s">
        <v>41</v>
      </c>
      <c r="C296" s="322" t="s">
        <v>42</v>
      </c>
      <c r="D296" s="322" t="s">
        <v>42</v>
      </c>
      <c r="E296" s="322" t="s">
        <v>42</v>
      </c>
    </row>
    <row r="297" spans="1:5" ht="15.75" thickBot="1" x14ac:dyDescent="0.3">
      <c r="A297" s="326" t="s">
        <v>76</v>
      </c>
      <c r="B297" s="327">
        <v>16</v>
      </c>
      <c r="C297" s="327">
        <v>16</v>
      </c>
      <c r="D297" s="327">
        <v>16</v>
      </c>
      <c r="E297" s="327">
        <v>16</v>
      </c>
    </row>
    <row r="298" spans="1:5" ht="15.75" thickBot="1" x14ac:dyDescent="0.3">
      <c r="A298" s="326" t="s">
        <v>77</v>
      </c>
      <c r="B298" s="327">
        <v>2494</v>
      </c>
      <c r="C298" s="327">
        <v>2494</v>
      </c>
      <c r="D298" s="327">
        <v>2494</v>
      </c>
      <c r="E298" s="327">
        <v>2494</v>
      </c>
    </row>
    <row r="299" spans="1:5" ht="15.75" thickBot="1" x14ac:dyDescent="0.3">
      <c r="A299" s="326" t="s">
        <v>78</v>
      </c>
      <c r="B299" s="327">
        <f>B298/B297</f>
        <v>155.875</v>
      </c>
      <c r="C299" s="327">
        <f>C298/C297</f>
        <v>155.875</v>
      </c>
      <c r="D299" s="327">
        <f>D298/D297</f>
        <v>155.875</v>
      </c>
      <c r="E299" s="327">
        <f>E298/E297</f>
        <v>155.875</v>
      </c>
    </row>
    <row r="300" spans="1:5" ht="15.75" thickBot="1" x14ac:dyDescent="0.3">
      <c r="A300" s="326" t="s">
        <v>79</v>
      </c>
      <c r="B300" s="325"/>
      <c r="C300" s="324">
        <f t="shared" ref="C300:E302" si="9">C297/B297-1</f>
        <v>0</v>
      </c>
      <c r="D300" s="324">
        <f t="shared" si="9"/>
        <v>0</v>
      </c>
      <c r="E300" s="324">
        <f t="shared" si="9"/>
        <v>0</v>
      </c>
    </row>
    <row r="301" spans="1:5" ht="15.75" thickBot="1" x14ac:dyDescent="0.3">
      <c r="A301" s="326" t="s">
        <v>81</v>
      </c>
      <c r="B301" s="325"/>
      <c r="C301" s="324">
        <f t="shared" si="9"/>
        <v>0</v>
      </c>
      <c r="D301" s="324">
        <f t="shared" si="9"/>
        <v>0</v>
      </c>
      <c r="E301" s="324">
        <f t="shared" si="9"/>
        <v>0</v>
      </c>
    </row>
    <row r="302" spans="1:5" ht="15.75" thickBot="1" x14ac:dyDescent="0.3">
      <c r="A302" s="326" t="s">
        <v>82</v>
      </c>
      <c r="B302" s="325"/>
      <c r="C302" s="324">
        <f t="shared" si="9"/>
        <v>0</v>
      </c>
      <c r="D302" s="324">
        <f t="shared" si="9"/>
        <v>0</v>
      </c>
      <c r="E302" s="324">
        <f t="shared" si="9"/>
        <v>0</v>
      </c>
    </row>
    <row r="303" spans="1:5" ht="15.75" thickBot="1" x14ac:dyDescent="0.3">
      <c r="A303" s="951" t="s">
        <v>363</v>
      </c>
      <c r="B303" s="952"/>
      <c r="C303" s="952"/>
      <c r="D303" s="952"/>
      <c r="E303" s="953"/>
    </row>
    <row r="304" spans="1:5" x14ac:dyDescent="0.25">
      <c r="A304" s="830"/>
      <c r="B304" s="323">
        <v>2018</v>
      </c>
      <c r="C304" s="323">
        <v>2019</v>
      </c>
      <c r="D304" s="323">
        <v>2020</v>
      </c>
      <c r="E304" s="323">
        <v>2021</v>
      </c>
    </row>
    <row r="305" spans="1:5" ht="15.75" thickBot="1" x14ac:dyDescent="0.3">
      <c r="A305" s="831"/>
      <c r="B305" s="322" t="s">
        <v>41</v>
      </c>
      <c r="C305" s="322" t="s">
        <v>42</v>
      </c>
      <c r="D305" s="322" t="s">
        <v>42</v>
      </c>
      <c r="E305" s="322" t="s">
        <v>42</v>
      </c>
    </row>
    <row r="306" spans="1:5" ht="15.75" thickBot="1" x14ac:dyDescent="0.3">
      <c r="A306" s="316" t="s">
        <v>84</v>
      </c>
      <c r="B306" s="309">
        <v>1671</v>
      </c>
      <c r="C306" s="309">
        <v>1671</v>
      </c>
      <c r="D306" s="309">
        <v>1671</v>
      </c>
      <c r="E306" s="309">
        <v>1671</v>
      </c>
    </row>
    <row r="307" spans="1:5" ht="24.75" thickBot="1" x14ac:dyDescent="0.3">
      <c r="A307" s="348" t="s">
        <v>85</v>
      </c>
      <c r="B307" s="309">
        <v>279</v>
      </c>
      <c r="C307" s="309">
        <v>279</v>
      </c>
      <c r="D307" s="309">
        <v>279</v>
      </c>
      <c r="E307" s="309">
        <v>279</v>
      </c>
    </row>
    <row r="308" spans="1:5" ht="15.75" thickBot="1" x14ac:dyDescent="0.3">
      <c r="A308" s="316" t="s">
        <v>86</v>
      </c>
      <c r="B308" s="314">
        <v>544</v>
      </c>
      <c r="C308" s="314">
        <v>544</v>
      </c>
      <c r="D308" s="314">
        <v>544</v>
      </c>
      <c r="E308" s="314">
        <v>544</v>
      </c>
    </row>
    <row r="309" spans="1:5" ht="15.75" thickBot="1" x14ac:dyDescent="0.3">
      <c r="A309" s="316" t="s">
        <v>87</v>
      </c>
      <c r="B309" s="314"/>
      <c r="C309" s="309"/>
      <c r="D309" s="309"/>
      <c r="E309" s="309"/>
    </row>
    <row r="310" spans="1:5" ht="15.75" thickBot="1" x14ac:dyDescent="0.3">
      <c r="A310" s="316" t="s">
        <v>88</v>
      </c>
      <c r="B310" s="314"/>
      <c r="C310" s="309"/>
      <c r="D310" s="309"/>
      <c r="E310" s="309"/>
    </row>
    <row r="311" spans="1:5" ht="15.75" thickBot="1" x14ac:dyDescent="0.3">
      <c r="A311" s="316" t="s">
        <v>89</v>
      </c>
      <c r="B311" s="314"/>
      <c r="C311" s="309"/>
      <c r="D311" s="309"/>
      <c r="E311" s="309"/>
    </row>
    <row r="312" spans="1:5" ht="24.75" thickBot="1" x14ac:dyDescent="0.3">
      <c r="A312" s="316" t="s">
        <v>90</v>
      </c>
      <c r="B312" s="314"/>
      <c r="C312" s="309"/>
      <c r="D312" s="309"/>
      <c r="E312" s="309"/>
    </row>
    <row r="313" spans="1:5" ht="15.75" thickBot="1" x14ac:dyDescent="0.3">
      <c r="A313" s="335" t="s">
        <v>262</v>
      </c>
      <c r="B313" s="314">
        <f>B312+B311+B310+B309+B308+B307+B306</f>
        <v>2494</v>
      </c>
      <c r="C313" s="314">
        <f>C312+C311+C310+C309+C308+C307+C306</f>
        <v>2494</v>
      </c>
      <c r="D313" s="314">
        <f>D312+D311+D310+D309+D308+D307+D306</f>
        <v>2494</v>
      </c>
      <c r="E313" s="314">
        <f>E312+E311+E310+E309+E308+E307+E306</f>
        <v>2494</v>
      </c>
    </row>
    <row r="314" spans="1:5" ht="15.75" thickBot="1" x14ac:dyDescent="0.3">
      <c r="A314" s="312" t="s">
        <v>92</v>
      </c>
      <c r="B314" s="311">
        <f>IF(B313-B298=0,0,"Error")</f>
        <v>0</v>
      </c>
      <c r="C314" s="311">
        <f>IF(C313-C298=0,0,"Error")</f>
        <v>0</v>
      </c>
      <c r="D314" s="311">
        <f>IF(D313-D298=0,0,"Error")</f>
        <v>0</v>
      </c>
      <c r="E314" s="311">
        <f>IF(E313-E298=0,0,"Error")</f>
        <v>0</v>
      </c>
    </row>
    <row r="315" spans="1:5" ht="15.75" thickBot="1" x14ac:dyDescent="0.3">
      <c r="A315" s="832" t="s">
        <v>104</v>
      </c>
      <c r="B315" s="833"/>
      <c r="C315" s="833"/>
      <c r="D315" s="833"/>
      <c r="E315" s="834"/>
    </row>
    <row r="316" spans="1:5" ht="15.75" thickBot="1" x14ac:dyDescent="0.3">
      <c r="A316" s="832" t="s">
        <v>105</v>
      </c>
      <c r="B316" s="833"/>
      <c r="C316" s="833"/>
      <c r="D316" s="833"/>
      <c r="E316" s="834"/>
    </row>
    <row r="317" spans="1:5" ht="15.75" thickBot="1" x14ac:dyDescent="0.3">
      <c r="A317" s="326" t="s">
        <v>106</v>
      </c>
      <c r="B317" s="835" t="s">
        <v>107</v>
      </c>
      <c r="C317" s="836"/>
      <c r="D317" s="836"/>
      <c r="E317" s="837"/>
    </row>
    <row r="318" spans="1:5" ht="15.75" thickBot="1" x14ac:dyDescent="0.3">
      <c r="A318" s="328" t="s">
        <v>108</v>
      </c>
      <c r="B318" s="838" t="s">
        <v>364</v>
      </c>
      <c r="C318" s="839"/>
      <c r="D318" s="839"/>
      <c r="E318" s="840"/>
    </row>
    <row r="319" spans="1:5" ht="15.75" thickBot="1" x14ac:dyDescent="0.3">
      <c r="A319" s="326" t="s">
        <v>72</v>
      </c>
      <c r="B319" s="850" t="s">
        <v>364</v>
      </c>
      <c r="C319" s="851"/>
      <c r="D319" s="851"/>
      <c r="E319" s="852"/>
    </row>
    <row r="320" spans="1:5" ht="15.75" thickBot="1" x14ac:dyDescent="0.3">
      <c r="A320" s="326" t="s">
        <v>74</v>
      </c>
      <c r="B320" s="838" t="s">
        <v>364</v>
      </c>
      <c r="C320" s="839"/>
      <c r="D320" s="839"/>
      <c r="E320" s="840"/>
    </row>
    <row r="321" spans="1:5" x14ac:dyDescent="0.25">
      <c r="A321" s="830"/>
      <c r="B321" s="323">
        <v>2018</v>
      </c>
      <c r="C321" s="323">
        <v>2019</v>
      </c>
      <c r="D321" s="323">
        <v>2020</v>
      </c>
      <c r="E321" s="323">
        <v>2021</v>
      </c>
    </row>
    <row r="322" spans="1:5" ht="15.75" thickBot="1" x14ac:dyDescent="0.3">
      <c r="A322" s="831"/>
      <c r="B322" s="322" t="s">
        <v>41</v>
      </c>
      <c r="C322" s="322" t="s">
        <v>42</v>
      </c>
      <c r="D322" s="322" t="s">
        <v>42</v>
      </c>
      <c r="E322" s="322" t="s">
        <v>42</v>
      </c>
    </row>
    <row r="323" spans="1:5" ht="15.75" thickBot="1" x14ac:dyDescent="0.3">
      <c r="A323" s="326" t="s">
        <v>76</v>
      </c>
      <c r="B323" s="327"/>
      <c r="C323" s="327"/>
      <c r="D323" s="327"/>
      <c r="E323" s="327"/>
    </row>
    <row r="324" spans="1:5" ht="15.75" thickBot="1" x14ac:dyDescent="0.3">
      <c r="A324" s="326" t="s">
        <v>77</v>
      </c>
      <c r="B324" s="327"/>
      <c r="C324" s="327"/>
      <c r="D324" s="327"/>
      <c r="E324" s="327"/>
    </row>
    <row r="325" spans="1:5" ht="15.75" thickBot="1" x14ac:dyDescent="0.3">
      <c r="A325" s="326" t="s">
        <v>78</v>
      </c>
      <c r="B325" s="327" t="e">
        <f>B324/B323</f>
        <v>#DIV/0!</v>
      </c>
      <c r="C325" s="327" t="e">
        <f>C324/C323</f>
        <v>#DIV/0!</v>
      </c>
      <c r="D325" s="327" t="e">
        <f>D324/D323</f>
        <v>#DIV/0!</v>
      </c>
      <c r="E325" s="327" t="e">
        <f>E324/E323</f>
        <v>#DIV/0!</v>
      </c>
    </row>
    <row r="326" spans="1:5" ht="15.75" thickBot="1" x14ac:dyDescent="0.3">
      <c r="A326" s="326" t="s">
        <v>79</v>
      </c>
      <c r="B326" s="325" t="s">
        <v>80</v>
      </c>
      <c r="C326" s="324" t="e">
        <f t="shared" ref="C326:E328" si="10">C323/B323-1</f>
        <v>#DIV/0!</v>
      </c>
      <c r="D326" s="324" t="e">
        <f t="shared" si="10"/>
        <v>#DIV/0!</v>
      </c>
      <c r="E326" s="324" t="e">
        <f t="shared" si="10"/>
        <v>#DIV/0!</v>
      </c>
    </row>
    <row r="327" spans="1:5" ht="15.75" thickBot="1" x14ac:dyDescent="0.3">
      <c r="A327" s="326" t="s">
        <v>81</v>
      </c>
      <c r="B327" s="325" t="s">
        <v>80</v>
      </c>
      <c r="C327" s="324" t="e">
        <f t="shared" si="10"/>
        <v>#DIV/0!</v>
      </c>
      <c r="D327" s="324" t="e">
        <f t="shared" si="10"/>
        <v>#DIV/0!</v>
      </c>
      <c r="E327" s="324" t="e">
        <f t="shared" si="10"/>
        <v>#DIV/0!</v>
      </c>
    </row>
    <row r="328" spans="1:5" ht="15.75" thickBot="1" x14ac:dyDescent="0.3">
      <c r="A328" s="326" t="s">
        <v>82</v>
      </c>
      <c r="B328" s="325" t="s">
        <v>80</v>
      </c>
      <c r="C328" s="324" t="e">
        <f t="shared" si="10"/>
        <v>#DIV/0!</v>
      </c>
      <c r="D328" s="324" t="e">
        <f t="shared" si="10"/>
        <v>#DIV/0!</v>
      </c>
      <c r="E328" s="324" t="e">
        <f t="shared" si="10"/>
        <v>#DIV/0!</v>
      </c>
    </row>
    <row r="329" spans="1:5" ht="15.75" thickBot="1" x14ac:dyDescent="0.3">
      <c r="A329" s="951" t="s">
        <v>83</v>
      </c>
      <c r="B329" s="952"/>
      <c r="C329" s="952"/>
      <c r="D329" s="952"/>
      <c r="E329" s="953"/>
    </row>
    <row r="330" spans="1:5" x14ac:dyDescent="0.25">
      <c r="A330" s="830"/>
      <c r="B330" s="323">
        <v>2018</v>
      </c>
      <c r="C330" s="323">
        <v>2019</v>
      </c>
      <c r="D330" s="323">
        <v>2020</v>
      </c>
      <c r="E330" s="323">
        <v>2021</v>
      </c>
    </row>
    <row r="331" spans="1:5" ht="15.75" thickBot="1" x14ac:dyDescent="0.3">
      <c r="A331" s="831"/>
      <c r="B331" s="322" t="s">
        <v>41</v>
      </c>
      <c r="C331" s="322" t="s">
        <v>42</v>
      </c>
      <c r="D331" s="322" t="s">
        <v>42</v>
      </c>
      <c r="E331" s="322" t="s">
        <v>42</v>
      </c>
    </row>
    <row r="332" spans="1:5" ht="15.75" thickBot="1" x14ac:dyDescent="0.3">
      <c r="A332" s="316" t="s">
        <v>169</v>
      </c>
      <c r="B332" s="309"/>
      <c r="C332" s="309"/>
      <c r="D332" s="309"/>
      <c r="E332" s="309"/>
    </row>
    <row r="333" spans="1:5" ht="15.75" thickBot="1" x14ac:dyDescent="0.3">
      <c r="A333" s="316" t="s">
        <v>112</v>
      </c>
      <c r="B333" s="314"/>
      <c r="C333" s="309"/>
      <c r="D333" s="309"/>
      <c r="E333" s="309"/>
    </row>
    <row r="334" spans="1:5" ht="15.75" thickBot="1" x14ac:dyDescent="0.3">
      <c r="A334" s="321" t="s">
        <v>91</v>
      </c>
      <c r="B334" s="314">
        <f>B333+B332</f>
        <v>0</v>
      </c>
      <c r="C334" s="314">
        <f>C333+C332</f>
        <v>0</v>
      </c>
      <c r="D334" s="314">
        <f>D333+D332</f>
        <v>0</v>
      </c>
      <c r="E334" s="314">
        <f>E333+E332</f>
        <v>0</v>
      </c>
    </row>
    <row r="335" spans="1:5" x14ac:dyDescent="0.25">
      <c r="A335" s="957" t="s">
        <v>113</v>
      </c>
      <c r="B335" s="960"/>
      <c r="C335" s="961"/>
      <c r="D335" s="961"/>
      <c r="E335" s="962"/>
    </row>
    <row r="336" spans="1:5" x14ac:dyDescent="0.25">
      <c r="A336" s="958"/>
      <c r="B336" s="963"/>
      <c r="C336" s="964"/>
      <c r="D336" s="964"/>
      <c r="E336" s="965"/>
    </row>
    <row r="337" spans="1:5" ht="15.75" thickBot="1" x14ac:dyDescent="0.3">
      <c r="A337" s="959"/>
      <c r="B337" s="966"/>
      <c r="C337" s="967"/>
      <c r="D337" s="967"/>
      <c r="E337" s="968"/>
    </row>
    <row r="338" spans="1:5" ht="15.75" thickBot="1" x14ac:dyDescent="0.3">
      <c r="A338" s="326" t="s">
        <v>257</v>
      </c>
      <c r="B338" s="835" t="s">
        <v>107</v>
      </c>
      <c r="C338" s="836"/>
      <c r="D338" s="836"/>
      <c r="E338" s="837"/>
    </row>
    <row r="339" spans="1:5" ht="23.25" thickBot="1" x14ac:dyDescent="0.3">
      <c r="A339" s="328" t="s">
        <v>365</v>
      </c>
      <c r="B339" s="838" t="s">
        <v>364</v>
      </c>
      <c r="C339" s="839"/>
      <c r="D339" s="839"/>
      <c r="E339" s="840"/>
    </row>
    <row r="340" spans="1:5" ht="15.75" thickBot="1" x14ac:dyDescent="0.3">
      <c r="A340" s="326" t="s">
        <v>72</v>
      </c>
      <c r="B340" s="850" t="s">
        <v>364</v>
      </c>
      <c r="C340" s="851"/>
      <c r="D340" s="851"/>
      <c r="E340" s="852"/>
    </row>
    <row r="341" spans="1:5" ht="15.75" thickBot="1" x14ac:dyDescent="0.3">
      <c r="A341" s="326" t="s">
        <v>74</v>
      </c>
      <c r="B341" s="838" t="s">
        <v>364</v>
      </c>
      <c r="C341" s="839"/>
      <c r="D341" s="839"/>
      <c r="E341" s="840"/>
    </row>
    <row r="342" spans="1:5" x14ac:dyDescent="0.25">
      <c r="A342" s="830"/>
      <c r="B342" s="323">
        <v>2018</v>
      </c>
      <c r="C342" s="323">
        <v>2019</v>
      </c>
      <c r="D342" s="323">
        <v>2020</v>
      </c>
      <c r="E342" s="323">
        <v>2021</v>
      </c>
    </row>
    <row r="343" spans="1:5" ht="15.75" thickBot="1" x14ac:dyDescent="0.3">
      <c r="A343" s="831"/>
      <c r="B343" s="322" t="s">
        <v>41</v>
      </c>
      <c r="C343" s="322" t="s">
        <v>42</v>
      </c>
      <c r="D343" s="322" t="s">
        <v>42</v>
      </c>
      <c r="E343" s="322" t="s">
        <v>42</v>
      </c>
    </row>
    <row r="344" spans="1:5" ht="15.75" thickBot="1" x14ac:dyDescent="0.3">
      <c r="A344" s="326" t="s">
        <v>76</v>
      </c>
      <c r="B344" s="327"/>
      <c r="C344" s="327"/>
      <c r="D344" s="327"/>
      <c r="E344" s="327"/>
    </row>
    <row r="345" spans="1:5" ht="15.75" thickBot="1" x14ac:dyDescent="0.3">
      <c r="A345" s="326" t="s">
        <v>77</v>
      </c>
      <c r="B345" s="327"/>
      <c r="C345" s="327"/>
      <c r="D345" s="327"/>
      <c r="E345" s="327"/>
    </row>
    <row r="346" spans="1:5" ht="15.75" thickBot="1" x14ac:dyDescent="0.3">
      <c r="A346" s="326" t="s">
        <v>78</v>
      </c>
      <c r="B346" s="327" t="e">
        <f>B345/B344</f>
        <v>#DIV/0!</v>
      </c>
      <c r="C346" s="327" t="e">
        <f>C345/C344</f>
        <v>#DIV/0!</v>
      </c>
      <c r="D346" s="327" t="e">
        <f>D345/D344</f>
        <v>#DIV/0!</v>
      </c>
      <c r="E346" s="327" t="e">
        <f>E345/E344</f>
        <v>#DIV/0!</v>
      </c>
    </row>
    <row r="347" spans="1:5" ht="15.75" thickBot="1" x14ac:dyDescent="0.3">
      <c r="A347" s="326" t="s">
        <v>79</v>
      </c>
      <c r="B347" s="325" t="s">
        <v>80</v>
      </c>
      <c r="C347" s="324" t="e">
        <f t="shared" ref="C347:E349" si="11">C344/B344-1</f>
        <v>#DIV/0!</v>
      </c>
      <c r="D347" s="324" t="e">
        <f t="shared" si="11"/>
        <v>#DIV/0!</v>
      </c>
      <c r="E347" s="324" t="e">
        <f t="shared" si="11"/>
        <v>#DIV/0!</v>
      </c>
    </row>
    <row r="348" spans="1:5" ht="15.75" thickBot="1" x14ac:dyDescent="0.3">
      <c r="A348" s="326" t="s">
        <v>81</v>
      </c>
      <c r="B348" s="325" t="s">
        <v>80</v>
      </c>
      <c r="C348" s="324" t="e">
        <f t="shared" si="11"/>
        <v>#DIV/0!</v>
      </c>
      <c r="D348" s="324" t="e">
        <f t="shared" si="11"/>
        <v>#DIV/0!</v>
      </c>
      <c r="E348" s="324" t="e">
        <f t="shared" si="11"/>
        <v>#DIV/0!</v>
      </c>
    </row>
    <row r="349" spans="1:5" ht="15.75" thickBot="1" x14ac:dyDescent="0.3">
      <c r="A349" s="326" t="s">
        <v>82</v>
      </c>
      <c r="B349" s="325" t="s">
        <v>80</v>
      </c>
      <c r="C349" s="324" t="e">
        <f t="shared" si="11"/>
        <v>#DIV/0!</v>
      </c>
      <c r="D349" s="324" t="e">
        <f t="shared" si="11"/>
        <v>#DIV/0!</v>
      </c>
      <c r="E349" s="324" t="e">
        <f t="shared" si="11"/>
        <v>#DIV/0!</v>
      </c>
    </row>
    <row r="350" spans="1:5" ht="15.75" thickBot="1" x14ac:dyDescent="0.3">
      <c r="A350" s="951" t="s">
        <v>366</v>
      </c>
      <c r="B350" s="952"/>
      <c r="C350" s="952"/>
      <c r="D350" s="952"/>
      <c r="E350" s="953"/>
    </row>
    <row r="351" spans="1:5" x14ac:dyDescent="0.25">
      <c r="A351" s="830"/>
      <c r="B351" s="323">
        <v>2018</v>
      </c>
      <c r="C351" s="323">
        <v>2019</v>
      </c>
      <c r="D351" s="323">
        <v>2020</v>
      </c>
      <c r="E351" s="323">
        <v>2021</v>
      </c>
    </row>
    <row r="352" spans="1:5" ht="15.75" thickBot="1" x14ac:dyDescent="0.3">
      <c r="A352" s="831"/>
      <c r="B352" s="322" t="s">
        <v>41</v>
      </c>
      <c r="C352" s="322" t="s">
        <v>42</v>
      </c>
      <c r="D352" s="322" t="s">
        <v>42</v>
      </c>
      <c r="E352" s="322" t="s">
        <v>42</v>
      </c>
    </row>
    <row r="353" spans="1:5" ht="15.75" thickBot="1" x14ac:dyDescent="0.3">
      <c r="A353" s="316" t="s">
        <v>169</v>
      </c>
      <c r="B353" s="309"/>
      <c r="C353" s="309"/>
      <c r="D353" s="309"/>
      <c r="E353" s="309"/>
    </row>
    <row r="354" spans="1:5" ht="15.75" thickBot="1" x14ac:dyDescent="0.3">
      <c r="A354" s="316" t="s">
        <v>112</v>
      </c>
      <c r="B354" s="314"/>
      <c r="C354" s="309"/>
      <c r="D354" s="309"/>
      <c r="E354" s="309"/>
    </row>
    <row r="355" spans="1:5" ht="15.75" thickBot="1" x14ac:dyDescent="0.3">
      <c r="A355" s="321" t="s">
        <v>176</v>
      </c>
      <c r="B355" s="314">
        <f>B354+B353</f>
        <v>0</v>
      </c>
      <c r="C355" s="314">
        <f>C354+C353</f>
        <v>0</v>
      </c>
      <c r="D355" s="314">
        <f>D354+D353</f>
        <v>0</v>
      </c>
      <c r="E355" s="314">
        <f>E354+E353</f>
        <v>0</v>
      </c>
    </row>
    <row r="356" spans="1:5" ht="15.75" thickBot="1" x14ac:dyDescent="0.3">
      <c r="A356" s="832" t="s">
        <v>104</v>
      </c>
      <c r="B356" s="833"/>
      <c r="C356" s="833"/>
      <c r="D356" s="833"/>
      <c r="E356" s="834"/>
    </row>
    <row r="357" spans="1:5" ht="15.75" thickBot="1" x14ac:dyDescent="0.3">
      <c r="A357" s="832" t="s">
        <v>170</v>
      </c>
      <c r="B357" s="833"/>
      <c r="C357" s="833"/>
      <c r="D357" s="833"/>
      <c r="E357" s="834"/>
    </row>
    <row r="358" spans="1:5" ht="15.75" thickBot="1" x14ac:dyDescent="0.3">
      <c r="A358" s="326" t="s">
        <v>257</v>
      </c>
      <c r="B358" s="835" t="s">
        <v>107</v>
      </c>
      <c r="C358" s="836"/>
      <c r="D358" s="836"/>
      <c r="E358" s="837"/>
    </row>
    <row r="359" spans="1:5" ht="15.75" thickBot="1" x14ac:dyDescent="0.3">
      <c r="A359" s="328" t="s">
        <v>108</v>
      </c>
      <c r="B359" s="838" t="s">
        <v>364</v>
      </c>
      <c r="C359" s="839"/>
      <c r="D359" s="839"/>
      <c r="E359" s="840"/>
    </row>
    <row r="360" spans="1:5" ht="15.75" thickBot="1" x14ac:dyDescent="0.3">
      <c r="A360" s="326" t="s">
        <v>72</v>
      </c>
      <c r="B360" s="850" t="s">
        <v>364</v>
      </c>
      <c r="C360" s="851"/>
      <c r="D360" s="851"/>
      <c r="E360" s="852"/>
    </row>
    <row r="361" spans="1:5" ht="15.75" thickBot="1" x14ac:dyDescent="0.3">
      <c r="A361" s="326" t="s">
        <v>74</v>
      </c>
      <c r="B361" s="838" t="s">
        <v>364</v>
      </c>
      <c r="C361" s="839"/>
      <c r="D361" s="839"/>
      <c r="E361" s="840"/>
    </row>
    <row r="362" spans="1:5" x14ac:dyDescent="0.25">
      <c r="A362" s="830"/>
      <c r="B362" s="323">
        <v>2018</v>
      </c>
      <c r="C362" s="323">
        <v>2019</v>
      </c>
      <c r="D362" s="323">
        <v>2020</v>
      </c>
      <c r="E362" s="323">
        <v>2021</v>
      </c>
    </row>
    <row r="363" spans="1:5" ht="15.75" thickBot="1" x14ac:dyDescent="0.3">
      <c r="A363" s="831"/>
      <c r="B363" s="322" t="s">
        <v>41</v>
      </c>
      <c r="C363" s="322" t="s">
        <v>42</v>
      </c>
      <c r="D363" s="322" t="s">
        <v>42</v>
      </c>
      <c r="E363" s="322" t="s">
        <v>42</v>
      </c>
    </row>
    <row r="364" spans="1:5" ht="15.75" thickBot="1" x14ac:dyDescent="0.3">
      <c r="A364" s="326" t="s">
        <v>76</v>
      </c>
      <c r="B364" s="327"/>
      <c r="C364" s="327"/>
      <c r="D364" s="327"/>
      <c r="E364" s="327"/>
    </row>
    <row r="365" spans="1:5" ht="15.75" thickBot="1" x14ac:dyDescent="0.3">
      <c r="A365" s="326" t="s">
        <v>77</v>
      </c>
      <c r="B365" s="327"/>
      <c r="C365" s="327"/>
      <c r="D365" s="327"/>
      <c r="E365" s="327"/>
    </row>
    <row r="366" spans="1:5" ht="15.75" thickBot="1" x14ac:dyDescent="0.3">
      <c r="A366" s="326" t="s">
        <v>78</v>
      </c>
      <c r="B366" s="327" t="e">
        <f>B365/B364</f>
        <v>#DIV/0!</v>
      </c>
      <c r="C366" s="327" t="e">
        <f>C365/C364</f>
        <v>#DIV/0!</v>
      </c>
      <c r="D366" s="327" t="e">
        <f>D365/D364</f>
        <v>#DIV/0!</v>
      </c>
      <c r="E366" s="327" t="e">
        <f>E365/E364</f>
        <v>#DIV/0!</v>
      </c>
    </row>
    <row r="367" spans="1:5" ht="15.75" thickBot="1" x14ac:dyDescent="0.3">
      <c r="A367" s="326" t="s">
        <v>79</v>
      </c>
      <c r="B367" s="325" t="s">
        <v>80</v>
      </c>
      <c r="C367" s="324" t="e">
        <f t="shared" ref="C367:E369" si="12">C364/B364-1</f>
        <v>#DIV/0!</v>
      </c>
      <c r="D367" s="324" t="e">
        <f t="shared" si="12"/>
        <v>#DIV/0!</v>
      </c>
      <c r="E367" s="324" t="e">
        <f t="shared" si="12"/>
        <v>#DIV/0!</v>
      </c>
    </row>
    <row r="368" spans="1:5" ht="15.75" thickBot="1" x14ac:dyDescent="0.3">
      <c r="A368" s="326" t="s">
        <v>81</v>
      </c>
      <c r="B368" s="325" t="s">
        <v>80</v>
      </c>
      <c r="C368" s="324" t="e">
        <f t="shared" si="12"/>
        <v>#DIV/0!</v>
      </c>
      <c r="D368" s="324" t="e">
        <f t="shared" si="12"/>
        <v>#DIV/0!</v>
      </c>
      <c r="E368" s="324" t="e">
        <f t="shared" si="12"/>
        <v>#DIV/0!</v>
      </c>
    </row>
    <row r="369" spans="1:5" ht="15.75" thickBot="1" x14ac:dyDescent="0.3">
      <c r="A369" s="326" t="s">
        <v>82</v>
      </c>
      <c r="B369" s="325" t="s">
        <v>80</v>
      </c>
      <c r="C369" s="324" t="e">
        <f t="shared" si="12"/>
        <v>#DIV/0!</v>
      </c>
      <c r="D369" s="324" t="e">
        <f t="shared" si="12"/>
        <v>#DIV/0!</v>
      </c>
      <c r="E369" s="324" t="e">
        <f t="shared" si="12"/>
        <v>#DIV/0!</v>
      </c>
    </row>
    <row r="370" spans="1:5" ht="15.75" thickBot="1" x14ac:dyDescent="0.3">
      <c r="A370" s="951" t="s">
        <v>83</v>
      </c>
      <c r="B370" s="952"/>
      <c r="C370" s="952"/>
      <c r="D370" s="952"/>
      <c r="E370" s="953"/>
    </row>
    <row r="371" spans="1:5" x14ac:dyDescent="0.25">
      <c r="A371" s="830"/>
      <c r="B371" s="323">
        <v>2018</v>
      </c>
      <c r="C371" s="323">
        <v>2019</v>
      </c>
      <c r="D371" s="323">
        <v>2020</v>
      </c>
      <c r="E371" s="323">
        <v>2021</v>
      </c>
    </row>
    <row r="372" spans="1:5" ht="15.75" thickBot="1" x14ac:dyDescent="0.3">
      <c r="A372" s="831"/>
      <c r="B372" s="322" t="s">
        <v>41</v>
      </c>
      <c r="C372" s="322" t="s">
        <v>42</v>
      </c>
      <c r="D372" s="322" t="s">
        <v>42</v>
      </c>
      <c r="E372" s="322" t="s">
        <v>42</v>
      </c>
    </row>
    <row r="373" spans="1:5" ht="15.75" thickBot="1" x14ac:dyDescent="0.3">
      <c r="A373" s="316" t="s">
        <v>169</v>
      </c>
      <c r="B373" s="309"/>
      <c r="C373" s="309"/>
      <c r="D373" s="309"/>
      <c r="E373" s="309"/>
    </row>
    <row r="374" spans="1:5" ht="15.75" thickBot="1" x14ac:dyDescent="0.3">
      <c r="A374" s="316" t="s">
        <v>112</v>
      </c>
      <c r="B374" s="314"/>
      <c r="C374" s="309"/>
      <c r="D374" s="309"/>
      <c r="E374" s="309"/>
    </row>
    <row r="375" spans="1:5" ht="15.75" thickBot="1" x14ac:dyDescent="0.3">
      <c r="A375" s="321" t="s">
        <v>91</v>
      </c>
      <c r="B375" s="314">
        <f>B374+B373</f>
        <v>0</v>
      </c>
      <c r="C375" s="314">
        <f>C374+C373</f>
        <v>0</v>
      </c>
      <c r="D375" s="314">
        <f>D374+D373</f>
        <v>0</v>
      </c>
      <c r="E375" s="314">
        <f>E374+E373</f>
        <v>0</v>
      </c>
    </row>
    <row r="376" spans="1:5" ht="15.75" thickBot="1" x14ac:dyDescent="0.3">
      <c r="A376" s="333" t="s">
        <v>257</v>
      </c>
      <c r="B376" s="835" t="s">
        <v>107</v>
      </c>
      <c r="C376" s="836"/>
      <c r="D376" s="836"/>
      <c r="E376" s="837"/>
    </row>
    <row r="377" spans="1:5" ht="23.25" thickBot="1" x14ac:dyDescent="0.3">
      <c r="A377" s="328" t="s">
        <v>365</v>
      </c>
      <c r="B377" s="838" t="s">
        <v>364</v>
      </c>
      <c r="C377" s="839"/>
      <c r="D377" s="839"/>
      <c r="E377" s="840"/>
    </row>
    <row r="378" spans="1:5" ht="15.75" thickBot="1" x14ac:dyDescent="0.3">
      <c r="A378" s="326" t="s">
        <v>72</v>
      </c>
      <c r="B378" s="850" t="s">
        <v>364</v>
      </c>
      <c r="C378" s="851"/>
      <c r="D378" s="851"/>
      <c r="E378" s="852"/>
    </row>
    <row r="379" spans="1:5" ht="15.75" thickBot="1" x14ac:dyDescent="0.3">
      <c r="A379" s="326" t="s">
        <v>74</v>
      </c>
      <c r="B379" s="838" t="s">
        <v>364</v>
      </c>
      <c r="C379" s="839"/>
      <c r="D379" s="839"/>
      <c r="E379" s="840"/>
    </row>
    <row r="380" spans="1:5" x14ac:dyDescent="0.25">
      <c r="A380" s="830"/>
      <c r="B380" s="323">
        <v>2018</v>
      </c>
      <c r="C380" s="323">
        <v>2019</v>
      </c>
      <c r="D380" s="323">
        <v>2020</v>
      </c>
      <c r="E380" s="323">
        <v>2021</v>
      </c>
    </row>
    <row r="381" spans="1:5" ht="15.75" thickBot="1" x14ac:dyDescent="0.3">
      <c r="A381" s="831"/>
      <c r="B381" s="322" t="s">
        <v>41</v>
      </c>
      <c r="C381" s="322" t="s">
        <v>42</v>
      </c>
      <c r="D381" s="322" t="s">
        <v>42</v>
      </c>
      <c r="E381" s="322" t="s">
        <v>42</v>
      </c>
    </row>
    <row r="382" spans="1:5" ht="15.75" thickBot="1" x14ac:dyDescent="0.3">
      <c r="A382" s="326" t="s">
        <v>76</v>
      </c>
      <c r="B382" s="327"/>
      <c r="C382" s="327"/>
      <c r="D382" s="327"/>
      <c r="E382" s="327"/>
    </row>
    <row r="383" spans="1:5" ht="15.75" thickBot="1" x14ac:dyDescent="0.3">
      <c r="A383" s="326" t="s">
        <v>77</v>
      </c>
      <c r="B383" s="327"/>
      <c r="C383" s="327"/>
      <c r="D383" s="327"/>
      <c r="E383" s="327"/>
    </row>
    <row r="384" spans="1:5" ht="15.75" thickBot="1" x14ac:dyDescent="0.3">
      <c r="A384" s="326" t="s">
        <v>78</v>
      </c>
      <c r="B384" s="327" t="e">
        <f>B383/B382</f>
        <v>#DIV/0!</v>
      </c>
      <c r="C384" s="327" t="e">
        <f>C383/C382</f>
        <v>#DIV/0!</v>
      </c>
      <c r="D384" s="327" t="e">
        <f>D383/D382</f>
        <v>#DIV/0!</v>
      </c>
      <c r="E384" s="327" t="e">
        <f>E383/E382</f>
        <v>#DIV/0!</v>
      </c>
    </row>
    <row r="385" spans="1:5" ht="15.75" thickBot="1" x14ac:dyDescent="0.3">
      <c r="A385" s="326" t="s">
        <v>79</v>
      </c>
      <c r="B385" s="325" t="s">
        <v>80</v>
      </c>
      <c r="C385" s="324" t="e">
        <f t="shared" ref="C385:E387" si="13">C382/B382-1</f>
        <v>#DIV/0!</v>
      </c>
      <c r="D385" s="324" t="e">
        <f t="shared" si="13"/>
        <v>#DIV/0!</v>
      </c>
      <c r="E385" s="324" t="e">
        <f t="shared" si="13"/>
        <v>#DIV/0!</v>
      </c>
    </row>
    <row r="386" spans="1:5" ht="15.75" thickBot="1" x14ac:dyDescent="0.3">
      <c r="A386" s="326" t="s">
        <v>81</v>
      </c>
      <c r="B386" s="325" t="s">
        <v>80</v>
      </c>
      <c r="C386" s="324" t="e">
        <f t="shared" si="13"/>
        <v>#DIV/0!</v>
      </c>
      <c r="D386" s="324" t="e">
        <f t="shared" si="13"/>
        <v>#DIV/0!</v>
      </c>
      <c r="E386" s="324" t="e">
        <f t="shared" si="13"/>
        <v>#DIV/0!</v>
      </c>
    </row>
    <row r="387" spans="1:5" ht="15.75" thickBot="1" x14ac:dyDescent="0.3">
      <c r="A387" s="326" t="s">
        <v>82</v>
      </c>
      <c r="B387" s="325" t="s">
        <v>80</v>
      </c>
      <c r="C387" s="324" t="e">
        <f t="shared" si="13"/>
        <v>#DIV/0!</v>
      </c>
      <c r="D387" s="324" t="e">
        <f t="shared" si="13"/>
        <v>#DIV/0!</v>
      </c>
      <c r="E387" s="324" t="e">
        <f t="shared" si="13"/>
        <v>#DIV/0!</v>
      </c>
    </row>
    <row r="388" spans="1:5" ht="15.75" thickBot="1" x14ac:dyDescent="0.3">
      <c r="A388" s="951" t="s">
        <v>366</v>
      </c>
      <c r="B388" s="952"/>
      <c r="C388" s="952"/>
      <c r="D388" s="952"/>
      <c r="E388" s="953"/>
    </row>
    <row r="389" spans="1:5" x14ac:dyDescent="0.25">
      <c r="A389" s="830"/>
      <c r="B389" s="323">
        <v>2018</v>
      </c>
      <c r="C389" s="323">
        <v>2019</v>
      </c>
      <c r="D389" s="323">
        <v>2020</v>
      </c>
      <c r="E389" s="323">
        <v>2021</v>
      </c>
    </row>
    <row r="390" spans="1:5" ht="15.75" thickBot="1" x14ac:dyDescent="0.3">
      <c r="A390" s="831"/>
      <c r="B390" s="322" t="s">
        <v>41</v>
      </c>
      <c r="C390" s="322" t="s">
        <v>42</v>
      </c>
      <c r="D390" s="322" t="s">
        <v>42</v>
      </c>
      <c r="E390" s="322" t="s">
        <v>42</v>
      </c>
    </row>
    <row r="391" spans="1:5" ht="15.75" thickBot="1" x14ac:dyDescent="0.3">
      <c r="A391" s="316" t="s">
        <v>169</v>
      </c>
      <c r="B391" s="309"/>
      <c r="C391" s="309"/>
      <c r="D391" s="309"/>
      <c r="E391" s="309"/>
    </row>
    <row r="392" spans="1:5" ht="15.75" thickBot="1" x14ac:dyDescent="0.3">
      <c r="A392" s="316" t="s">
        <v>112</v>
      </c>
      <c r="B392" s="314"/>
      <c r="C392" s="309"/>
      <c r="D392" s="309"/>
      <c r="E392" s="309"/>
    </row>
    <row r="393" spans="1:5" ht="15.75" thickBot="1" x14ac:dyDescent="0.3">
      <c r="A393" s="321" t="s">
        <v>176</v>
      </c>
      <c r="B393" s="314">
        <f>B392+B391</f>
        <v>0</v>
      </c>
      <c r="C393" s="314">
        <f>C392+C391</f>
        <v>0</v>
      </c>
      <c r="D393" s="314">
        <f>D392+D391</f>
        <v>0</v>
      </c>
      <c r="E393" s="314">
        <f>E392+E391</f>
        <v>0</v>
      </c>
    </row>
    <row r="394" spans="1:5" ht="24.75" thickBot="1" x14ac:dyDescent="0.3">
      <c r="A394" s="332" t="s">
        <v>181</v>
      </c>
      <c r="B394" s="969" t="s">
        <v>367</v>
      </c>
      <c r="C394" s="970"/>
      <c r="D394" s="970"/>
      <c r="E394" s="971"/>
    </row>
    <row r="395" spans="1:5" ht="15.75" thickBot="1" x14ac:dyDescent="0.3">
      <c r="A395" s="850" t="s">
        <v>368</v>
      </c>
      <c r="B395" s="851"/>
      <c r="C395" s="851"/>
      <c r="D395" s="851"/>
      <c r="E395" s="852"/>
    </row>
    <row r="396" spans="1:5" ht="23.25" thickBot="1" x14ac:dyDescent="0.3">
      <c r="A396" s="330" t="s">
        <v>369</v>
      </c>
      <c r="B396" s="347">
        <v>10</v>
      </c>
      <c r="C396" s="347">
        <v>10</v>
      </c>
      <c r="D396" s="347">
        <v>10</v>
      </c>
      <c r="E396" s="347">
        <v>10</v>
      </c>
    </row>
    <row r="397" spans="1:5" ht="15.75" thickBot="1" x14ac:dyDescent="0.3">
      <c r="A397" s="326" t="s">
        <v>370</v>
      </c>
      <c r="B397" s="331" t="s">
        <v>60</v>
      </c>
      <c r="C397" s="331" t="s">
        <v>61</v>
      </c>
      <c r="D397" s="331" t="s">
        <v>61</v>
      </c>
      <c r="E397" s="331" t="s">
        <v>61</v>
      </c>
    </row>
    <row r="398" spans="1:5" ht="23.25" thickBot="1" x14ac:dyDescent="0.3">
      <c r="A398" s="326" t="s">
        <v>343</v>
      </c>
      <c r="B398" s="331" t="s">
        <v>60</v>
      </c>
      <c r="C398" s="331" t="s">
        <v>61</v>
      </c>
      <c r="D398" s="331" t="s">
        <v>61</v>
      </c>
      <c r="E398" s="331" t="s">
        <v>61</v>
      </c>
    </row>
    <row r="399" spans="1:5" ht="15.75" thickBot="1" x14ac:dyDescent="0.3">
      <c r="A399" s="951" t="s">
        <v>196</v>
      </c>
      <c r="B399" s="952"/>
      <c r="C399" s="952"/>
      <c r="D399" s="952"/>
      <c r="E399" s="953"/>
    </row>
    <row r="400" spans="1:5" ht="15.75" thickBot="1" x14ac:dyDescent="0.3">
      <c r="A400" s="978" t="s">
        <v>114</v>
      </c>
      <c r="B400" s="979"/>
      <c r="C400" s="979"/>
      <c r="D400" s="979"/>
      <c r="E400" s="980"/>
    </row>
    <row r="401" spans="1:5" x14ac:dyDescent="0.25">
      <c r="A401" s="830"/>
      <c r="B401" s="323">
        <v>2018</v>
      </c>
      <c r="C401" s="323">
        <v>2019</v>
      </c>
      <c r="D401" s="323">
        <v>2020</v>
      </c>
      <c r="E401" s="323">
        <v>2021</v>
      </c>
    </row>
    <row r="402" spans="1:5" ht="15.75" thickBot="1" x14ac:dyDescent="0.3">
      <c r="A402" s="831"/>
      <c r="B402" s="322" t="s">
        <v>41</v>
      </c>
      <c r="C402" s="322" t="s">
        <v>42</v>
      </c>
      <c r="D402" s="322" t="s">
        <v>42</v>
      </c>
      <c r="E402" s="322" t="s">
        <v>42</v>
      </c>
    </row>
    <row r="403" spans="1:5" ht="15.75" thickBot="1" x14ac:dyDescent="0.3">
      <c r="A403" s="328" t="s">
        <v>108</v>
      </c>
      <c r="B403" s="850" t="s">
        <v>371</v>
      </c>
      <c r="C403" s="851"/>
      <c r="D403" s="851"/>
      <c r="E403" s="852"/>
    </row>
    <row r="404" spans="1:5" ht="15.75" thickBot="1" x14ac:dyDescent="0.3">
      <c r="A404" s="326" t="s">
        <v>72</v>
      </c>
      <c r="B404" s="850" t="s">
        <v>372</v>
      </c>
      <c r="C404" s="851"/>
      <c r="D404" s="851"/>
      <c r="E404" s="852"/>
    </row>
    <row r="405" spans="1:5" ht="15.75" thickBot="1" x14ac:dyDescent="0.3">
      <c r="A405" s="326" t="s">
        <v>74</v>
      </c>
      <c r="B405" s="838" t="s">
        <v>373</v>
      </c>
      <c r="C405" s="839"/>
      <c r="D405" s="839"/>
      <c r="E405" s="840"/>
    </row>
    <row r="406" spans="1:5" x14ac:dyDescent="0.25">
      <c r="A406" s="830"/>
      <c r="B406" s="323">
        <v>2018</v>
      </c>
      <c r="C406" s="323">
        <v>2019</v>
      </c>
      <c r="D406" s="323">
        <v>2020</v>
      </c>
      <c r="E406" s="323">
        <v>2021</v>
      </c>
    </row>
    <row r="407" spans="1:5" ht="15.75" thickBot="1" x14ac:dyDescent="0.3">
      <c r="A407" s="831"/>
      <c r="B407" s="322" t="s">
        <v>41</v>
      </c>
      <c r="C407" s="322" t="s">
        <v>42</v>
      </c>
      <c r="D407" s="322" t="s">
        <v>42</v>
      </c>
      <c r="E407" s="322" t="s">
        <v>42</v>
      </c>
    </row>
    <row r="408" spans="1:5" ht="15.75" thickBot="1" x14ac:dyDescent="0.3">
      <c r="A408" s="326" t="s">
        <v>76</v>
      </c>
      <c r="B408" s="327">
        <v>10</v>
      </c>
      <c r="C408" s="327">
        <v>10</v>
      </c>
      <c r="D408" s="327">
        <v>10</v>
      </c>
      <c r="E408" s="327">
        <v>10</v>
      </c>
    </row>
    <row r="409" spans="1:5" ht="15.75" thickBot="1" x14ac:dyDescent="0.3">
      <c r="A409" s="326" t="s">
        <v>77</v>
      </c>
      <c r="B409" s="327">
        <v>1558</v>
      </c>
      <c r="C409" s="327">
        <v>1558</v>
      </c>
      <c r="D409" s="327">
        <v>1558</v>
      </c>
      <c r="E409" s="327">
        <v>1558</v>
      </c>
    </row>
    <row r="410" spans="1:5" ht="15.75" thickBot="1" x14ac:dyDescent="0.3">
      <c r="A410" s="326" t="s">
        <v>78</v>
      </c>
      <c r="B410" s="327">
        <f>B409/B408</f>
        <v>155.80000000000001</v>
      </c>
      <c r="C410" s="327">
        <f>C409/C408</f>
        <v>155.80000000000001</v>
      </c>
      <c r="D410" s="327">
        <f>D409/D408</f>
        <v>155.80000000000001</v>
      </c>
      <c r="E410" s="327">
        <f>E409/E408</f>
        <v>155.80000000000001</v>
      </c>
    </row>
    <row r="411" spans="1:5" ht="15.75" thickBot="1" x14ac:dyDescent="0.3">
      <c r="A411" s="326" t="s">
        <v>79</v>
      </c>
      <c r="B411" s="325"/>
      <c r="C411" s="325"/>
      <c r="D411" s="325"/>
      <c r="E411" s="325"/>
    </row>
    <row r="412" spans="1:5" ht="15.75" thickBot="1" x14ac:dyDescent="0.3">
      <c r="A412" s="326" t="s">
        <v>81</v>
      </c>
      <c r="B412" s="325"/>
      <c r="C412" s="325"/>
      <c r="D412" s="325"/>
      <c r="E412" s="325"/>
    </row>
    <row r="413" spans="1:5" ht="15.75" thickBot="1" x14ac:dyDescent="0.3">
      <c r="A413" s="326" t="s">
        <v>82</v>
      </c>
      <c r="B413" s="325"/>
      <c r="C413" s="324">
        <f>C410/B410-1</f>
        <v>0</v>
      </c>
      <c r="D413" s="324">
        <f>D410/C410-1</f>
        <v>0</v>
      </c>
      <c r="E413" s="324">
        <f>E410/D410-1</f>
        <v>0</v>
      </c>
    </row>
    <row r="414" spans="1:5" x14ac:dyDescent="0.25">
      <c r="A414" s="830"/>
      <c r="B414" s="323">
        <v>2018</v>
      </c>
      <c r="C414" s="323">
        <v>2019</v>
      </c>
      <c r="D414" s="323">
        <v>2020</v>
      </c>
      <c r="E414" s="323">
        <v>2021</v>
      </c>
    </row>
    <row r="415" spans="1:5" ht="15.75" thickBot="1" x14ac:dyDescent="0.3">
      <c r="A415" s="831"/>
      <c r="B415" s="322" t="s">
        <v>41</v>
      </c>
      <c r="C415" s="322" t="s">
        <v>42</v>
      </c>
      <c r="D415" s="322" t="s">
        <v>42</v>
      </c>
      <c r="E415" s="322" t="s">
        <v>42</v>
      </c>
    </row>
    <row r="416" spans="1:5" ht="15.75" thickBot="1" x14ac:dyDescent="0.3">
      <c r="A416" s="951" t="s">
        <v>374</v>
      </c>
      <c r="B416" s="952"/>
      <c r="C416" s="952"/>
      <c r="D416" s="952"/>
      <c r="E416" s="953"/>
    </row>
    <row r="417" spans="1:5" x14ac:dyDescent="0.25">
      <c r="A417" s="830"/>
      <c r="B417" s="323">
        <v>2018</v>
      </c>
      <c r="C417" s="323">
        <v>2019</v>
      </c>
      <c r="D417" s="323">
        <v>2020</v>
      </c>
      <c r="E417" s="323">
        <v>2021</v>
      </c>
    </row>
    <row r="418" spans="1:5" ht="15.75" thickBot="1" x14ac:dyDescent="0.3">
      <c r="A418" s="831"/>
      <c r="B418" s="322" t="s">
        <v>41</v>
      </c>
      <c r="C418" s="322" t="s">
        <v>42</v>
      </c>
      <c r="D418" s="322" t="s">
        <v>42</v>
      </c>
      <c r="E418" s="322" t="s">
        <v>42</v>
      </c>
    </row>
    <row r="419" spans="1:5" ht="15.75" thickBot="1" x14ac:dyDescent="0.3">
      <c r="A419" s="316" t="s">
        <v>84</v>
      </c>
      <c r="B419" s="309">
        <v>1044</v>
      </c>
      <c r="C419" s="309">
        <v>1044</v>
      </c>
      <c r="D419" s="309">
        <v>1044</v>
      </c>
      <c r="E419" s="309">
        <v>1044</v>
      </c>
    </row>
    <row r="420" spans="1:5" ht="24.75" thickBot="1" x14ac:dyDescent="0.3">
      <c r="A420" s="316" t="s">
        <v>85</v>
      </c>
      <c r="B420" s="309">
        <v>174</v>
      </c>
      <c r="C420" s="309">
        <v>174</v>
      </c>
      <c r="D420" s="309">
        <v>174</v>
      </c>
      <c r="E420" s="309">
        <v>174</v>
      </c>
    </row>
    <row r="421" spans="1:5" ht="15.75" thickBot="1" x14ac:dyDescent="0.3">
      <c r="A421" s="316" t="s">
        <v>86</v>
      </c>
      <c r="B421" s="314">
        <v>340</v>
      </c>
      <c r="C421" s="314">
        <v>340</v>
      </c>
      <c r="D421" s="314">
        <v>340</v>
      </c>
      <c r="E421" s="314">
        <v>340</v>
      </c>
    </row>
    <row r="422" spans="1:5" ht="15.75" thickBot="1" x14ac:dyDescent="0.3">
      <c r="A422" s="316" t="s">
        <v>87</v>
      </c>
      <c r="B422" s="314"/>
      <c r="C422" s="309"/>
      <c r="D422" s="309"/>
      <c r="E422" s="309"/>
    </row>
    <row r="423" spans="1:5" ht="15.75" thickBot="1" x14ac:dyDescent="0.3">
      <c r="A423" s="316" t="s">
        <v>88</v>
      </c>
      <c r="B423" s="314"/>
      <c r="C423" s="309"/>
      <c r="D423" s="309"/>
      <c r="E423" s="309"/>
    </row>
    <row r="424" spans="1:5" ht="15.75" thickBot="1" x14ac:dyDescent="0.3">
      <c r="A424" s="316" t="s">
        <v>89</v>
      </c>
      <c r="B424" s="314"/>
      <c r="C424" s="309"/>
      <c r="D424" s="309"/>
      <c r="E424" s="309"/>
    </row>
    <row r="425" spans="1:5" ht="24.75" thickBot="1" x14ac:dyDescent="0.3">
      <c r="A425" s="316" t="s">
        <v>90</v>
      </c>
      <c r="B425" s="314"/>
      <c r="C425" s="309"/>
      <c r="D425" s="309"/>
      <c r="E425" s="309"/>
    </row>
    <row r="426" spans="1:5" ht="24.75" thickBot="1" x14ac:dyDescent="0.3">
      <c r="A426" s="329" t="s">
        <v>120</v>
      </c>
      <c r="B426" s="311">
        <f>B425+B424+B423+B422+B421+B420+B419</f>
        <v>1558</v>
      </c>
      <c r="C426" s="311">
        <f>C425+C424+C423+C422+C421+C420+C419</f>
        <v>1558</v>
      </c>
      <c r="D426" s="311">
        <f>D425+D424+D423+D422+D421+D420+D419</f>
        <v>1558</v>
      </c>
      <c r="E426" s="311">
        <f>E425+E424+E423+E422+E421+E420+E419</f>
        <v>1558</v>
      </c>
    </row>
    <row r="427" spans="1:5" ht="15.75" thickBot="1" x14ac:dyDescent="0.3">
      <c r="A427" s="312" t="s">
        <v>92</v>
      </c>
      <c r="B427" s="311">
        <f>IF(B426-B409=0,0,"Error")</f>
        <v>0</v>
      </c>
      <c r="C427" s="311">
        <f>IF(C426-C409=0,0,"Error")</f>
        <v>0</v>
      </c>
      <c r="D427" s="311">
        <f>IF(D426-D409=0,0,"Error")</f>
        <v>0</v>
      </c>
      <c r="E427" s="311">
        <f>IF(E426-E409=0,0,"Error")</f>
        <v>0</v>
      </c>
    </row>
    <row r="428" spans="1:5" ht="66.75" customHeight="1" thickBot="1" x14ac:dyDescent="0.3">
      <c r="A428" s="128" t="s">
        <v>38</v>
      </c>
      <c r="B428" s="981" t="s">
        <v>674</v>
      </c>
      <c r="C428" s="982"/>
      <c r="D428" s="982"/>
      <c r="E428" s="983"/>
    </row>
    <row r="429" spans="1:5" x14ac:dyDescent="0.25">
      <c r="A429" s="825" t="s">
        <v>138</v>
      </c>
      <c r="B429" s="346">
        <v>2018</v>
      </c>
      <c r="C429" s="346">
        <v>2019</v>
      </c>
      <c r="D429" s="346">
        <v>2020</v>
      </c>
      <c r="E429" s="346">
        <v>2021</v>
      </c>
    </row>
    <row r="430" spans="1:5" ht="15.75" thickBot="1" x14ac:dyDescent="0.3">
      <c r="A430" s="826"/>
      <c r="B430" s="345" t="s">
        <v>41</v>
      </c>
      <c r="C430" s="345" t="s">
        <v>42</v>
      </c>
      <c r="D430" s="345" t="s">
        <v>42</v>
      </c>
      <c r="E430" s="345" t="s">
        <v>42</v>
      </c>
    </row>
    <row r="431" spans="1:5" ht="34.5" thickBot="1" x14ac:dyDescent="0.3">
      <c r="A431" s="344" t="s">
        <v>428</v>
      </c>
      <c r="B431" s="343">
        <v>225072.4</v>
      </c>
      <c r="C431" s="343">
        <v>195000</v>
      </c>
      <c r="D431" s="343">
        <v>194999.97</v>
      </c>
      <c r="E431" s="343">
        <v>198660.3591</v>
      </c>
    </row>
    <row r="432" spans="1:5" ht="23.25" thickBot="1" x14ac:dyDescent="0.3">
      <c r="A432" s="342" t="s">
        <v>342</v>
      </c>
      <c r="B432" s="341">
        <v>1</v>
      </c>
      <c r="C432" s="341">
        <f>B432*C431/B431</f>
        <v>0.86638788229920682</v>
      </c>
      <c r="D432" s="341">
        <f>C432*D431/C431</f>
        <v>0.86638774900876347</v>
      </c>
      <c r="E432" s="341">
        <f>D432*E431/D431</f>
        <v>0.88265091188435374</v>
      </c>
    </row>
    <row r="433" spans="1:5" ht="23.25" thickBot="1" x14ac:dyDescent="0.3">
      <c r="A433" s="340" t="s">
        <v>343</v>
      </c>
      <c r="B433" s="337" t="s">
        <v>60</v>
      </c>
      <c r="C433" s="337" t="s">
        <v>61</v>
      </c>
      <c r="D433" s="337" t="s">
        <v>61</v>
      </c>
      <c r="E433" s="337" t="s">
        <v>61</v>
      </c>
    </row>
    <row r="434" spans="1:5" ht="24.75" thickBot="1" x14ac:dyDescent="0.3">
      <c r="A434" s="339" t="s">
        <v>45</v>
      </c>
      <c r="B434" s="844" t="s">
        <v>429</v>
      </c>
      <c r="C434" s="845"/>
      <c r="D434" s="845"/>
      <c r="E434" s="846"/>
    </row>
    <row r="435" spans="1:5" ht="15.75" thickBot="1" x14ac:dyDescent="0.3">
      <c r="A435" s="984" t="s">
        <v>153</v>
      </c>
      <c r="B435" s="985"/>
      <c r="C435" s="985"/>
      <c r="D435" s="985"/>
      <c r="E435" s="986"/>
    </row>
    <row r="436" spans="1:5" ht="34.5" customHeight="1" thickBot="1" x14ac:dyDescent="0.3">
      <c r="A436" s="338" t="s">
        <v>430</v>
      </c>
      <c r="B436" s="337">
        <v>0.03</v>
      </c>
      <c r="C436" s="337">
        <v>0.04</v>
      </c>
      <c r="D436" s="337">
        <v>3.5999999999999997E-2</v>
      </c>
      <c r="E436" s="337">
        <v>1.7000000000000001E-2</v>
      </c>
    </row>
    <row r="437" spans="1:5" ht="43.5" customHeight="1" thickBot="1" x14ac:dyDescent="0.3">
      <c r="A437" s="338" t="s">
        <v>431</v>
      </c>
      <c r="B437" s="337">
        <v>0.01</v>
      </c>
      <c r="C437" s="337">
        <v>0.01</v>
      </c>
      <c r="D437" s="337">
        <v>0.01</v>
      </c>
      <c r="E437" s="337">
        <v>0.02</v>
      </c>
    </row>
    <row r="438" spans="1:5" ht="15.75" thickBot="1" x14ac:dyDescent="0.3">
      <c r="A438" s="948" t="s">
        <v>68</v>
      </c>
      <c r="B438" s="949"/>
      <c r="C438" s="949"/>
      <c r="D438" s="949"/>
      <c r="E438" s="950"/>
    </row>
    <row r="439" spans="1:5" ht="15.75" thickBot="1" x14ac:dyDescent="0.3">
      <c r="A439" s="832" t="s">
        <v>69</v>
      </c>
      <c r="B439" s="833"/>
      <c r="C439" s="833"/>
      <c r="D439" s="833"/>
      <c r="E439" s="834"/>
    </row>
    <row r="440" spans="1:5" ht="15.75" thickBot="1" x14ac:dyDescent="0.3">
      <c r="A440" s="328" t="s">
        <v>70</v>
      </c>
      <c r="B440" s="972" t="s">
        <v>432</v>
      </c>
      <c r="C440" s="973"/>
      <c r="D440" s="973"/>
      <c r="E440" s="974"/>
    </row>
    <row r="441" spans="1:5" ht="15.75" thickBot="1" x14ac:dyDescent="0.3">
      <c r="A441" s="326" t="s">
        <v>72</v>
      </c>
      <c r="B441" s="975" t="s">
        <v>433</v>
      </c>
      <c r="C441" s="976"/>
      <c r="D441" s="976"/>
      <c r="E441" s="977"/>
    </row>
    <row r="442" spans="1:5" ht="15.75" thickBot="1" x14ac:dyDescent="0.3">
      <c r="A442" s="326" t="s">
        <v>74</v>
      </c>
      <c r="B442" s="972" t="s">
        <v>261</v>
      </c>
      <c r="C442" s="973"/>
      <c r="D442" s="973"/>
      <c r="E442" s="974"/>
    </row>
    <row r="443" spans="1:5" x14ac:dyDescent="0.25">
      <c r="A443" s="830"/>
      <c r="B443" s="323">
        <v>2018</v>
      </c>
      <c r="C443" s="323">
        <v>2019</v>
      </c>
      <c r="D443" s="323">
        <v>2020</v>
      </c>
      <c r="E443" s="323">
        <v>2021</v>
      </c>
    </row>
    <row r="444" spans="1:5" ht="15.75" thickBot="1" x14ac:dyDescent="0.3">
      <c r="A444" s="831"/>
      <c r="B444" s="322" t="s">
        <v>41</v>
      </c>
      <c r="C444" s="322" t="s">
        <v>42</v>
      </c>
      <c r="D444" s="322" t="s">
        <v>42</v>
      </c>
      <c r="E444" s="322" t="s">
        <v>42</v>
      </c>
    </row>
    <row r="445" spans="1:5" ht="15.75" thickBot="1" x14ac:dyDescent="0.3">
      <c r="A445" s="326" t="s">
        <v>76</v>
      </c>
      <c r="B445" s="327">
        <v>270000</v>
      </c>
      <c r="C445" s="327">
        <v>280000</v>
      </c>
      <c r="D445" s="327">
        <v>290000</v>
      </c>
      <c r="E445" s="327">
        <v>295000</v>
      </c>
    </row>
    <row r="446" spans="1:5" ht="15.75" thickBot="1" x14ac:dyDescent="0.3">
      <c r="A446" s="326" t="s">
        <v>77</v>
      </c>
      <c r="B446" s="327">
        <f>B454+B455+B456+B457+B458+B459+B460</f>
        <v>0</v>
      </c>
      <c r="C446" s="327">
        <f>C454+C455+C456+C457+C458+C459+C460</f>
        <v>178299</v>
      </c>
      <c r="D446" s="327">
        <f>D454+D455+D456+D457+D458+D459+D460</f>
        <v>178112.97</v>
      </c>
      <c r="E446" s="327">
        <f>E454+E455+E456+E457+E458+E459+E460</f>
        <v>181581.3591</v>
      </c>
    </row>
    <row r="447" spans="1:5" ht="15.75" thickBot="1" x14ac:dyDescent="0.3">
      <c r="A447" s="326" t="s">
        <v>78</v>
      </c>
      <c r="B447" s="336">
        <f>B446/B445</f>
        <v>0</v>
      </c>
      <c r="C447" s="336">
        <f>C446/C445</f>
        <v>0.63678214285714285</v>
      </c>
      <c r="D447" s="336">
        <f>D446/D445</f>
        <v>0.61418265517241377</v>
      </c>
      <c r="E447" s="336">
        <f>E446/E445</f>
        <v>0.61553003084745761</v>
      </c>
    </row>
    <row r="448" spans="1:5" ht="15.75" thickBot="1" x14ac:dyDescent="0.3">
      <c r="A448" s="326" t="s">
        <v>79</v>
      </c>
      <c r="B448" s="325" t="s">
        <v>80</v>
      </c>
      <c r="C448" s="324">
        <f t="shared" ref="C448:E450" si="14">C445/B445-1</f>
        <v>3.7037037037036979E-2</v>
      </c>
      <c r="D448" s="324">
        <f t="shared" si="14"/>
        <v>3.5714285714285809E-2</v>
      </c>
      <c r="E448" s="324">
        <f t="shared" si="14"/>
        <v>1.7241379310344751E-2</v>
      </c>
    </row>
    <row r="449" spans="1:5" ht="15.75" thickBot="1" x14ac:dyDescent="0.3">
      <c r="A449" s="326" t="s">
        <v>81</v>
      </c>
      <c r="B449" s="325" t="s">
        <v>80</v>
      </c>
      <c r="C449" s="324" t="e">
        <f t="shared" si="14"/>
        <v>#DIV/0!</v>
      </c>
      <c r="D449" s="324">
        <f t="shared" si="14"/>
        <v>-1.0433597496339875E-3</v>
      </c>
      <c r="E449" s="324">
        <f t="shared" si="14"/>
        <v>1.9472973248382708E-2</v>
      </c>
    </row>
    <row r="450" spans="1:5" ht="15.75" thickBot="1" x14ac:dyDescent="0.3">
      <c r="A450" s="326" t="s">
        <v>82</v>
      </c>
      <c r="B450" s="325" t="s">
        <v>80</v>
      </c>
      <c r="C450" s="324" t="e">
        <f t="shared" si="14"/>
        <v>#DIV/0!</v>
      </c>
      <c r="D450" s="324">
        <f t="shared" si="14"/>
        <v>-3.5490140447922536E-2</v>
      </c>
      <c r="E450" s="324">
        <f t="shared" si="14"/>
        <v>2.1937703119694341E-3</v>
      </c>
    </row>
    <row r="451" spans="1:5" ht="15.75" thickBot="1" x14ac:dyDescent="0.3">
      <c r="A451" s="951" t="s">
        <v>83</v>
      </c>
      <c r="B451" s="952"/>
      <c r="C451" s="952"/>
      <c r="D451" s="952"/>
      <c r="E451" s="953"/>
    </row>
    <row r="452" spans="1:5" x14ac:dyDescent="0.25">
      <c r="A452" s="830"/>
      <c r="B452" s="323">
        <v>2018</v>
      </c>
      <c r="C452" s="323">
        <v>2019</v>
      </c>
      <c r="D452" s="323">
        <v>2020</v>
      </c>
      <c r="E452" s="323">
        <v>2021</v>
      </c>
    </row>
    <row r="453" spans="1:5" ht="15.75" thickBot="1" x14ac:dyDescent="0.3">
      <c r="A453" s="831"/>
      <c r="B453" s="322" t="s">
        <v>41</v>
      </c>
      <c r="C453" s="322" t="s">
        <v>42</v>
      </c>
      <c r="D453" s="322" t="s">
        <v>42</v>
      </c>
      <c r="E453" s="322" t="s">
        <v>42</v>
      </c>
    </row>
    <row r="454" spans="1:5" ht="15.75" thickBot="1" x14ac:dyDescent="0.3">
      <c r="A454" s="316" t="s">
        <v>84</v>
      </c>
      <c r="B454" s="309">
        <f>'[1]Formati 2 Politika Ekzistuese'!D454</f>
        <v>0</v>
      </c>
      <c r="C454" s="309">
        <v>53500</v>
      </c>
      <c r="D454" s="309">
        <v>53500</v>
      </c>
      <c r="E454" s="309">
        <v>53500</v>
      </c>
    </row>
    <row r="455" spans="1:5" ht="24.75" thickBot="1" x14ac:dyDescent="0.3">
      <c r="A455" s="316" t="s">
        <v>85</v>
      </c>
      <c r="B455" s="309">
        <f>'[1]Formati 2 Politika Ekzistuese'!D457</f>
        <v>0</v>
      </c>
      <c r="C455" s="309">
        <v>9000</v>
      </c>
      <c r="D455" s="309">
        <v>9000</v>
      </c>
      <c r="E455" s="309">
        <v>9000</v>
      </c>
    </row>
    <row r="456" spans="1:5" ht="15.75" thickBot="1" x14ac:dyDescent="0.3">
      <c r="A456" s="316" t="s">
        <v>86</v>
      </c>
      <c r="B456" s="314">
        <f>'[1]Formati 2 Politika Ekzistuese'!D460</f>
        <v>0</v>
      </c>
      <c r="C456" s="314">
        <v>62699</v>
      </c>
      <c r="D456" s="314">
        <f>C456*103%</f>
        <v>64579.97</v>
      </c>
      <c r="E456" s="314">
        <f>D456*103%</f>
        <v>66517.369099999996</v>
      </c>
    </row>
    <row r="457" spans="1:5" ht="15.75" thickBot="1" x14ac:dyDescent="0.3">
      <c r="A457" s="316" t="s">
        <v>87</v>
      </c>
      <c r="B457" s="314">
        <f>'[1]Formati 2 Politika Ekzistuese'!D463</f>
        <v>0</v>
      </c>
      <c r="C457" s="314">
        <f>'[1]Formati 2 Politika Ekzistuese'!E463</f>
        <v>0</v>
      </c>
      <c r="D457" s="314">
        <f>'[1]Formati 2 Politika Ekzistuese'!F463</f>
        <v>0</v>
      </c>
      <c r="E457" s="314">
        <f>'[1]Formati 2 Politika Ekzistuese'!G463</f>
        <v>0</v>
      </c>
    </row>
    <row r="458" spans="1:5" ht="15.75" thickBot="1" x14ac:dyDescent="0.3">
      <c r="A458" s="316" t="s">
        <v>88</v>
      </c>
      <c r="B458" s="314">
        <f>'[1]Formati 2 Politika Ekzistuese'!D466</f>
        <v>0</v>
      </c>
      <c r="C458" s="314">
        <f>54600-1500</f>
        <v>53100</v>
      </c>
      <c r="D458" s="314">
        <f>C458*103%-3660</f>
        <v>51033</v>
      </c>
      <c r="E458" s="314">
        <f>D458*103%</f>
        <v>52563.99</v>
      </c>
    </row>
    <row r="459" spans="1:5" ht="15.75" thickBot="1" x14ac:dyDescent="0.3">
      <c r="A459" s="316" t="s">
        <v>89</v>
      </c>
      <c r="B459" s="314">
        <f>'[1]Formati 2 Politika Ekzistuese'!D469</f>
        <v>0</v>
      </c>
      <c r="C459" s="314">
        <v>0</v>
      </c>
      <c r="D459" s="314">
        <v>0</v>
      </c>
      <c r="E459" s="314">
        <v>0</v>
      </c>
    </row>
    <row r="460" spans="1:5" ht="24.75" thickBot="1" x14ac:dyDescent="0.3">
      <c r="A460" s="316" t="s">
        <v>90</v>
      </c>
      <c r="B460" s="314">
        <f>'[1]Formati 2 Politika Ekzistuese'!D472</f>
        <v>0</v>
      </c>
      <c r="C460" s="314">
        <v>0</v>
      </c>
      <c r="D460" s="314">
        <v>0</v>
      </c>
      <c r="E460" s="314">
        <v>0</v>
      </c>
    </row>
    <row r="461" spans="1:5" ht="15.75" thickBot="1" x14ac:dyDescent="0.3">
      <c r="A461" s="321" t="s">
        <v>91</v>
      </c>
      <c r="B461" s="314">
        <f>B460+B459+B458+B457+B456+B455+B454</f>
        <v>0</v>
      </c>
      <c r="C461" s="314">
        <f>C460+C459+C458+C457+C456+C455+C454</f>
        <v>178299</v>
      </c>
      <c r="D461" s="314">
        <f>D460+D459+D458+D457+D456+D455+D454</f>
        <v>178112.97</v>
      </c>
      <c r="E461" s="314">
        <f>SUM(E454:E460)</f>
        <v>181581.3591</v>
      </c>
    </row>
    <row r="462" spans="1:5" ht="15.75" thickBot="1" x14ac:dyDescent="0.3">
      <c r="A462" s="312" t="s">
        <v>92</v>
      </c>
      <c r="B462" s="311">
        <f>IF(B461-B446=0,0,"Error")</f>
        <v>0</v>
      </c>
      <c r="C462" s="311">
        <f>IF(C461-C446=0,0,"Error")</f>
        <v>0</v>
      </c>
      <c r="D462" s="311">
        <f>IF(D461-D446=0,0,"Error")</f>
        <v>0</v>
      </c>
      <c r="E462" s="311">
        <f>IF(E461-E446=0,0,"Error")</f>
        <v>0</v>
      </c>
    </row>
    <row r="463" spans="1:5" ht="23.25" thickBot="1" x14ac:dyDescent="0.3">
      <c r="A463" s="330" t="s">
        <v>434</v>
      </c>
      <c r="B463" s="972" t="s">
        <v>435</v>
      </c>
      <c r="C463" s="973"/>
      <c r="D463" s="973"/>
      <c r="E463" s="974"/>
    </row>
    <row r="464" spans="1:5" ht="15.75" thickBot="1" x14ac:dyDescent="0.3">
      <c r="A464" s="326" t="s">
        <v>72</v>
      </c>
      <c r="B464" s="975" t="s">
        <v>436</v>
      </c>
      <c r="C464" s="976"/>
      <c r="D464" s="976"/>
      <c r="E464" s="977"/>
    </row>
    <row r="465" spans="1:5" ht="15.75" thickBot="1" x14ac:dyDescent="0.3">
      <c r="A465" s="326" t="s">
        <v>74</v>
      </c>
      <c r="B465" s="972" t="s">
        <v>261</v>
      </c>
      <c r="C465" s="973"/>
      <c r="D465" s="973"/>
      <c r="E465" s="974"/>
    </row>
    <row r="466" spans="1:5" ht="15.75" thickBot="1" x14ac:dyDescent="0.3">
      <c r="A466" s="326" t="s">
        <v>76</v>
      </c>
      <c r="B466" s="327">
        <v>8000</v>
      </c>
      <c r="C466" s="327">
        <v>8100</v>
      </c>
      <c r="D466" s="327">
        <v>8200</v>
      </c>
      <c r="E466" s="327">
        <v>8400</v>
      </c>
    </row>
    <row r="467" spans="1:5" x14ac:dyDescent="0.25">
      <c r="A467" s="830"/>
      <c r="B467" s="323">
        <v>2018</v>
      </c>
      <c r="C467" s="323">
        <v>2019</v>
      </c>
      <c r="D467" s="323">
        <v>2020</v>
      </c>
      <c r="E467" s="323">
        <v>2021</v>
      </c>
    </row>
    <row r="468" spans="1:5" ht="15.75" thickBot="1" x14ac:dyDescent="0.3">
      <c r="A468" s="831"/>
      <c r="B468" s="322" t="s">
        <v>41</v>
      </c>
      <c r="C468" s="322" t="s">
        <v>42</v>
      </c>
      <c r="D468" s="322" t="s">
        <v>42</v>
      </c>
      <c r="E468" s="322" t="s">
        <v>42</v>
      </c>
    </row>
    <row r="469" spans="1:5" ht="15.75" thickBot="1" x14ac:dyDescent="0.3">
      <c r="A469" s="326" t="s">
        <v>77</v>
      </c>
      <c r="B469" s="327">
        <f>'[1]Formati 2 Politika Ekzistuese'!D486</f>
        <v>0</v>
      </c>
      <c r="C469" s="327">
        <v>16701</v>
      </c>
      <c r="D469" s="327">
        <v>16887</v>
      </c>
      <c r="E469" s="327">
        <v>17079</v>
      </c>
    </row>
    <row r="470" spans="1:5" ht="15.75" thickBot="1" x14ac:dyDescent="0.3">
      <c r="A470" s="326" t="s">
        <v>78</v>
      </c>
      <c r="B470" s="327">
        <f>B469/B466</f>
        <v>0</v>
      </c>
      <c r="C470" s="327">
        <f>C469/C466</f>
        <v>2.061851851851852</v>
      </c>
      <c r="D470" s="327">
        <f>D469/D466</f>
        <v>2.0593902439024392</v>
      </c>
      <c r="E470" s="327">
        <f>E469/E466</f>
        <v>2.0332142857142856</v>
      </c>
    </row>
    <row r="471" spans="1:5" ht="15.75" thickBot="1" x14ac:dyDescent="0.3">
      <c r="A471" s="326" t="s">
        <v>79</v>
      </c>
      <c r="B471" s="325"/>
      <c r="C471" s="324">
        <f>C466/B466-1</f>
        <v>1.2499999999999956E-2</v>
      </c>
      <c r="D471" s="324">
        <f>D466/C466-1</f>
        <v>1.2345679012345734E-2</v>
      </c>
      <c r="E471" s="324">
        <f>E466/D466-1</f>
        <v>2.4390243902439046E-2</v>
      </c>
    </row>
    <row r="472" spans="1:5" ht="15.75" thickBot="1" x14ac:dyDescent="0.3">
      <c r="A472" s="326" t="s">
        <v>81</v>
      </c>
      <c r="B472" s="325"/>
      <c r="C472" s="324" t="e">
        <f t="shared" ref="C472:E473" si="15">C469/B469-1</f>
        <v>#DIV/0!</v>
      </c>
      <c r="D472" s="324">
        <f t="shared" si="15"/>
        <v>1.1137057661217975E-2</v>
      </c>
      <c r="E472" s="324">
        <f t="shared" si="15"/>
        <v>1.1369692662995146E-2</v>
      </c>
    </row>
    <row r="473" spans="1:5" ht="15.75" thickBot="1" x14ac:dyDescent="0.3">
      <c r="A473" s="326" t="s">
        <v>82</v>
      </c>
      <c r="B473" s="325"/>
      <c r="C473" s="324" t="e">
        <f t="shared" si="15"/>
        <v>#DIV/0!</v>
      </c>
      <c r="D473" s="324">
        <f t="shared" si="15"/>
        <v>-1.1938820663579541E-3</v>
      </c>
      <c r="E473" s="324">
        <f t="shared" si="15"/>
        <v>-1.2710538114695247E-2</v>
      </c>
    </row>
    <row r="474" spans="1:5" ht="15.75" thickBot="1" x14ac:dyDescent="0.3">
      <c r="A474" s="951" t="s">
        <v>437</v>
      </c>
      <c r="B474" s="952"/>
      <c r="C474" s="952"/>
      <c r="D474" s="952"/>
      <c r="E474" s="953"/>
    </row>
    <row r="475" spans="1:5" x14ac:dyDescent="0.25">
      <c r="A475" s="830"/>
      <c r="B475" s="323">
        <v>2018</v>
      </c>
      <c r="C475" s="323">
        <v>2019</v>
      </c>
      <c r="D475" s="323">
        <v>2020</v>
      </c>
      <c r="E475" s="323">
        <v>2021</v>
      </c>
    </row>
    <row r="476" spans="1:5" ht="15.75" thickBot="1" x14ac:dyDescent="0.3">
      <c r="A476" s="831"/>
      <c r="B476" s="322" t="s">
        <v>41</v>
      </c>
      <c r="C476" s="322" t="s">
        <v>42</v>
      </c>
      <c r="D476" s="322" t="s">
        <v>42</v>
      </c>
      <c r="E476" s="322" t="s">
        <v>42</v>
      </c>
    </row>
    <row r="477" spans="1:5" ht="15.75" thickBot="1" x14ac:dyDescent="0.3">
      <c r="A477" s="316" t="s">
        <v>84</v>
      </c>
      <c r="B477" s="309">
        <f>'[1]Formati 2 Politika Ekzistuese'!D494</f>
        <v>0</v>
      </c>
      <c r="C477" s="309">
        <v>9000</v>
      </c>
      <c r="D477" s="309">
        <v>9000</v>
      </c>
      <c r="E477" s="309">
        <v>9000</v>
      </c>
    </row>
    <row r="478" spans="1:5" ht="24.75" thickBot="1" x14ac:dyDescent="0.3">
      <c r="A478" s="316" t="s">
        <v>85</v>
      </c>
      <c r="B478" s="309">
        <f>'[1]Formati 2 Politika Ekzistuese'!D497</f>
        <v>0</v>
      </c>
      <c r="C478" s="309">
        <v>1500</v>
      </c>
      <c r="D478" s="309">
        <v>1500</v>
      </c>
      <c r="E478" s="309">
        <v>1500</v>
      </c>
    </row>
    <row r="479" spans="1:5" ht="15.75" thickBot="1" x14ac:dyDescent="0.3">
      <c r="A479" s="316" t="s">
        <v>86</v>
      </c>
      <c r="B479" s="314">
        <f>'[1]Formati 2 Politika Ekzistuese'!D500</f>
        <v>0</v>
      </c>
      <c r="C479" s="314">
        <v>6201</v>
      </c>
      <c r="D479" s="314">
        <v>6387</v>
      </c>
      <c r="E479" s="314">
        <v>6579</v>
      </c>
    </row>
    <row r="480" spans="1:5" ht="15.75" thickBot="1" x14ac:dyDescent="0.3">
      <c r="A480" s="316" t="s">
        <v>87</v>
      </c>
      <c r="B480" s="314">
        <f>'[1]Formati 2 Politika Ekzistuese'!D503</f>
        <v>0</v>
      </c>
      <c r="C480" s="314">
        <f>'[1]Formati 2 Politika Ekzistuese'!E503</f>
        <v>0</v>
      </c>
      <c r="D480" s="314">
        <f>'[1]Formati 2 Politika Ekzistuese'!F503</f>
        <v>0</v>
      </c>
      <c r="E480" s="314">
        <f>'[1]Formati 2 Politika Ekzistuese'!G503</f>
        <v>0</v>
      </c>
    </row>
    <row r="481" spans="1:5" ht="15.75" thickBot="1" x14ac:dyDescent="0.3">
      <c r="A481" s="316" t="s">
        <v>88</v>
      </c>
      <c r="B481" s="314">
        <f>'[1]Formati 2 Politika Ekzistuese'!D506</f>
        <v>0</v>
      </c>
      <c r="C481" s="314">
        <f>'[1]Formati 2 Politika Ekzistuese'!E506</f>
        <v>0</v>
      </c>
      <c r="D481" s="314">
        <f>'[1]Formati 2 Politika Ekzistuese'!F506</f>
        <v>0</v>
      </c>
      <c r="E481" s="314">
        <f>'[1]Formati 2 Politika Ekzistuese'!G506</f>
        <v>0</v>
      </c>
    </row>
    <row r="482" spans="1:5" ht="15.75" thickBot="1" x14ac:dyDescent="0.3">
      <c r="A482" s="316" t="s">
        <v>89</v>
      </c>
      <c r="B482" s="314">
        <f>'[1]Formati 2 Politika Ekzistuese'!D509</f>
        <v>0</v>
      </c>
      <c r="C482" s="314">
        <f>'[1]Formati 2 Politika Ekzistuese'!E509</f>
        <v>0</v>
      </c>
      <c r="D482" s="314">
        <f>'[1]Formati 2 Politika Ekzistuese'!F509</f>
        <v>0</v>
      </c>
      <c r="E482" s="314">
        <f>'[1]Formati 2 Politika Ekzistuese'!G509</f>
        <v>0</v>
      </c>
    </row>
    <row r="483" spans="1:5" ht="24.75" thickBot="1" x14ac:dyDescent="0.3">
      <c r="A483" s="316" t="s">
        <v>90</v>
      </c>
      <c r="B483" s="314">
        <f>'[1]Formati 2 Politika Ekzistuese'!D512</f>
        <v>0</v>
      </c>
      <c r="C483" s="314">
        <v>0</v>
      </c>
      <c r="D483" s="314">
        <v>0</v>
      </c>
      <c r="E483" s="314">
        <v>0</v>
      </c>
    </row>
    <row r="484" spans="1:5" ht="15.75" thickBot="1" x14ac:dyDescent="0.3">
      <c r="A484" s="335" t="s">
        <v>176</v>
      </c>
      <c r="B484" s="318">
        <f>B483+B482+B481+B480+B479+B478+B477</f>
        <v>0</v>
      </c>
      <c r="C484" s="318">
        <f>C483+C482+C481+C480+C479+C478+C477</f>
        <v>16701</v>
      </c>
      <c r="D484" s="318">
        <f>D483+D482+D481+D480+D479+D478+D477</f>
        <v>16887</v>
      </c>
      <c r="E484" s="318">
        <f>E483+E482+E481+E480+E479+E478+E477</f>
        <v>17079</v>
      </c>
    </row>
    <row r="485" spans="1:5" ht="15.75" thickBot="1" x14ac:dyDescent="0.3">
      <c r="A485" s="334" t="s">
        <v>92</v>
      </c>
      <c r="B485" s="311">
        <f>IF(B484-B469=0,0,"Error")</f>
        <v>0</v>
      </c>
      <c r="C485" s="311">
        <f>IF(C484-C469=0,0,"Error")</f>
        <v>0</v>
      </c>
      <c r="D485" s="311">
        <f>IF(D484-D469=0,0,"Error")</f>
        <v>0</v>
      </c>
      <c r="E485" s="311">
        <f>IF(E484-E469=0,0,"Error")</f>
        <v>0</v>
      </c>
    </row>
    <row r="486" spans="1:5" ht="15.75" thickBot="1" x14ac:dyDescent="0.3">
      <c r="A486" s="832" t="s">
        <v>104</v>
      </c>
      <c r="B486" s="833"/>
      <c r="C486" s="833"/>
      <c r="D486" s="833"/>
      <c r="E486" s="834"/>
    </row>
    <row r="487" spans="1:5" ht="15.75" thickBot="1" x14ac:dyDescent="0.3">
      <c r="A487" s="832" t="s">
        <v>105</v>
      </c>
      <c r="B487" s="833"/>
      <c r="C487" s="833"/>
      <c r="D487" s="833"/>
      <c r="E487" s="834"/>
    </row>
    <row r="488" spans="1:5" ht="15.75" thickBot="1" x14ac:dyDescent="0.3">
      <c r="A488" s="326" t="s">
        <v>106</v>
      </c>
      <c r="B488" s="987" t="s">
        <v>438</v>
      </c>
      <c r="C488" s="988"/>
      <c r="D488" s="988"/>
      <c r="E488" s="989"/>
    </row>
    <row r="489" spans="1:5" ht="15.75" thickBot="1" x14ac:dyDescent="0.3">
      <c r="A489" s="328" t="s">
        <v>108</v>
      </c>
      <c r="B489" s="990" t="s">
        <v>439</v>
      </c>
      <c r="C489" s="991"/>
      <c r="D489" s="991"/>
      <c r="E489" s="992"/>
    </row>
    <row r="490" spans="1:5" ht="15.75" thickBot="1" x14ac:dyDescent="0.3">
      <c r="A490" s="326" t="s">
        <v>72</v>
      </c>
      <c r="B490" s="990" t="s">
        <v>440</v>
      </c>
      <c r="C490" s="991"/>
      <c r="D490" s="991"/>
      <c r="E490" s="992"/>
    </row>
    <row r="491" spans="1:5" ht="15.75" thickBot="1" x14ac:dyDescent="0.3">
      <c r="A491" s="326" t="s">
        <v>74</v>
      </c>
      <c r="B491" s="990" t="s">
        <v>261</v>
      </c>
      <c r="C491" s="991"/>
      <c r="D491" s="991"/>
      <c r="E491" s="992"/>
    </row>
    <row r="492" spans="1:5" x14ac:dyDescent="0.25">
      <c r="A492" s="830"/>
      <c r="B492" s="323">
        <v>2018</v>
      </c>
      <c r="C492" s="323">
        <v>2019</v>
      </c>
      <c r="D492" s="323">
        <v>2020</v>
      </c>
      <c r="E492" s="323">
        <v>2021</v>
      </c>
    </row>
    <row r="493" spans="1:5" ht="15.75" thickBot="1" x14ac:dyDescent="0.3">
      <c r="A493" s="831"/>
      <c r="B493" s="322" t="s">
        <v>41</v>
      </c>
      <c r="C493" s="322" t="s">
        <v>42</v>
      </c>
      <c r="D493" s="322" t="s">
        <v>42</v>
      </c>
      <c r="E493" s="322" t="s">
        <v>42</v>
      </c>
    </row>
    <row r="494" spans="1:5" ht="15.75" thickBot="1" x14ac:dyDescent="0.3">
      <c r="A494" s="326" t="s">
        <v>76</v>
      </c>
      <c r="B494" s="327">
        <v>1</v>
      </c>
      <c r="C494" s="327"/>
      <c r="D494" s="327"/>
      <c r="E494" s="327"/>
    </row>
    <row r="495" spans="1:5" ht="15.75" thickBot="1" x14ac:dyDescent="0.3">
      <c r="A495" s="326" t="s">
        <v>77</v>
      </c>
      <c r="B495" s="327">
        <v>3000</v>
      </c>
      <c r="C495" s="327"/>
      <c r="D495" s="327"/>
      <c r="E495" s="327"/>
    </row>
    <row r="496" spans="1:5" ht="15.75" thickBot="1" x14ac:dyDescent="0.3">
      <c r="A496" s="326" t="s">
        <v>78</v>
      </c>
      <c r="B496" s="327">
        <f>B495/B494</f>
        <v>3000</v>
      </c>
      <c r="C496" s="327" t="e">
        <f>C495/C494</f>
        <v>#DIV/0!</v>
      </c>
      <c r="D496" s="327" t="e">
        <f>D495/D494</f>
        <v>#DIV/0!</v>
      </c>
      <c r="E496" s="327" t="e">
        <f>E495/E494</f>
        <v>#DIV/0!</v>
      </c>
    </row>
    <row r="497" spans="1:5" ht="15.75" thickBot="1" x14ac:dyDescent="0.3">
      <c r="A497" s="326" t="s">
        <v>79</v>
      </c>
      <c r="B497" s="325" t="s">
        <v>80</v>
      </c>
      <c r="C497" s="324">
        <f t="shared" ref="C497:E499" si="16">C494/B494-1</f>
        <v>-1</v>
      </c>
      <c r="D497" s="324" t="e">
        <f t="shared" si="16"/>
        <v>#DIV/0!</v>
      </c>
      <c r="E497" s="324" t="e">
        <f t="shared" si="16"/>
        <v>#DIV/0!</v>
      </c>
    </row>
    <row r="498" spans="1:5" ht="15.75" thickBot="1" x14ac:dyDescent="0.3">
      <c r="A498" s="326" t="s">
        <v>81</v>
      </c>
      <c r="B498" s="325" t="s">
        <v>80</v>
      </c>
      <c r="C498" s="324">
        <f t="shared" si="16"/>
        <v>-1</v>
      </c>
      <c r="D498" s="324" t="e">
        <f t="shared" si="16"/>
        <v>#DIV/0!</v>
      </c>
      <c r="E498" s="324" t="e">
        <f t="shared" si="16"/>
        <v>#DIV/0!</v>
      </c>
    </row>
    <row r="499" spans="1:5" ht="15.75" thickBot="1" x14ac:dyDescent="0.3">
      <c r="A499" s="326" t="s">
        <v>82</v>
      </c>
      <c r="B499" s="325" t="s">
        <v>80</v>
      </c>
      <c r="C499" s="324" t="e">
        <f t="shared" si="16"/>
        <v>#DIV/0!</v>
      </c>
      <c r="D499" s="324" t="e">
        <f t="shared" si="16"/>
        <v>#DIV/0!</v>
      </c>
      <c r="E499" s="324" t="e">
        <f t="shared" si="16"/>
        <v>#DIV/0!</v>
      </c>
    </row>
    <row r="500" spans="1:5" ht="15.75" thickBot="1" x14ac:dyDescent="0.3">
      <c r="A500" s="951" t="s">
        <v>83</v>
      </c>
      <c r="B500" s="952"/>
      <c r="C500" s="952"/>
      <c r="D500" s="952"/>
      <c r="E500" s="953"/>
    </row>
    <row r="501" spans="1:5" x14ac:dyDescent="0.25">
      <c r="A501" s="830"/>
      <c r="B501" s="323">
        <v>2018</v>
      </c>
      <c r="C501" s="323">
        <v>2019</v>
      </c>
      <c r="D501" s="323">
        <v>2020</v>
      </c>
      <c r="E501" s="323">
        <v>2021</v>
      </c>
    </row>
    <row r="502" spans="1:5" ht="15.75" thickBot="1" x14ac:dyDescent="0.3">
      <c r="A502" s="831"/>
      <c r="B502" s="322" t="s">
        <v>41</v>
      </c>
      <c r="C502" s="322" t="s">
        <v>42</v>
      </c>
      <c r="D502" s="322" t="s">
        <v>42</v>
      </c>
      <c r="E502" s="322" t="s">
        <v>42</v>
      </c>
    </row>
    <row r="503" spans="1:5" ht="15.75" thickBot="1" x14ac:dyDescent="0.3">
      <c r="A503" s="316" t="s">
        <v>169</v>
      </c>
      <c r="B503" s="309"/>
      <c r="C503" s="309"/>
      <c r="D503" s="309"/>
      <c r="E503" s="309"/>
    </row>
    <row r="504" spans="1:5" ht="15.75" thickBot="1" x14ac:dyDescent="0.3">
      <c r="A504" s="316" t="s">
        <v>112</v>
      </c>
      <c r="B504" s="314">
        <f>B495</f>
        <v>3000</v>
      </c>
      <c r="C504" s="309"/>
      <c r="D504" s="309"/>
      <c r="E504" s="309"/>
    </row>
    <row r="505" spans="1:5" ht="15.75" thickBot="1" x14ac:dyDescent="0.3">
      <c r="A505" s="321" t="s">
        <v>91</v>
      </c>
      <c r="B505" s="314">
        <f>B504+B503</f>
        <v>3000</v>
      </c>
      <c r="C505" s="314">
        <f>C504+C503</f>
        <v>0</v>
      </c>
      <c r="D505" s="314">
        <f>D504+D503</f>
        <v>0</v>
      </c>
      <c r="E505" s="314">
        <f>E504+E503</f>
        <v>0</v>
      </c>
    </row>
    <row r="506" spans="1:5" x14ac:dyDescent="0.25">
      <c r="A506" s="957" t="s">
        <v>113</v>
      </c>
      <c r="B506" s="960" t="s">
        <v>441</v>
      </c>
      <c r="C506" s="961"/>
      <c r="D506" s="961"/>
      <c r="E506" s="962"/>
    </row>
    <row r="507" spans="1:5" x14ac:dyDescent="0.25">
      <c r="A507" s="958"/>
      <c r="B507" s="963"/>
      <c r="C507" s="964"/>
      <c r="D507" s="964"/>
      <c r="E507" s="965"/>
    </row>
    <row r="508" spans="1:5" ht="15.75" thickBot="1" x14ac:dyDescent="0.3">
      <c r="A508" s="959"/>
      <c r="B508" s="966"/>
      <c r="C508" s="967"/>
      <c r="D508" s="967"/>
      <c r="E508" s="968"/>
    </row>
    <row r="509" spans="1:5" ht="15.75" thickBot="1" x14ac:dyDescent="0.3">
      <c r="A509" s="326" t="s">
        <v>257</v>
      </c>
      <c r="B509" s="835" t="s">
        <v>107</v>
      </c>
      <c r="C509" s="836"/>
      <c r="D509" s="836"/>
      <c r="E509" s="837"/>
    </row>
    <row r="510" spans="1:5" ht="23.25" thickBot="1" x14ac:dyDescent="0.3">
      <c r="A510" s="328" t="s">
        <v>365</v>
      </c>
      <c r="B510" s="838" t="s">
        <v>364</v>
      </c>
      <c r="C510" s="839"/>
      <c r="D510" s="839"/>
      <c r="E510" s="840"/>
    </row>
    <row r="511" spans="1:5" ht="15.75" thickBot="1" x14ac:dyDescent="0.3">
      <c r="A511" s="326" t="s">
        <v>72</v>
      </c>
      <c r="B511" s="850" t="s">
        <v>364</v>
      </c>
      <c r="C511" s="851"/>
      <c r="D511" s="851"/>
      <c r="E511" s="852"/>
    </row>
    <row r="512" spans="1:5" ht="15.75" thickBot="1" x14ac:dyDescent="0.3">
      <c r="A512" s="326" t="s">
        <v>74</v>
      </c>
      <c r="B512" s="838" t="s">
        <v>364</v>
      </c>
      <c r="C512" s="839"/>
      <c r="D512" s="839"/>
      <c r="E512" s="840"/>
    </row>
    <row r="513" spans="1:5" x14ac:dyDescent="0.25">
      <c r="A513" s="830"/>
      <c r="B513" s="323">
        <v>2018</v>
      </c>
      <c r="C513" s="323">
        <v>2019</v>
      </c>
      <c r="D513" s="323">
        <v>2020</v>
      </c>
      <c r="E513" s="323">
        <v>2021</v>
      </c>
    </row>
    <row r="514" spans="1:5" ht="15.75" thickBot="1" x14ac:dyDescent="0.3">
      <c r="A514" s="831"/>
      <c r="B514" s="322" t="s">
        <v>41</v>
      </c>
      <c r="C514" s="322" t="s">
        <v>42</v>
      </c>
      <c r="D514" s="322" t="s">
        <v>42</v>
      </c>
      <c r="E514" s="322" t="s">
        <v>42</v>
      </c>
    </row>
    <row r="515" spans="1:5" ht="15.75" thickBot="1" x14ac:dyDescent="0.3">
      <c r="A515" s="326" t="s">
        <v>76</v>
      </c>
      <c r="B515" s="327"/>
      <c r="C515" s="327"/>
      <c r="D515" s="327"/>
      <c r="E515" s="327"/>
    </row>
    <row r="516" spans="1:5" ht="15.75" thickBot="1" x14ac:dyDescent="0.3">
      <c r="A516" s="326" t="s">
        <v>77</v>
      </c>
      <c r="B516" s="327">
        <v>0</v>
      </c>
      <c r="C516" s="327"/>
      <c r="D516" s="327"/>
      <c r="E516" s="327"/>
    </row>
    <row r="517" spans="1:5" ht="15.75" thickBot="1" x14ac:dyDescent="0.3">
      <c r="A517" s="326" t="s">
        <v>78</v>
      </c>
      <c r="B517" s="327" t="e">
        <f>B516/B515</f>
        <v>#DIV/0!</v>
      </c>
      <c r="C517" s="327" t="e">
        <f>C516/C515</f>
        <v>#DIV/0!</v>
      </c>
      <c r="D517" s="327" t="e">
        <f>D516/D515</f>
        <v>#DIV/0!</v>
      </c>
      <c r="E517" s="327" t="e">
        <f>E516/E515</f>
        <v>#DIV/0!</v>
      </c>
    </row>
    <row r="518" spans="1:5" ht="15.75" thickBot="1" x14ac:dyDescent="0.3">
      <c r="A518" s="326" t="s">
        <v>79</v>
      </c>
      <c r="B518" s="325" t="s">
        <v>80</v>
      </c>
      <c r="C518" s="324" t="e">
        <f t="shared" ref="C518:E520" si="17">C515/B515-1</f>
        <v>#DIV/0!</v>
      </c>
      <c r="D518" s="324" t="e">
        <f t="shared" si="17"/>
        <v>#DIV/0!</v>
      </c>
      <c r="E518" s="324" t="e">
        <f t="shared" si="17"/>
        <v>#DIV/0!</v>
      </c>
    </row>
    <row r="519" spans="1:5" ht="15.75" thickBot="1" x14ac:dyDescent="0.3">
      <c r="A519" s="326" t="s">
        <v>81</v>
      </c>
      <c r="B519" s="325" t="s">
        <v>80</v>
      </c>
      <c r="C519" s="324" t="e">
        <f t="shared" si="17"/>
        <v>#DIV/0!</v>
      </c>
      <c r="D519" s="324" t="e">
        <f t="shared" si="17"/>
        <v>#DIV/0!</v>
      </c>
      <c r="E519" s="324" t="e">
        <f t="shared" si="17"/>
        <v>#DIV/0!</v>
      </c>
    </row>
    <row r="520" spans="1:5" ht="15.75" thickBot="1" x14ac:dyDescent="0.3">
      <c r="A520" s="326" t="s">
        <v>82</v>
      </c>
      <c r="B520" s="325" t="s">
        <v>80</v>
      </c>
      <c r="C520" s="324" t="e">
        <f t="shared" si="17"/>
        <v>#DIV/0!</v>
      </c>
      <c r="D520" s="324" t="e">
        <f t="shared" si="17"/>
        <v>#DIV/0!</v>
      </c>
      <c r="E520" s="324" t="e">
        <f t="shared" si="17"/>
        <v>#DIV/0!</v>
      </c>
    </row>
    <row r="521" spans="1:5" ht="15.75" thickBot="1" x14ac:dyDescent="0.3">
      <c r="A521" s="951" t="s">
        <v>366</v>
      </c>
      <c r="B521" s="952"/>
      <c r="C521" s="952"/>
      <c r="D521" s="952"/>
      <c r="E521" s="953"/>
    </row>
    <row r="522" spans="1:5" x14ac:dyDescent="0.25">
      <c r="A522" s="830"/>
      <c r="B522" s="323">
        <v>2018</v>
      </c>
      <c r="C522" s="323">
        <v>2019</v>
      </c>
      <c r="D522" s="323">
        <v>2020</v>
      </c>
      <c r="E522" s="323">
        <v>2021</v>
      </c>
    </row>
    <row r="523" spans="1:5" ht="15.75" thickBot="1" x14ac:dyDescent="0.3">
      <c r="A523" s="831"/>
      <c r="B523" s="322" t="s">
        <v>41</v>
      </c>
      <c r="C523" s="322" t="s">
        <v>42</v>
      </c>
      <c r="D523" s="322" t="s">
        <v>42</v>
      </c>
      <c r="E523" s="322" t="s">
        <v>42</v>
      </c>
    </row>
    <row r="524" spans="1:5" ht="15.75" thickBot="1" x14ac:dyDescent="0.3">
      <c r="A524" s="316" t="s">
        <v>169</v>
      </c>
      <c r="B524" s="309"/>
      <c r="C524" s="309"/>
      <c r="D524" s="309"/>
      <c r="E524" s="309"/>
    </row>
    <row r="525" spans="1:5" ht="15.75" thickBot="1" x14ac:dyDescent="0.3">
      <c r="A525" s="316" t="s">
        <v>112</v>
      </c>
      <c r="B525" s="314"/>
      <c r="C525" s="309"/>
      <c r="D525" s="309"/>
      <c r="E525" s="309"/>
    </row>
    <row r="526" spans="1:5" ht="15.75" thickBot="1" x14ac:dyDescent="0.3">
      <c r="A526" s="321" t="s">
        <v>176</v>
      </c>
      <c r="B526" s="314">
        <f>B525+B524</f>
        <v>0</v>
      </c>
      <c r="C526" s="314">
        <f>C525+C524</f>
        <v>0</v>
      </c>
      <c r="D526" s="314">
        <f>D525+D524</f>
        <v>0</v>
      </c>
      <c r="E526" s="314">
        <f>E525+E524</f>
        <v>0</v>
      </c>
    </row>
    <row r="527" spans="1:5" ht="15.75" thickBot="1" x14ac:dyDescent="0.3">
      <c r="A527" s="832" t="s">
        <v>104</v>
      </c>
      <c r="B527" s="833"/>
      <c r="C527" s="833"/>
      <c r="D527" s="833"/>
      <c r="E527" s="834"/>
    </row>
    <row r="528" spans="1:5" ht="15.75" thickBot="1" x14ac:dyDescent="0.3">
      <c r="A528" s="832" t="s">
        <v>170</v>
      </c>
      <c r="B528" s="833"/>
      <c r="C528" s="833"/>
      <c r="D528" s="833"/>
      <c r="E528" s="834"/>
    </row>
    <row r="529" spans="1:5" ht="15.75" thickBot="1" x14ac:dyDescent="0.3">
      <c r="A529" s="326" t="s">
        <v>257</v>
      </c>
      <c r="B529" s="987" t="s">
        <v>438</v>
      </c>
      <c r="C529" s="988"/>
      <c r="D529" s="988"/>
      <c r="E529" s="989"/>
    </row>
    <row r="530" spans="1:5" ht="15.75" thickBot="1" x14ac:dyDescent="0.3">
      <c r="A530" s="328" t="s">
        <v>108</v>
      </c>
      <c r="B530" s="993" t="s">
        <v>442</v>
      </c>
      <c r="C530" s="994"/>
      <c r="D530" s="994"/>
      <c r="E530" s="995"/>
    </row>
    <row r="531" spans="1:5" ht="15.75" thickBot="1" x14ac:dyDescent="0.3">
      <c r="A531" s="326" t="s">
        <v>72</v>
      </c>
      <c r="B531" s="993" t="s">
        <v>442</v>
      </c>
      <c r="C531" s="994"/>
      <c r="D531" s="994"/>
      <c r="E531" s="995"/>
    </row>
    <row r="532" spans="1:5" ht="15.75" thickBot="1" x14ac:dyDescent="0.3">
      <c r="A532" s="326" t="s">
        <v>74</v>
      </c>
      <c r="B532" s="993" t="s">
        <v>261</v>
      </c>
      <c r="C532" s="994"/>
      <c r="D532" s="994"/>
      <c r="E532" s="995"/>
    </row>
    <row r="533" spans="1:5" x14ac:dyDescent="0.25">
      <c r="A533" s="830"/>
      <c r="B533" s="323">
        <v>2018</v>
      </c>
      <c r="C533" s="323">
        <v>2019</v>
      </c>
      <c r="D533" s="323">
        <v>2020</v>
      </c>
      <c r="E533" s="323">
        <v>2021</v>
      </c>
    </row>
    <row r="534" spans="1:5" ht="15.75" thickBot="1" x14ac:dyDescent="0.3">
      <c r="A534" s="831"/>
      <c r="B534" s="322" t="s">
        <v>41</v>
      </c>
      <c r="C534" s="322" t="s">
        <v>42</v>
      </c>
      <c r="D534" s="322" t="s">
        <v>42</v>
      </c>
      <c r="E534" s="322" t="s">
        <v>42</v>
      </c>
    </row>
    <row r="535" spans="1:5" ht="15.75" thickBot="1" x14ac:dyDescent="0.3">
      <c r="A535" s="326" t="s">
        <v>76</v>
      </c>
      <c r="B535" s="327">
        <v>1</v>
      </c>
      <c r="C535" s="327"/>
      <c r="D535" s="327"/>
      <c r="E535" s="327"/>
    </row>
    <row r="536" spans="1:5" ht="15.75" thickBot="1" x14ac:dyDescent="0.3">
      <c r="A536" s="326" t="s">
        <v>77</v>
      </c>
      <c r="B536" s="327">
        <v>10000</v>
      </c>
      <c r="C536" s="327"/>
      <c r="D536" s="327"/>
      <c r="E536" s="327"/>
    </row>
    <row r="537" spans="1:5" ht="15.75" thickBot="1" x14ac:dyDescent="0.3">
      <c r="A537" s="326" t="s">
        <v>78</v>
      </c>
      <c r="B537" s="327">
        <f>B536/B535</f>
        <v>10000</v>
      </c>
      <c r="C537" s="327" t="e">
        <f>C536/C535</f>
        <v>#DIV/0!</v>
      </c>
      <c r="D537" s="327" t="e">
        <f>D536/D535</f>
        <v>#DIV/0!</v>
      </c>
      <c r="E537" s="327" t="e">
        <f>E536/E535</f>
        <v>#DIV/0!</v>
      </c>
    </row>
    <row r="538" spans="1:5" ht="15.75" thickBot="1" x14ac:dyDescent="0.3">
      <c r="A538" s="326" t="s">
        <v>79</v>
      </c>
      <c r="B538" s="325" t="s">
        <v>80</v>
      </c>
      <c r="C538" s="324">
        <f t="shared" ref="C538:E540" si="18">C535/B535-1</f>
        <v>-1</v>
      </c>
      <c r="D538" s="324" t="e">
        <f t="shared" si="18"/>
        <v>#DIV/0!</v>
      </c>
      <c r="E538" s="324" t="e">
        <f t="shared" si="18"/>
        <v>#DIV/0!</v>
      </c>
    </row>
    <row r="539" spans="1:5" ht="15.75" thickBot="1" x14ac:dyDescent="0.3">
      <c r="A539" s="326" t="s">
        <v>81</v>
      </c>
      <c r="B539" s="325" t="s">
        <v>80</v>
      </c>
      <c r="C539" s="324">
        <f t="shared" si="18"/>
        <v>-1</v>
      </c>
      <c r="D539" s="324" t="e">
        <f t="shared" si="18"/>
        <v>#DIV/0!</v>
      </c>
      <c r="E539" s="324" t="e">
        <f t="shared" si="18"/>
        <v>#DIV/0!</v>
      </c>
    </row>
    <row r="540" spans="1:5" ht="15.75" thickBot="1" x14ac:dyDescent="0.3">
      <c r="A540" s="326" t="s">
        <v>82</v>
      </c>
      <c r="B540" s="325" t="s">
        <v>80</v>
      </c>
      <c r="C540" s="324" t="e">
        <f t="shared" si="18"/>
        <v>#DIV/0!</v>
      </c>
      <c r="D540" s="324" t="e">
        <f t="shared" si="18"/>
        <v>#DIV/0!</v>
      </c>
      <c r="E540" s="324" t="e">
        <f t="shared" si="18"/>
        <v>#DIV/0!</v>
      </c>
    </row>
    <row r="541" spans="1:5" ht="15.75" thickBot="1" x14ac:dyDescent="0.3">
      <c r="A541" s="951" t="s">
        <v>83</v>
      </c>
      <c r="B541" s="952"/>
      <c r="C541" s="952"/>
      <c r="D541" s="952"/>
      <c r="E541" s="953"/>
    </row>
    <row r="542" spans="1:5" x14ac:dyDescent="0.25">
      <c r="A542" s="830"/>
      <c r="B542" s="323">
        <v>2018</v>
      </c>
      <c r="C542" s="323">
        <v>2019</v>
      </c>
      <c r="D542" s="323">
        <v>2020</v>
      </c>
      <c r="E542" s="323">
        <v>2021</v>
      </c>
    </row>
    <row r="543" spans="1:5" ht="15.75" thickBot="1" x14ac:dyDescent="0.3">
      <c r="A543" s="831"/>
      <c r="B543" s="322" t="s">
        <v>41</v>
      </c>
      <c r="C543" s="322" t="s">
        <v>42</v>
      </c>
      <c r="D543" s="322" t="s">
        <v>42</v>
      </c>
      <c r="E543" s="322" t="s">
        <v>42</v>
      </c>
    </row>
    <row r="544" spans="1:5" ht="15.75" thickBot="1" x14ac:dyDescent="0.3">
      <c r="A544" s="316" t="s">
        <v>169</v>
      </c>
      <c r="B544" s="309">
        <f>B536</f>
        <v>10000</v>
      </c>
      <c r="C544" s="309"/>
      <c r="D544" s="309"/>
      <c r="E544" s="309"/>
    </row>
    <row r="545" spans="1:5" ht="15.75" thickBot="1" x14ac:dyDescent="0.3">
      <c r="A545" s="316" t="s">
        <v>112</v>
      </c>
      <c r="B545" s="314"/>
      <c r="C545" s="309"/>
      <c r="D545" s="309"/>
      <c r="E545" s="309"/>
    </row>
    <row r="546" spans="1:5" ht="15.75" thickBot="1" x14ac:dyDescent="0.3">
      <c r="A546" s="321" t="s">
        <v>91</v>
      </c>
      <c r="B546" s="314">
        <f>B545+B544</f>
        <v>10000</v>
      </c>
      <c r="C546" s="314">
        <f>C545+C544</f>
        <v>0</v>
      </c>
      <c r="D546" s="314">
        <f>D545+D544</f>
        <v>0</v>
      </c>
      <c r="E546" s="314">
        <f>E545+E544</f>
        <v>0</v>
      </c>
    </row>
    <row r="547" spans="1:5" ht="15.75" thickBot="1" x14ac:dyDescent="0.3">
      <c r="A547" s="333" t="s">
        <v>257</v>
      </c>
      <c r="B547" s="835" t="s">
        <v>107</v>
      </c>
      <c r="C547" s="836"/>
      <c r="D547" s="836"/>
      <c r="E547" s="837"/>
    </row>
    <row r="548" spans="1:5" ht="23.25" thickBot="1" x14ac:dyDescent="0.3">
      <c r="A548" s="328" t="s">
        <v>365</v>
      </c>
      <c r="B548" s="838" t="s">
        <v>364</v>
      </c>
      <c r="C548" s="839"/>
      <c r="D548" s="839"/>
      <c r="E548" s="840"/>
    </row>
    <row r="549" spans="1:5" ht="15.75" thickBot="1" x14ac:dyDescent="0.3">
      <c r="A549" s="326" t="s">
        <v>72</v>
      </c>
      <c r="B549" s="850" t="s">
        <v>364</v>
      </c>
      <c r="C549" s="851"/>
      <c r="D549" s="851"/>
      <c r="E549" s="852"/>
    </row>
    <row r="550" spans="1:5" ht="15.75" thickBot="1" x14ac:dyDescent="0.3">
      <c r="A550" s="326" t="s">
        <v>74</v>
      </c>
      <c r="B550" s="838" t="s">
        <v>364</v>
      </c>
      <c r="C550" s="839"/>
      <c r="D550" s="839"/>
      <c r="E550" s="840"/>
    </row>
    <row r="551" spans="1:5" x14ac:dyDescent="0.25">
      <c r="A551" s="830"/>
      <c r="B551" s="323">
        <v>2018</v>
      </c>
      <c r="C551" s="323">
        <v>2019</v>
      </c>
      <c r="D551" s="323">
        <v>2020</v>
      </c>
      <c r="E551" s="323">
        <v>2021</v>
      </c>
    </row>
    <row r="552" spans="1:5" ht="15.75" thickBot="1" x14ac:dyDescent="0.3">
      <c r="A552" s="831"/>
      <c r="B552" s="322" t="s">
        <v>41</v>
      </c>
      <c r="C552" s="322" t="s">
        <v>42</v>
      </c>
      <c r="D552" s="322" t="s">
        <v>42</v>
      </c>
      <c r="E552" s="322" t="s">
        <v>42</v>
      </c>
    </row>
    <row r="553" spans="1:5" ht="15.75" thickBot="1" x14ac:dyDescent="0.3">
      <c r="A553" s="326" t="s">
        <v>76</v>
      </c>
      <c r="B553" s="327"/>
      <c r="C553" s="327"/>
      <c r="D553" s="327"/>
      <c r="E553" s="327"/>
    </row>
    <row r="554" spans="1:5" ht="15.75" thickBot="1" x14ac:dyDescent="0.3">
      <c r="A554" s="326" t="s">
        <v>77</v>
      </c>
      <c r="B554" s="327">
        <v>0</v>
      </c>
      <c r="C554" s="327"/>
      <c r="D554" s="327"/>
      <c r="E554" s="327"/>
    </row>
    <row r="555" spans="1:5" ht="15.75" thickBot="1" x14ac:dyDescent="0.3">
      <c r="A555" s="326" t="s">
        <v>78</v>
      </c>
      <c r="B555" s="327" t="e">
        <f>B554/B553</f>
        <v>#DIV/0!</v>
      </c>
      <c r="C555" s="327" t="e">
        <f>C554/C553</f>
        <v>#DIV/0!</v>
      </c>
      <c r="D555" s="327" t="e">
        <f>D554/D553</f>
        <v>#DIV/0!</v>
      </c>
      <c r="E555" s="327" t="e">
        <f>E554/E553</f>
        <v>#DIV/0!</v>
      </c>
    </row>
    <row r="556" spans="1:5" ht="15.75" thickBot="1" x14ac:dyDescent="0.3">
      <c r="A556" s="326" t="s">
        <v>79</v>
      </c>
      <c r="B556" s="325" t="s">
        <v>80</v>
      </c>
      <c r="C556" s="324" t="e">
        <f t="shared" ref="C556:E558" si="19">C553/B553-1</f>
        <v>#DIV/0!</v>
      </c>
      <c r="D556" s="324" t="e">
        <f t="shared" si="19"/>
        <v>#DIV/0!</v>
      </c>
      <c r="E556" s="324" t="e">
        <f t="shared" si="19"/>
        <v>#DIV/0!</v>
      </c>
    </row>
    <row r="557" spans="1:5" ht="15.75" thickBot="1" x14ac:dyDescent="0.3">
      <c r="A557" s="326" t="s">
        <v>81</v>
      </c>
      <c r="B557" s="325" t="s">
        <v>80</v>
      </c>
      <c r="C557" s="324" t="e">
        <f t="shared" si="19"/>
        <v>#DIV/0!</v>
      </c>
      <c r="D557" s="324" t="e">
        <f t="shared" si="19"/>
        <v>#DIV/0!</v>
      </c>
      <c r="E557" s="324" t="e">
        <f t="shared" si="19"/>
        <v>#DIV/0!</v>
      </c>
    </row>
    <row r="558" spans="1:5" ht="15.75" thickBot="1" x14ac:dyDescent="0.3">
      <c r="A558" s="326" t="s">
        <v>82</v>
      </c>
      <c r="B558" s="325" t="s">
        <v>80</v>
      </c>
      <c r="C558" s="324" t="e">
        <f t="shared" si="19"/>
        <v>#DIV/0!</v>
      </c>
      <c r="D558" s="324" t="e">
        <f t="shared" si="19"/>
        <v>#DIV/0!</v>
      </c>
      <c r="E558" s="324" t="e">
        <f t="shared" si="19"/>
        <v>#DIV/0!</v>
      </c>
    </row>
    <row r="559" spans="1:5" ht="15.75" thickBot="1" x14ac:dyDescent="0.3">
      <c r="A559" s="951" t="s">
        <v>366</v>
      </c>
      <c r="B559" s="952"/>
      <c r="C559" s="952"/>
      <c r="D559" s="952"/>
      <c r="E559" s="953"/>
    </row>
    <row r="560" spans="1:5" x14ac:dyDescent="0.25">
      <c r="A560" s="830"/>
      <c r="B560" s="323">
        <v>2018</v>
      </c>
      <c r="C560" s="323">
        <v>2019</v>
      </c>
      <c r="D560" s="323">
        <v>2020</v>
      </c>
      <c r="E560" s="323">
        <v>2021</v>
      </c>
    </row>
    <row r="561" spans="1:5" ht="15.75" thickBot="1" x14ac:dyDescent="0.3">
      <c r="A561" s="831"/>
      <c r="B561" s="322" t="s">
        <v>41</v>
      </c>
      <c r="C561" s="322" t="s">
        <v>42</v>
      </c>
      <c r="D561" s="322" t="s">
        <v>42</v>
      </c>
      <c r="E561" s="322" t="s">
        <v>42</v>
      </c>
    </row>
    <row r="562" spans="1:5" ht="15.75" thickBot="1" x14ac:dyDescent="0.3">
      <c r="A562" s="316" t="s">
        <v>169</v>
      </c>
      <c r="B562" s="309"/>
      <c r="C562" s="309"/>
      <c r="D562" s="309"/>
      <c r="E562" s="309"/>
    </row>
    <row r="563" spans="1:5" ht="15.75" thickBot="1" x14ac:dyDescent="0.3">
      <c r="A563" s="316" t="s">
        <v>112</v>
      </c>
      <c r="B563" s="314"/>
      <c r="C563" s="309"/>
      <c r="D563" s="309"/>
      <c r="E563" s="309"/>
    </row>
    <row r="564" spans="1:5" ht="15.75" thickBot="1" x14ac:dyDescent="0.3">
      <c r="A564" s="321" t="s">
        <v>176</v>
      </c>
      <c r="B564" s="314">
        <f>B563+B562</f>
        <v>0</v>
      </c>
      <c r="C564" s="314">
        <f>C563+C562</f>
        <v>0</v>
      </c>
      <c r="D564" s="314">
        <f>D563+D562</f>
        <v>0</v>
      </c>
      <c r="E564" s="314">
        <f>E563+E562</f>
        <v>0</v>
      </c>
    </row>
    <row r="565" spans="1:5" ht="24.75" thickBot="1" x14ac:dyDescent="0.3">
      <c r="A565" s="332" t="s">
        <v>181</v>
      </c>
      <c r="B565" s="969" t="s">
        <v>364</v>
      </c>
      <c r="C565" s="970"/>
      <c r="D565" s="970"/>
      <c r="E565" s="971"/>
    </row>
    <row r="566" spans="1:5" ht="15.75" thickBot="1" x14ac:dyDescent="0.3">
      <c r="A566" s="850" t="s">
        <v>183</v>
      </c>
      <c r="B566" s="851"/>
      <c r="C566" s="851"/>
      <c r="D566" s="851"/>
      <c r="E566" s="852"/>
    </row>
    <row r="567" spans="1:5" ht="15.75" thickBot="1" x14ac:dyDescent="0.3">
      <c r="A567" s="330" t="s">
        <v>443</v>
      </c>
      <c r="B567" s="331" t="s">
        <v>60</v>
      </c>
      <c r="C567" s="331" t="s">
        <v>61</v>
      </c>
      <c r="D567" s="331" t="s">
        <v>61</v>
      </c>
      <c r="E567" s="331" t="s">
        <v>61</v>
      </c>
    </row>
    <row r="568" spans="1:5" ht="15.75" thickBot="1" x14ac:dyDescent="0.3">
      <c r="A568" s="326" t="s">
        <v>370</v>
      </c>
      <c r="B568" s="331" t="s">
        <v>60</v>
      </c>
      <c r="C568" s="331" t="s">
        <v>61</v>
      </c>
      <c r="D568" s="331" t="s">
        <v>61</v>
      </c>
      <c r="E568" s="331" t="s">
        <v>61</v>
      </c>
    </row>
    <row r="569" spans="1:5" ht="23.25" thickBot="1" x14ac:dyDescent="0.3">
      <c r="A569" s="326" t="s">
        <v>343</v>
      </c>
      <c r="B569" s="331" t="s">
        <v>60</v>
      </c>
      <c r="C569" s="331" t="s">
        <v>61</v>
      </c>
      <c r="D569" s="331" t="s">
        <v>61</v>
      </c>
      <c r="E569" s="331" t="s">
        <v>61</v>
      </c>
    </row>
    <row r="570" spans="1:5" ht="15.75" thickBot="1" x14ac:dyDescent="0.3">
      <c r="A570" s="951" t="s">
        <v>196</v>
      </c>
      <c r="B570" s="952"/>
      <c r="C570" s="952"/>
      <c r="D570" s="952"/>
      <c r="E570" s="953"/>
    </row>
    <row r="571" spans="1:5" ht="15.75" thickBot="1" x14ac:dyDescent="0.3">
      <c r="A571" s="978" t="s">
        <v>114</v>
      </c>
      <c r="B571" s="979"/>
      <c r="C571" s="979"/>
      <c r="D571" s="979"/>
      <c r="E571" s="980"/>
    </row>
    <row r="572" spans="1:5" x14ac:dyDescent="0.25">
      <c r="A572" s="830"/>
      <c r="B572" s="323">
        <v>2018</v>
      </c>
      <c r="C572" s="323">
        <v>2019</v>
      </c>
      <c r="D572" s="323">
        <v>2020</v>
      </c>
      <c r="E572" s="323">
        <v>2021</v>
      </c>
    </row>
    <row r="573" spans="1:5" ht="15.75" thickBot="1" x14ac:dyDescent="0.3">
      <c r="A573" s="831"/>
      <c r="B573" s="322" t="s">
        <v>41</v>
      </c>
      <c r="C573" s="322" t="s">
        <v>42</v>
      </c>
      <c r="D573" s="322" t="s">
        <v>42</v>
      </c>
      <c r="E573" s="322" t="s">
        <v>42</v>
      </c>
    </row>
    <row r="574" spans="1:5" ht="15.75" thickBot="1" x14ac:dyDescent="0.3">
      <c r="A574" s="328" t="s">
        <v>108</v>
      </c>
      <c r="B574" s="838" t="s">
        <v>364</v>
      </c>
      <c r="C574" s="839"/>
      <c r="D574" s="839"/>
      <c r="E574" s="840"/>
    </row>
    <row r="575" spans="1:5" ht="15.75" thickBot="1" x14ac:dyDescent="0.3">
      <c r="A575" s="326" t="s">
        <v>72</v>
      </c>
      <c r="B575" s="850" t="s">
        <v>364</v>
      </c>
      <c r="C575" s="851"/>
      <c r="D575" s="851"/>
      <c r="E575" s="852"/>
    </row>
    <row r="576" spans="1:5" ht="15.75" thickBot="1" x14ac:dyDescent="0.3">
      <c r="A576" s="326" t="s">
        <v>74</v>
      </c>
      <c r="B576" s="838" t="s">
        <v>364</v>
      </c>
      <c r="C576" s="839"/>
      <c r="D576" s="839"/>
      <c r="E576" s="840"/>
    </row>
    <row r="577" spans="1:5" x14ac:dyDescent="0.25">
      <c r="A577" s="830"/>
      <c r="B577" s="323">
        <v>2018</v>
      </c>
      <c r="C577" s="323">
        <v>2019</v>
      </c>
      <c r="D577" s="323">
        <v>2020</v>
      </c>
      <c r="E577" s="323">
        <v>2021</v>
      </c>
    </row>
    <row r="578" spans="1:5" ht="15.75" thickBot="1" x14ac:dyDescent="0.3">
      <c r="A578" s="831"/>
      <c r="B578" s="322" t="s">
        <v>41</v>
      </c>
      <c r="C578" s="322" t="s">
        <v>42</v>
      </c>
      <c r="D578" s="322" t="s">
        <v>42</v>
      </c>
      <c r="E578" s="322" t="s">
        <v>42</v>
      </c>
    </row>
    <row r="579" spans="1:5" ht="15.75" thickBot="1" x14ac:dyDescent="0.3">
      <c r="A579" s="326" t="s">
        <v>76</v>
      </c>
      <c r="B579" s="327"/>
      <c r="C579" s="309"/>
      <c r="D579" s="309"/>
      <c r="E579" s="309"/>
    </row>
    <row r="580" spans="1:5" ht="15.75" thickBot="1" x14ac:dyDescent="0.3">
      <c r="A580" s="326" t="s">
        <v>77</v>
      </c>
      <c r="B580" s="327">
        <v>0</v>
      </c>
      <c r="C580" s="327"/>
      <c r="D580" s="327"/>
      <c r="E580" s="327"/>
    </row>
    <row r="581" spans="1:5" ht="15.75" thickBot="1" x14ac:dyDescent="0.3">
      <c r="A581" s="326" t="s">
        <v>78</v>
      </c>
      <c r="B581" s="327" t="e">
        <f>B580/B579</f>
        <v>#DIV/0!</v>
      </c>
      <c r="C581" s="327" t="e">
        <f>C580/C579</f>
        <v>#DIV/0!</v>
      </c>
      <c r="D581" s="327" t="e">
        <f>D580/D579</f>
        <v>#DIV/0!</v>
      </c>
      <c r="E581" s="327" t="e">
        <f>E580/E579</f>
        <v>#DIV/0!</v>
      </c>
    </row>
    <row r="582" spans="1:5" ht="15.75" thickBot="1" x14ac:dyDescent="0.3">
      <c r="A582" s="326" t="s">
        <v>79</v>
      </c>
      <c r="B582" s="325"/>
      <c r="C582" s="324" t="e">
        <f t="shared" ref="C582:E584" si="20">C579/B579-1</f>
        <v>#DIV/0!</v>
      </c>
      <c r="D582" s="324" t="e">
        <f t="shared" si="20"/>
        <v>#DIV/0!</v>
      </c>
      <c r="E582" s="324" t="e">
        <f t="shared" si="20"/>
        <v>#DIV/0!</v>
      </c>
    </row>
    <row r="583" spans="1:5" ht="15.75" thickBot="1" x14ac:dyDescent="0.3">
      <c r="A583" s="326" t="s">
        <v>81</v>
      </c>
      <c r="B583" s="325"/>
      <c r="C583" s="324" t="e">
        <f t="shared" si="20"/>
        <v>#DIV/0!</v>
      </c>
      <c r="D583" s="324" t="e">
        <f t="shared" si="20"/>
        <v>#DIV/0!</v>
      </c>
      <c r="E583" s="324" t="e">
        <f t="shared" si="20"/>
        <v>#DIV/0!</v>
      </c>
    </row>
    <row r="584" spans="1:5" ht="15.75" thickBot="1" x14ac:dyDescent="0.3">
      <c r="A584" s="326" t="s">
        <v>82</v>
      </c>
      <c r="B584" s="325"/>
      <c r="C584" s="324" t="e">
        <f t="shared" si="20"/>
        <v>#DIV/0!</v>
      </c>
      <c r="D584" s="324" t="e">
        <f t="shared" si="20"/>
        <v>#DIV/0!</v>
      </c>
      <c r="E584" s="324" t="e">
        <f t="shared" si="20"/>
        <v>#DIV/0!</v>
      </c>
    </row>
    <row r="585" spans="1:5" x14ac:dyDescent="0.25">
      <c r="A585" s="830"/>
      <c r="B585" s="323">
        <v>2018</v>
      </c>
      <c r="C585" s="323">
        <v>2019</v>
      </c>
      <c r="D585" s="323">
        <v>2020</v>
      </c>
      <c r="E585" s="323">
        <v>2021</v>
      </c>
    </row>
    <row r="586" spans="1:5" ht="15.75" thickBot="1" x14ac:dyDescent="0.3">
      <c r="A586" s="831"/>
      <c r="B586" s="322" t="s">
        <v>41</v>
      </c>
      <c r="C586" s="322" t="s">
        <v>42</v>
      </c>
      <c r="D586" s="322" t="s">
        <v>42</v>
      </c>
      <c r="E586" s="322" t="s">
        <v>42</v>
      </c>
    </row>
    <row r="587" spans="1:5" ht="15.75" thickBot="1" x14ac:dyDescent="0.3">
      <c r="A587" s="951" t="s">
        <v>374</v>
      </c>
      <c r="B587" s="952"/>
      <c r="C587" s="952"/>
      <c r="D587" s="952"/>
      <c r="E587" s="953"/>
    </row>
    <row r="588" spans="1:5" x14ac:dyDescent="0.25">
      <c r="A588" s="830"/>
      <c r="B588" s="323">
        <v>2018</v>
      </c>
      <c r="C588" s="323">
        <v>2019</v>
      </c>
      <c r="D588" s="323">
        <v>2020</v>
      </c>
      <c r="E588" s="323">
        <v>2021</v>
      </c>
    </row>
    <row r="589" spans="1:5" ht="15.75" thickBot="1" x14ac:dyDescent="0.3">
      <c r="A589" s="831"/>
      <c r="B589" s="322" t="s">
        <v>41</v>
      </c>
      <c r="C589" s="322" t="s">
        <v>42</v>
      </c>
      <c r="D589" s="322" t="s">
        <v>42</v>
      </c>
      <c r="E589" s="322" t="s">
        <v>42</v>
      </c>
    </row>
    <row r="590" spans="1:5" ht="15.75" thickBot="1" x14ac:dyDescent="0.3">
      <c r="A590" s="316" t="s">
        <v>84</v>
      </c>
      <c r="B590" s="309"/>
      <c r="C590" s="309"/>
      <c r="D590" s="309"/>
      <c r="E590" s="309"/>
    </row>
    <row r="591" spans="1:5" ht="24.75" thickBot="1" x14ac:dyDescent="0.3">
      <c r="A591" s="316" t="s">
        <v>85</v>
      </c>
      <c r="B591" s="309"/>
      <c r="C591" s="309"/>
      <c r="D591" s="309"/>
      <c r="E591" s="309"/>
    </row>
    <row r="592" spans="1:5" ht="15.75" thickBot="1" x14ac:dyDescent="0.3">
      <c r="A592" s="316" t="s">
        <v>86</v>
      </c>
      <c r="B592" s="314"/>
      <c r="C592" s="309"/>
      <c r="D592" s="309"/>
      <c r="E592" s="309"/>
    </row>
    <row r="593" spans="1:5" ht="15.75" thickBot="1" x14ac:dyDescent="0.3">
      <c r="A593" s="316" t="s">
        <v>87</v>
      </c>
      <c r="B593" s="314"/>
      <c r="C593" s="309"/>
      <c r="D593" s="309"/>
      <c r="E593" s="309"/>
    </row>
    <row r="594" spans="1:5" ht="15.75" thickBot="1" x14ac:dyDescent="0.3">
      <c r="A594" s="316" t="s">
        <v>88</v>
      </c>
      <c r="B594" s="314"/>
      <c r="C594" s="309"/>
      <c r="D594" s="309"/>
      <c r="E594" s="309"/>
    </row>
    <row r="595" spans="1:5" ht="15.75" thickBot="1" x14ac:dyDescent="0.3">
      <c r="A595" s="316" t="s">
        <v>89</v>
      </c>
      <c r="B595" s="314"/>
      <c r="C595" s="309"/>
      <c r="D595" s="309"/>
      <c r="E595" s="309"/>
    </row>
    <row r="596" spans="1:5" ht="24.75" thickBot="1" x14ac:dyDescent="0.3">
      <c r="A596" s="316" t="s">
        <v>90</v>
      </c>
      <c r="B596" s="314"/>
      <c r="C596" s="309"/>
      <c r="D596" s="309"/>
      <c r="E596" s="309"/>
    </row>
    <row r="597" spans="1:5" ht="24.75" thickBot="1" x14ac:dyDescent="0.3">
      <c r="A597" s="329" t="s">
        <v>120</v>
      </c>
      <c r="B597" s="311">
        <f>B596+B595+B594+B593+B592+B591+B590</f>
        <v>0</v>
      </c>
      <c r="C597" s="311">
        <f>C596+C595+C594+C593+C592+C591+C590</f>
        <v>0</v>
      </c>
      <c r="D597" s="311">
        <f>D596+D595+D594+D593+D592+D591+D590</f>
        <v>0</v>
      </c>
      <c r="E597" s="311">
        <f>E596+E595+E594+E593+E592+E591+E590</f>
        <v>0</v>
      </c>
    </row>
    <row r="598" spans="1:5" ht="15.75" thickBot="1" x14ac:dyDescent="0.3">
      <c r="A598" s="312" t="s">
        <v>92</v>
      </c>
      <c r="B598" s="311">
        <f>IF(B597-B580=0,0,"Error")</f>
        <v>0</v>
      </c>
      <c r="C598" s="311">
        <f>IF(C597-C580=0,0,"Error")</f>
        <v>0</v>
      </c>
      <c r="D598" s="311">
        <f>IF(D597-D580=0,0,"Error")</f>
        <v>0</v>
      </c>
      <c r="E598" s="311">
        <f>IF(E597-E580=0,0,"Error")</f>
        <v>0</v>
      </c>
    </row>
    <row r="599" spans="1:5" ht="23.25" thickBot="1" x14ac:dyDescent="0.3">
      <c r="A599" s="330" t="s">
        <v>667</v>
      </c>
      <c r="B599" s="838" t="s">
        <v>364</v>
      </c>
      <c r="C599" s="839"/>
      <c r="D599" s="839"/>
      <c r="E599" s="840"/>
    </row>
    <row r="600" spans="1:5" ht="15.75" thickBot="1" x14ac:dyDescent="0.3">
      <c r="A600" s="326" t="s">
        <v>72</v>
      </c>
      <c r="B600" s="850" t="s">
        <v>364</v>
      </c>
      <c r="C600" s="851"/>
      <c r="D600" s="851"/>
      <c r="E600" s="852"/>
    </row>
    <row r="601" spans="1:5" ht="15.75" thickBot="1" x14ac:dyDescent="0.3">
      <c r="A601" s="326" t="s">
        <v>74</v>
      </c>
      <c r="B601" s="838" t="s">
        <v>364</v>
      </c>
      <c r="C601" s="839"/>
      <c r="D601" s="839"/>
      <c r="E601" s="840"/>
    </row>
    <row r="602" spans="1:5" x14ac:dyDescent="0.25">
      <c r="A602" s="830"/>
      <c r="B602" s="323">
        <v>2018</v>
      </c>
      <c r="C602" s="323">
        <v>2019</v>
      </c>
      <c r="D602" s="323">
        <v>2020</v>
      </c>
      <c r="E602" s="323">
        <v>2021</v>
      </c>
    </row>
    <row r="603" spans="1:5" ht="15.75" thickBot="1" x14ac:dyDescent="0.3">
      <c r="A603" s="831"/>
      <c r="B603" s="322" t="s">
        <v>41</v>
      </c>
      <c r="C603" s="322" t="s">
        <v>42</v>
      </c>
      <c r="D603" s="322" t="s">
        <v>42</v>
      </c>
      <c r="E603" s="322" t="s">
        <v>42</v>
      </c>
    </row>
    <row r="604" spans="1:5" ht="15.75" thickBot="1" x14ac:dyDescent="0.3">
      <c r="A604" s="326" t="s">
        <v>76</v>
      </c>
      <c r="B604" s="327"/>
      <c r="C604" s="327"/>
      <c r="D604" s="327"/>
      <c r="E604" s="327"/>
    </row>
    <row r="605" spans="1:5" ht="15.75" thickBot="1" x14ac:dyDescent="0.3">
      <c r="A605" s="326" t="s">
        <v>77</v>
      </c>
      <c r="B605" s="327">
        <v>0</v>
      </c>
      <c r="C605" s="327"/>
      <c r="D605" s="327"/>
      <c r="E605" s="327"/>
    </row>
    <row r="606" spans="1:5" ht="15.75" thickBot="1" x14ac:dyDescent="0.3">
      <c r="A606" s="326" t="s">
        <v>78</v>
      </c>
      <c r="B606" s="327" t="e">
        <f>B605/B604</f>
        <v>#DIV/0!</v>
      </c>
      <c r="C606" s="327" t="e">
        <f>C605/C604</f>
        <v>#DIV/0!</v>
      </c>
      <c r="D606" s="327" t="e">
        <f>D605/D604</f>
        <v>#DIV/0!</v>
      </c>
      <c r="E606" s="327" t="e">
        <f>E605/E604</f>
        <v>#DIV/0!</v>
      </c>
    </row>
    <row r="607" spans="1:5" ht="15.75" thickBot="1" x14ac:dyDescent="0.3">
      <c r="A607" s="326" t="s">
        <v>79</v>
      </c>
      <c r="B607" s="325"/>
      <c r="C607" s="324" t="e">
        <f t="shared" ref="C607:E609" si="21">C604/B604-1</f>
        <v>#DIV/0!</v>
      </c>
      <c r="D607" s="324" t="e">
        <f t="shared" si="21"/>
        <v>#DIV/0!</v>
      </c>
      <c r="E607" s="324" t="e">
        <f t="shared" si="21"/>
        <v>#DIV/0!</v>
      </c>
    </row>
    <row r="608" spans="1:5" ht="15.75" thickBot="1" x14ac:dyDescent="0.3">
      <c r="A608" s="326" t="s">
        <v>81</v>
      </c>
      <c r="B608" s="325"/>
      <c r="C608" s="324" t="e">
        <f t="shared" si="21"/>
        <v>#DIV/0!</v>
      </c>
      <c r="D608" s="324" t="e">
        <f t="shared" si="21"/>
        <v>#DIV/0!</v>
      </c>
      <c r="E608" s="324" t="e">
        <f t="shared" si="21"/>
        <v>#DIV/0!</v>
      </c>
    </row>
    <row r="609" spans="1:5" ht="15.75" thickBot="1" x14ac:dyDescent="0.3">
      <c r="A609" s="326" t="s">
        <v>82</v>
      </c>
      <c r="B609" s="325"/>
      <c r="C609" s="324" t="e">
        <f t="shared" si="21"/>
        <v>#DIV/0!</v>
      </c>
      <c r="D609" s="324" t="e">
        <f t="shared" si="21"/>
        <v>#DIV/0!</v>
      </c>
      <c r="E609" s="324" t="e">
        <f t="shared" si="21"/>
        <v>#DIV/0!</v>
      </c>
    </row>
    <row r="610" spans="1:5" ht="15.75" thickBot="1" x14ac:dyDescent="0.3">
      <c r="A610" s="951" t="s">
        <v>366</v>
      </c>
      <c r="B610" s="952"/>
      <c r="C610" s="952"/>
      <c r="D610" s="952"/>
      <c r="E610" s="953"/>
    </row>
    <row r="611" spans="1:5" x14ac:dyDescent="0.25">
      <c r="A611" s="830"/>
      <c r="B611" s="323">
        <v>2018</v>
      </c>
      <c r="C611" s="323">
        <v>2019</v>
      </c>
      <c r="D611" s="323">
        <v>2020</v>
      </c>
      <c r="E611" s="323">
        <v>2021</v>
      </c>
    </row>
    <row r="612" spans="1:5" ht="15.75" thickBot="1" x14ac:dyDescent="0.3">
      <c r="A612" s="831"/>
      <c r="B612" s="322" t="s">
        <v>41</v>
      </c>
      <c r="C612" s="322" t="s">
        <v>42</v>
      </c>
      <c r="D612" s="322" t="s">
        <v>42</v>
      </c>
      <c r="E612" s="322" t="s">
        <v>42</v>
      </c>
    </row>
    <row r="613" spans="1:5" ht="15.75" thickBot="1" x14ac:dyDescent="0.3">
      <c r="A613" s="316" t="s">
        <v>84</v>
      </c>
      <c r="B613" s="309"/>
      <c r="C613" s="309"/>
      <c r="D613" s="309"/>
      <c r="E613" s="309"/>
    </row>
    <row r="614" spans="1:5" ht="24.75" thickBot="1" x14ac:dyDescent="0.3">
      <c r="A614" s="316" t="s">
        <v>85</v>
      </c>
      <c r="B614" s="309"/>
      <c r="C614" s="309"/>
      <c r="D614" s="309"/>
      <c r="E614" s="309"/>
    </row>
    <row r="615" spans="1:5" ht="15.75" thickBot="1" x14ac:dyDescent="0.3">
      <c r="A615" s="316" t="s">
        <v>86</v>
      </c>
      <c r="B615" s="314"/>
      <c r="C615" s="309"/>
      <c r="D615" s="309"/>
      <c r="E615" s="309"/>
    </row>
    <row r="616" spans="1:5" ht="15.75" thickBot="1" x14ac:dyDescent="0.3">
      <c r="A616" s="316" t="s">
        <v>87</v>
      </c>
      <c r="B616" s="314"/>
      <c r="C616" s="309"/>
      <c r="D616" s="309"/>
      <c r="E616" s="309"/>
    </row>
    <row r="617" spans="1:5" ht="15.75" thickBot="1" x14ac:dyDescent="0.3">
      <c r="A617" s="316" t="s">
        <v>88</v>
      </c>
      <c r="B617" s="314"/>
      <c r="C617" s="309"/>
      <c r="D617" s="309"/>
      <c r="E617" s="309"/>
    </row>
    <row r="618" spans="1:5" ht="15.75" thickBot="1" x14ac:dyDescent="0.3">
      <c r="A618" s="316" t="s">
        <v>89</v>
      </c>
      <c r="B618" s="314"/>
      <c r="C618" s="309"/>
      <c r="D618" s="309"/>
      <c r="E618" s="309"/>
    </row>
    <row r="619" spans="1:5" ht="24.75" thickBot="1" x14ac:dyDescent="0.3">
      <c r="A619" s="316" t="s">
        <v>90</v>
      </c>
      <c r="B619" s="314"/>
      <c r="C619" s="309"/>
      <c r="D619" s="309"/>
      <c r="E619" s="309"/>
    </row>
    <row r="620" spans="1:5" ht="24.75" thickBot="1" x14ac:dyDescent="0.3">
      <c r="A620" s="329" t="s">
        <v>120</v>
      </c>
      <c r="B620" s="318">
        <f>B619+B617+B618+B616+B615+B614+B613</f>
        <v>0</v>
      </c>
      <c r="C620" s="318">
        <f>C619+C617+C618+C616+C615+C614+C613</f>
        <v>0</v>
      </c>
      <c r="D620" s="318">
        <f>D619+D617+D618+D616+D615+D614+D613</f>
        <v>0</v>
      </c>
      <c r="E620" s="318">
        <f>E619+E617+E618+E616+E615+E614+E613</f>
        <v>0</v>
      </c>
    </row>
    <row r="621" spans="1:5" ht="15.75" thickBot="1" x14ac:dyDescent="0.3">
      <c r="A621" s="312" t="s">
        <v>92</v>
      </c>
      <c r="B621" s="311">
        <f>IF(B620-B605=0,0,"Error")</f>
        <v>0</v>
      </c>
      <c r="C621" s="311">
        <f>IF(C620-C605=0,0,"Error")</f>
        <v>0</v>
      </c>
      <c r="D621" s="311">
        <f>IF(D620-D605=0,0,"Error")</f>
        <v>0</v>
      </c>
      <c r="E621" s="311">
        <f>IF(E620-E605=0,0,"Error")</f>
        <v>0</v>
      </c>
    </row>
    <row r="622" spans="1:5" ht="15.75" thickBot="1" x14ac:dyDescent="0.3">
      <c r="A622" s="832" t="s">
        <v>104</v>
      </c>
      <c r="B622" s="833"/>
      <c r="C622" s="833"/>
      <c r="D622" s="833"/>
      <c r="E622" s="834"/>
    </row>
    <row r="623" spans="1:5" ht="15.75" thickBot="1" x14ac:dyDescent="0.3">
      <c r="A623" s="832" t="s">
        <v>105</v>
      </c>
      <c r="B623" s="833"/>
      <c r="C623" s="833"/>
      <c r="D623" s="833"/>
      <c r="E623" s="834"/>
    </row>
    <row r="624" spans="1:5" ht="15.75" thickBot="1" x14ac:dyDescent="0.3">
      <c r="A624" s="326" t="s">
        <v>257</v>
      </c>
      <c r="B624" s="835" t="s">
        <v>107</v>
      </c>
      <c r="C624" s="836"/>
      <c r="D624" s="836"/>
      <c r="E624" s="837"/>
    </row>
    <row r="625" spans="1:5" ht="15.75" thickBot="1" x14ac:dyDescent="0.3">
      <c r="A625" s="328" t="s">
        <v>108</v>
      </c>
      <c r="B625" s="838" t="s">
        <v>364</v>
      </c>
      <c r="C625" s="839"/>
      <c r="D625" s="839"/>
      <c r="E625" s="840"/>
    </row>
    <row r="626" spans="1:5" ht="15.75" thickBot="1" x14ac:dyDescent="0.3">
      <c r="A626" s="326" t="s">
        <v>72</v>
      </c>
      <c r="B626" s="850" t="s">
        <v>364</v>
      </c>
      <c r="C626" s="851"/>
      <c r="D626" s="851"/>
      <c r="E626" s="852"/>
    </row>
    <row r="627" spans="1:5" ht="15.75" thickBot="1" x14ac:dyDescent="0.3">
      <c r="A627" s="326" t="s">
        <v>74</v>
      </c>
      <c r="B627" s="838" t="s">
        <v>364</v>
      </c>
      <c r="C627" s="839"/>
      <c r="D627" s="839"/>
      <c r="E627" s="840"/>
    </row>
    <row r="628" spans="1:5" x14ac:dyDescent="0.25">
      <c r="A628" s="830"/>
      <c r="B628" s="323">
        <v>2018</v>
      </c>
      <c r="C628" s="323">
        <v>2019</v>
      </c>
      <c r="D628" s="323">
        <v>2020</v>
      </c>
      <c r="E628" s="323">
        <v>2021</v>
      </c>
    </row>
    <row r="629" spans="1:5" ht="15.75" thickBot="1" x14ac:dyDescent="0.3">
      <c r="A629" s="831"/>
      <c r="B629" s="322" t="s">
        <v>41</v>
      </c>
      <c r="C629" s="322" t="s">
        <v>42</v>
      </c>
      <c r="D629" s="322" t="s">
        <v>42</v>
      </c>
      <c r="E629" s="322" t="s">
        <v>42</v>
      </c>
    </row>
    <row r="630" spans="1:5" ht="15.75" thickBot="1" x14ac:dyDescent="0.3">
      <c r="A630" s="326" t="s">
        <v>76</v>
      </c>
      <c r="B630" s="327"/>
      <c r="C630" s="327"/>
      <c r="D630" s="327"/>
      <c r="E630" s="327"/>
    </row>
    <row r="631" spans="1:5" ht="15.75" thickBot="1" x14ac:dyDescent="0.3">
      <c r="A631" s="326" t="s">
        <v>77</v>
      </c>
      <c r="B631" s="327">
        <v>0</v>
      </c>
      <c r="C631" s="327"/>
      <c r="D631" s="327"/>
      <c r="E631" s="327"/>
    </row>
    <row r="632" spans="1:5" ht="15.75" thickBot="1" x14ac:dyDescent="0.3">
      <c r="A632" s="326" t="s">
        <v>78</v>
      </c>
      <c r="B632" s="327" t="e">
        <f>B631/B630</f>
        <v>#DIV/0!</v>
      </c>
      <c r="C632" s="327" t="e">
        <f>C631/C630</f>
        <v>#DIV/0!</v>
      </c>
      <c r="D632" s="327" t="e">
        <f>D631/D630</f>
        <v>#DIV/0!</v>
      </c>
      <c r="E632" s="327" t="e">
        <f>E631/E630</f>
        <v>#DIV/0!</v>
      </c>
    </row>
    <row r="633" spans="1:5" ht="15.75" thickBot="1" x14ac:dyDescent="0.3">
      <c r="A633" s="326" t="s">
        <v>79</v>
      </c>
      <c r="B633" s="325" t="s">
        <v>80</v>
      </c>
      <c r="C633" s="324" t="e">
        <f t="shared" ref="C633:E635" si="22">C630/B630-1</f>
        <v>#DIV/0!</v>
      </c>
      <c r="D633" s="324" t="e">
        <f t="shared" si="22"/>
        <v>#DIV/0!</v>
      </c>
      <c r="E633" s="324" t="e">
        <f t="shared" si="22"/>
        <v>#DIV/0!</v>
      </c>
    </row>
    <row r="634" spans="1:5" ht="15.75" thickBot="1" x14ac:dyDescent="0.3">
      <c r="A634" s="326" t="s">
        <v>81</v>
      </c>
      <c r="B634" s="325" t="s">
        <v>80</v>
      </c>
      <c r="C634" s="324" t="e">
        <f t="shared" si="22"/>
        <v>#DIV/0!</v>
      </c>
      <c r="D634" s="324" t="e">
        <f t="shared" si="22"/>
        <v>#DIV/0!</v>
      </c>
      <c r="E634" s="324" t="e">
        <f t="shared" si="22"/>
        <v>#DIV/0!</v>
      </c>
    </row>
    <row r="635" spans="1:5" ht="15.75" thickBot="1" x14ac:dyDescent="0.3">
      <c r="A635" s="326" t="s">
        <v>82</v>
      </c>
      <c r="B635" s="325" t="s">
        <v>80</v>
      </c>
      <c r="C635" s="324" t="e">
        <f t="shared" si="22"/>
        <v>#DIV/0!</v>
      </c>
      <c r="D635" s="324" t="e">
        <f t="shared" si="22"/>
        <v>#DIV/0!</v>
      </c>
      <c r="E635" s="324" t="e">
        <f t="shared" si="22"/>
        <v>#DIV/0!</v>
      </c>
    </row>
    <row r="636" spans="1:5" ht="15.75" thickBot="1" x14ac:dyDescent="0.3">
      <c r="A636" s="951" t="s">
        <v>83</v>
      </c>
      <c r="B636" s="952"/>
      <c r="C636" s="952"/>
      <c r="D636" s="952"/>
      <c r="E636" s="953"/>
    </row>
    <row r="637" spans="1:5" x14ac:dyDescent="0.25">
      <c r="A637" s="830"/>
      <c r="B637" s="323">
        <v>2018</v>
      </c>
      <c r="C637" s="323">
        <v>2019</v>
      </c>
      <c r="D637" s="323">
        <v>2020</v>
      </c>
      <c r="E637" s="323">
        <v>2021</v>
      </c>
    </row>
    <row r="638" spans="1:5" ht="15.75" thickBot="1" x14ac:dyDescent="0.3">
      <c r="A638" s="831"/>
      <c r="B638" s="322" t="s">
        <v>41</v>
      </c>
      <c r="C638" s="322" t="s">
        <v>42</v>
      </c>
      <c r="D638" s="322" t="s">
        <v>42</v>
      </c>
      <c r="E638" s="322" t="s">
        <v>42</v>
      </c>
    </row>
    <row r="639" spans="1:5" ht="15.75" thickBot="1" x14ac:dyDescent="0.3">
      <c r="A639" s="316" t="s">
        <v>169</v>
      </c>
      <c r="B639" s="309"/>
      <c r="C639" s="309"/>
      <c r="D639" s="309"/>
      <c r="E639" s="309"/>
    </row>
    <row r="640" spans="1:5" ht="15.75" thickBot="1" x14ac:dyDescent="0.3">
      <c r="A640" s="316" t="s">
        <v>112</v>
      </c>
      <c r="B640" s="314"/>
      <c r="C640" s="309"/>
      <c r="D640" s="309"/>
      <c r="E640" s="309"/>
    </row>
    <row r="641" spans="1:5" ht="15.75" thickBot="1" x14ac:dyDescent="0.3">
      <c r="A641" s="321" t="s">
        <v>91</v>
      </c>
      <c r="B641" s="314">
        <f>B640+B639</f>
        <v>0</v>
      </c>
      <c r="C641" s="314">
        <f>C640+C639</f>
        <v>0</v>
      </c>
      <c r="D641" s="314">
        <f>D640+D639</f>
        <v>0</v>
      </c>
      <c r="E641" s="314">
        <f>E640+E639</f>
        <v>0</v>
      </c>
    </row>
    <row r="642" spans="1:5" ht="15.75" thickBot="1" x14ac:dyDescent="0.3">
      <c r="A642" s="326" t="s">
        <v>257</v>
      </c>
      <c r="B642" s="835" t="s">
        <v>107</v>
      </c>
      <c r="C642" s="836"/>
      <c r="D642" s="836"/>
      <c r="E642" s="837"/>
    </row>
    <row r="643" spans="1:5" ht="23.25" thickBot="1" x14ac:dyDescent="0.3">
      <c r="A643" s="328" t="s">
        <v>365</v>
      </c>
      <c r="B643" s="838" t="s">
        <v>364</v>
      </c>
      <c r="C643" s="839"/>
      <c r="D643" s="839"/>
      <c r="E643" s="840"/>
    </row>
    <row r="644" spans="1:5" ht="15.75" thickBot="1" x14ac:dyDescent="0.3">
      <c r="A644" s="326" t="s">
        <v>72</v>
      </c>
      <c r="B644" s="850" t="s">
        <v>364</v>
      </c>
      <c r="C644" s="851"/>
      <c r="D644" s="851"/>
      <c r="E644" s="852"/>
    </row>
    <row r="645" spans="1:5" ht="15.75" thickBot="1" x14ac:dyDescent="0.3">
      <c r="A645" s="326" t="s">
        <v>74</v>
      </c>
      <c r="B645" s="838" t="s">
        <v>364</v>
      </c>
      <c r="C645" s="839"/>
      <c r="D645" s="839"/>
      <c r="E645" s="840"/>
    </row>
    <row r="646" spans="1:5" x14ac:dyDescent="0.25">
      <c r="A646" s="830"/>
      <c r="B646" s="323">
        <v>2018</v>
      </c>
      <c r="C646" s="323">
        <v>2019</v>
      </c>
      <c r="D646" s="323">
        <v>2020</v>
      </c>
      <c r="E646" s="323">
        <v>2021</v>
      </c>
    </row>
    <row r="647" spans="1:5" ht="15.75" thickBot="1" x14ac:dyDescent="0.3">
      <c r="A647" s="831"/>
      <c r="B647" s="322" t="s">
        <v>41</v>
      </c>
      <c r="C647" s="322" t="s">
        <v>42</v>
      </c>
      <c r="D647" s="322" t="s">
        <v>42</v>
      </c>
      <c r="E647" s="322" t="s">
        <v>42</v>
      </c>
    </row>
    <row r="648" spans="1:5" ht="15.75" thickBot="1" x14ac:dyDescent="0.3">
      <c r="A648" s="326" t="s">
        <v>76</v>
      </c>
      <c r="B648" s="327"/>
      <c r="C648" s="327"/>
      <c r="D648" s="327"/>
      <c r="E648" s="327"/>
    </row>
    <row r="649" spans="1:5" ht="15.75" thickBot="1" x14ac:dyDescent="0.3">
      <c r="A649" s="326" t="s">
        <v>77</v>
      </c>
      <c r="B649" s="327">
        <v>0</v>
      </c>
      <c r="C649" s="327"/>
      <c r="D649" s="327"/>
      <c r="E649" s="327"/>
    </row>
    <row r="650" spans="1:5" ht="15.75" thickBot="1" x14ac:dyDescent="0.3">
      <c r="A650" s="326" t="s">
        <v>78</v>
      </c>
      <c r="B650" s="327" t="e">
        <f>B649/B648</f>
        <v>#DIV/0!</v>
      </c>
      <c r="C650" s="327" t="e">
        <f>C649/C648</f>
        <v>#DIV/0!</v>
      </c>
      <c r="D650" s="327" t="e">
        <f>D649/D648</f>
        <v>#DIV/0!</v>
      </c>
      <c r="E650" s="327" t="e">
        <f>E649/E648</f>
        <v>#DIV/0!</v>
      </c>
    </row>
    <row r="651" spans="1:5" ht="15.75" thickBot="1" x14ac:dyDescent="0.3">
      <c r="A651" s="326" t="s">
        <v>79</v>
      </c>
      <c r="B651" s="325" t="s">
        <v>80</v>
      </c>
      <c r="C651" s="324" t="e">
        <f t="shared" ref="C651:E653" si="23">C648/B648-1</f>
        <v>#DIV/0!</v>
      </c>
      <c r="D651" s="324" t="e">
        <f t="shared" si="23"/>
        <v>#DIV/0!</v>
      </c>
      <c r="E651" s="324" t="e">
        <f t="shared" si="23"/>
        <v>#DIV/0!</v>
      </c>
    </row>
    <row r="652" spans="1:5" ht="15.75" thickBot="1" x14ac:dyDescent="0.3">
      <c r="A652" s="326" t="s">
        <v>81</v>
      </c>
      <c r="B652" s="325" t="s">
        <v>80</v>
      </c>
      <c r="C652" s="324" t="e">
        <f t="shared" si="23"/>
        <v>#DIV/0!</v>
      </c>
      <c r="D652" s="324" t="e">
        <f t="shared" si="23"/>
        <v>#DIV/0!</v>
      </c>
      <c r="E652" s="324" t="e">
        <f t="shared" si="23"/>
        <v>#DIV/0!</v>
      </c>
    </row>
    <row r="653" spans="1:5" ht="15.75" thickBot="1" x14ac:dyDescent="0.3">
      <c r="A653" s="326" t="s">
        <v>82</v>
      </c>
      <c r="B653" s="325" t="s">
        <v>80</v>
      </c>
      <c r="C653" s="324" t="e">
        <f t="shared" si="23"/>
        <v>#DIV/0!</v>
      </c>
      <c r="D653" s="324" t="e">
        <f t="shared" si="23"/>
        <v>#DIV/0!</v>
      </c>
      <c r="E653" s="324" t="e">
        <f t="shared" si="23"/>
        <v>#DIV/0!</v>
      </c>
    </row>
    <row r="654" spans="1:5" ht="15.75" thickBot="1" x14ac:dyDescent="0.3">
      <c r="A654" s="951" t="s">
        <v>366</v>
      </c>
      <c r="B654" s="952"/>
      <c r="C654" s="952"/>
      <c r="D654" s="952"/>
      <c r="E654" s="953"/>
    </row>
    <row r="655" spans="1:5" x14ac:dyDescent="0.25">
      <c r="A655" s="830"/>
      <c r="B655" s="323">
        <v>2018</v>
      </c>
      <c r="C655" s="323">
        <v>2019</v>
      </c>
      <c r="D655" s="323">
        <v>2020</v>
      </c>
      <c r="E655" s="323">
        <v>2021</v>
      </c>
    </row>
    <row r="656" spans="1:5" ht="15.75" thickBot="1" x14ac:dyDescent="0.3">
      <c r="A656" s="831"/>
      <c r="B656" s="322" t="s">
        <v>41</v>
      </c>
      <c r="C656" s="322" t="s">
        <v>42</v>
      </c>
      <c r="D656" s="322" t="s">
        <v>42</v>
      </c>
      <c r="E656" s="322" t="s">
        <v>42</v>
      </c>
    </row>
    <row r="657" spans="1:5" ht="15.75" thickBot="1" x14ac:dyDescent="0.3">
      <c r="A657" s="316" t="s">
        <v>169</v>
      </c>
      <c r="B657" s="309"/>
      <c r="C657" s="309"/>
      <c r="D657" s="309"/>
      <c r="E657" s="309"/>
    </row>
    <row r="658" spans="1:5" ht="15.75" thickBot="1" x14ac:dyDescent="0.3">
      <c r="A658" s="316" t="s">
        <v>112</v>
      </c>
      <c r="B658" s="314"/>
      <c r="C658" s="309"/>
      <c r="D658" s="309"/>
      <c r="E658" s="309"/>
    </row>
    <row r="659" spans="1:5" ht="15.75" thickBot="1" x14ac:dyDescent="0.3">
      <c r="A659" s="321" t="s">
        <v>176</v>
      </c>
      <c r="B659" s="314">
        <f>B658+B657</f>
        <v>0</v>
      </c>
      <c r="C659" s="314">
        <f>C658+C657</f>
        <v>0</v>
      </c>
      <c r="D659" s="314">
        <f>D658+D657</f>
        <v>0</v>
      </c>
      <c r="E659" s="314">
        <f>E658+E657</f>
        <v>0</v>
      </c>
    </row>
    <row r="660" spans="1:5" ht="15.75" thickBot="1" x14ac:dyDescent="0.3">
      <c r="A660" s="832" t="s">
        <v>104</v>
      </c>
      <c r="B660" s="833"/>
      <c r="C660" s="833"/>
      <c r="D660" s="833"/>
      <c r="E660" s="834"/>
    </row>
    <row r="661" spans="1:5" ht="15.75" thickBot="1" x14ac:dyDescent="0.3">
      <c r="A661" s="832" t="s">
        <v>170</v>
      </c>
      <c r="B661" s="833"/>
      <c r="C661" s="833"/>
      <c r="D661" s="833"/>
      <c r="E661" s="834"/>
    </row>
    <row r="662" spans="1:5" ht="15.75" thickBot="1" x14ac:dyDescent="0.3">
      <c r="A662" s="326" t="s">
        <v>257</v>
      </c>
      <c r="B662" s="835" t="s">
        <v>107</v>
      </c>
      <c r="C662" s="836"/>
      <c r="D662" s="836"/>
      <c r="E662" s="837"/>
    </row>
    <row r="663" spans="1:5" ht="15.75" thickBot="1" x14ac:dyDescent="0.3">
      <c r="A663" s="328" t="s">
        <v>108</v>
      </c>
      <c r="B663" s="838" t="s">
        <v>364</v>
      </c>
      <c r="C663" s="839"/>
      <c r="D663" s="839"/>
      <c r="E663" s="840"/>
    </row>
    <row r="664" spans="1:5" ht="15.75" thickBot="1" x14ac:dyDescent="0.3">
      <c r="A664" s="326" t="s">
        <v>72</v>
      </c>
      <c r="B664" s="850" t="s">
        <v>364</v>
      </c>
      <c r="C664" s="851"/>
      <c r="D664" s="851"/>
      <c r="E664" s="852"/>
    </row>
    <row r="665" spans="1:5" ht="15.75" thickBot="1" x14ac:dyDescent="0.3">
      <c r="A665" s="326" t="s">
        <v>74</v>
      </c>
      <c r="B665" s="838" t="s">
        <v>364</v>
      </c>
      <c r="C665" s="839"/>
      <c r="D665" s="839"/>
      <c r="E665" s="840"/>
    </row>
    <row r="666" spans="1:5" x14ac:dyDescent="0.25">
      <c r="A666" s="830"/>
      <c r="B666" s="323">
        <v>2018</v>
      </c>
      <c r="C666" s="323">
        <v>2019</v>
      </c>
      <c r="D666" s="323">
        <v>2020</v>
      </c>
      <c r="E666" s="323">
        <v>2021</v>
      </c>
    </row>
    <row r="667" spans="1:5" ht="15.75" thickBot="1" x14ac:dyDescent="0.3">
      <c r="A667" s="831"/>
      <c r="B667" s="322" t="s">
        <v>41</v>
      </c>
      <c r="C667" s="322" t="s">
        <v>42</v>
      </c>
      <c r="D667" s="322" t="s">
        <v>42</v>
      </c>
      <c r="E667" s="322" t="s">
        <v>42</v>
      </c>
    </row>
    <row r="668" spans="1:5" ht="15.75" thickBot="1" x14ac:dyDescent="0.3">
      <c r="A668" s="326" t="s">
        <v>76</v>
      </c>
      <c r="B668" s="327"/>
      <c r="C668" s="327"/>
      <c r="D668" s="327"/>
      <c r="E668" s="327"/>
    </row>
    <row r="669" spans="1:5" ht="15.75" thickBot="1" x14ac:dyDescent="0.3">
      <c r="A669" s="326" t="s">
        <v>77</v>
      </c>
      <c r="B669" s="327">
        <v>0</v>
      </c>
      <c r="C669" s="327"/>
      <c r="D669" s="327"/>
      <c r="E669" s="327"/>
    </row>
    <row r="670" spans="1:5" ht="15.75" thickBot="1" x14ac:dyDescent="0.3">
      <c r="A670" s="326" t="s">
        <v>78</v>
      </c>
      <c r="B670" s="327" t="e">
        <f>B669/B668</f>
        <v>#DIV/0!</v>
      </c>
      <c r="C670" s="327" t="e">
        <f>C669/C668</f>
        <v>#DIV/0!</v>
      </c>
      <c r="D670" s="327" t="e">
        <f>D669/D668</f>
        <v>#DIV/0!</v>
      </c>
      <c r="E670" s="327" t="e">
        <f>E669/E668</f>
        <v>#DIV/0!</v>
      </c>
    </row>
    <row r="671" spans="1:5" ht="15.75" thickBot="1" x14ac:dyDescent="0.3">
      <c r="A671" s="326" t="s">
        <v>79</v>
      </c>
      <c r="B671" s="325" t="s">
        <v>80</v>
      </c>
      <c r="C671" s="324" t="e">
        <f t="shared" ref="C671:E673" si="24">C668/B668-1</f>
        <v>#DIV/0!</v>
      </c>
      <c r="D671" s="324" t="e">
        <f t="shared" si="24"/>
        <v>#DIV/0!</v>
      </c>
      <c r="E671" s="324" t="e">
        <f t="shared" si="24"/>
        <v>#DIV/0!</v>
      </c>
    </row>
    <row r="672" spans="1:5" ht="15.75" thickBot="1" x14ac:dyDescent="0.3">
      <c r="A672" s="326" t="s">
        <v>81</v>
      </c>
      <c r="B672" s="325" t="s">
        <v>80</v>
      </c>
      <c r="C672" s="324" t="e">
        <f t="shared" si="24"/>
        <v>#DIV/0!</v>
      </c>
      <c r="D672" s="324" t="e">
        <f t="shared" si="24"/>
        <v>#DIV/0!</v>
      </c>
      <c r="E672" s="324" t="e">
        <f t="shared" si="24"/>
        <v>#DIV/0!</v>
      </c>
    </row>
    <row r="673" spans="1:5" ht="15.75" thickBot="1" x14ac:dyDescent="0.3">
      <c r="A673" s="326" t="s">
        <v>82</v>
      </c>
      <c r="B673" s="325" t="s">
        <v>80</v>
      </c>
      <c r="C673" s="324" t="e">
        <f t="shared" si="24"/>
        <v>#DIV/0!</v>
      </c>
      <c r="D673" s="324" t="e">
        <f t="shared" si="24"/>
        <v>#DIV/0!</v>
      </c>
      <c r="E673" s="324" t="e">
        <f t="shared" si="24"/>
        <v>#DIV/0!</v>
      </c>
    </row>
    <row r="674" spans="1:5" ht="15.75" thickBot="1" x14ac:dyDescent="0.3">
      <c r="A674" s="951" t="s">
        <v>83</v>
      </c>
      <c r="B674" s="952"/>
      <c r="C674" s="952"/>
      <c r="D674" s="952"/>
      <c r="E674" s="953"/>
    </row>
    <row r="675" spans="1:5" x14ac:dyDescent="0.25">
      <c r="A675" s="830"/>
      <c r="B675" s="323">
        <v>2018</v>
      </c>
      <c r="C675" s="323">
        <v>2019</v>
      </c>
      <c r="D675" s="323">
        <v>2020</v>
      </c>
      <c r="E675" s="323">
        <v>2021</v>
      </c>
    </row>
    <row r="676" spans="1:5" ht="15.75" thickBot="1" x14ac:dyDescent="0.3">
      <c r="A676" s="831"/>
      <c r="B676" s="322" t="s">
        <v>41</v>
      </c>
      <c r="C676" s="322" t="s">
        <v>42</v>
      </c>
      <c r="D676" s="322" t="s">
        <v>42</v>
      </c>
      <c r="E676" s="322" t="s">
        <v>42</v>
      </c>
    </row>
    <row r="677" spans="1:5" ht="15.75" thickBot="1" x14ac:dyDescent="0.3">
      <c r="A677" s="316" t="s">
        <v>169</v>
      </c>
      <c r="B677" s="309"/>
      <c r="C677" s="309"/>
      <c r="D677" s="309"/>
      <c r="E677" s="309"/>
    </row>
    <row r="678" spans="1:5" ht="15.75" thickBot="1" x14ac:dyDescent="0.3">
      <c r="A678" s="316" t="s">
        <v>112</v>
      </c>
      <c r="B678" s="314"/>
      <c r="C678" s="309"/>
      <c r="D678" s="309"/>
      <c r="E678" s="309"/>
    </row>
    <row r="679" spans="1:5" ht="15.75" thickBot="1" x14ac:dyDescent="0.3">
      <c r="A679" s="321" t="s">
        <v>91</v>
      </c>
      <c r="B679" s="314">
        <f>B678+B677</f>
        <v>0</v>
      </c>
      <c r="C679" s="314">
        <f>C678+C677</f>
        <v>0</v>
      </c>
      <c r="D679" s="314">
        <f>D678+D677</f>
        <v>0</v>
      </c>
      <c r="E679" s="314">
        <f>E678+E677</f>
        <v>0</v>
      </c>
    </row>
    <row r="680" spans="1:5" ht="15.75" thickBot="1" x14ac:dyDescent="0.3">
      <c r="A680" s="326" t="s">
        <v>257</v>
      </c>
      <c r="B680" s="835" t="s">
        <v>107</v>
      </c>
      <c r="C680" s="836"/>
      <c r="D680" s="836"/>
      <c r="E680" s="837"/>
    </row>
    <row r="681" spans="1:5" ht="23.25" thickBot="1" x14ac:dyDescent="0.3">
      <c r="A681" s="328" t="s">
        <v>365</v>
      </c>
      <c r="B681" s="838" t="s">
        <v>364</v>
      </c>
      <c r="C681" s="839"/>
      <c r="D681" s="839"/>
      <c r="E681" s="840"/>
    </row>
    <row r="682" spans="1:5" ht="15.75" thickBot="1" x14ac:dyDescent="0.3">
      <c r="A682" s="326" t="s">
        <v>72</v>
      </c>
      <c r="B682" s="850" t="s">
        <v>364</v>
      </c>
      <c r="C682" s="851"/>
      <c r="D682" s="851"/>
      <c r="E682" s="852"/>
    </row>
    <row r="683" spans="1:5" ht="15.75" thickBot="1" x14ac:dyDescent="0.3">
      <c r="A683" s="326" t="s">
        <v>74</v>
      </c>
      <c r="B683" s="838" t="s">
        <v>364</v>
      </c>
      <c r="C683" s="839"/>
      <c r="D683" s="839"/>
      <c r="E683" s="840"/>
    </row>
    <row r="684" spans="1:5" x14ac:dyDescent="0.25">
      <c r="A684" s="830"/>
      <c r="B684" s="323">
        <v>2018</v>
      </c>
      <c r="C684" s="323">
        <v>2019</v>
      </c>
      <c r="D684" s="323">
        <v>2020</v>
      </c>
      <c r="E684" s="323">
        <v>2021</v>
      </c>
    </row>
    <row r="685" spans="1:5" ht="15.75" thickBot="1" x14ac:dyDescent="0.3">
      <c r="A685" s="831"/>
      <c r="B685" s="322" t="s">
        <v>41</v>
      </c>
      <c r="C685" s="322" t="s">
        <v>42</v>
      </c>
      <c r="D685" s="322" t="s">
        <v>42</v>
      </c>
      <c r="E685" s="322" t="s">
        <v>42</v>
      </c>
    </row>
    <row r="686" spans="1:5" ht="15.75" thickBot="1" x14ac:dyDescent="0.3">
      <c r="A686" s="326" t="s">
        <v>76</v>
      </c>
      <c r="B686" s="327"/>
      <c r="C686" s="327"/>
      <c r="D686" s="327"/>
      <c r="E686" s="327"/>
    </row>
    <row r="687" spans="1:5" ht="15.75" thickBot="1" x14ac:dyDescent="0.3">
      <c r="A687" s="326" t="s">
        <v>77</v>
      </c>
      <c r="B687" s="327">
        <v>0</v>
      </c>
      <c r="C687" s="327"/>
      <c r="D687" s="327"/>
      <c r="E687" s="327"/>
    </row>
    <row r="688" spans="1:5" ht="15.75" thickBot="1" x14ac:dyDescent="0.3">
      <c r="A688" s="326" t="s">
        <v>78</v>
      </c>
      <c r="B688" s="327" t="e">
        <f>B687/B686</f>
        <v>#DIV/0!</v>
      </c>
      <c r="C688" s="327" t="e">
        <f>C687/C686</f>
        <v>#DIV/0!</v>
      </c>
      <c r="D688" s="327" t="e">
        <f>D687/D686</f>
        <v>#DIV/0!</v>
      </c>
      <c r="E688" s="327" t="e">
        <f>E687/E686</f>
        <v>#DIV/0!</v>
      </c>
    </row>
    <row r="689" spans="1:5" ht="15.75" thickBot="1" x14ac:dyDescent="0.3">
      <c r="A689" s="326" t="s">
        <v>79</v>
      </c>
      <c r="B689" s="325" t="s">
        <v>80</v>
      </c>
      <c r="C689" s="324" t="e">
        <f t="shared" ref="C689:E691" si="25">C686/B686-1</f>
        <v>#DIV/0!</v>
      </c>
      <c r="D689" s="324" t="e">
        <f t="shared" si="25"/>
        <v>#DIV/0!</v>
      </c>
      <c r="E689" s="324" t="e">
        <f t="shared" si="25"/>
        <v>#DIV/0!</v>
      </c>
    </row>
    <row r="690" spans="1:5" ht="15.75" thickBot="1" x14ac:dyDescent="0.3">
      <c r="A690" s="326" t="s">
        <v>81</v>
      </c>
      <c r="B690" s="325" t="s">
        <v>80</v>
      </c>
      <c r="C690" s="324" t="e">
        <f t="shared" si="25"/>
        <v>#DIV/0!</v>
      </c>
      <c r="D690" s="324" t="e">
        <f t="shared" si="25"/>
        <v>#DIV/0!</v>
      </c>
      <c r="E690" s="324" t="e">
        <f t="shared" si="25"/>
        <v>#DIV/0!</v>
      </c>
    </row>
    <row r="691" spans="1:5" ht="15.75" thickBot="1" x14ac:dyDescent="0.3">
      <c r="A691" s="326" t="s">
        <v>82</v>
      </c>
      <c r="B691" s="325" t="s">
        <v>80</v>
      </c>
      <c r="C691" s="324" t="e">
        <f t="shared" si="25"/>
        <v>#DIV/0!</v>
      </c>
      <c r="D691" s="324" t="e">
        <f t="shared" si="25"/>
        <v>#DIV/0!</v>
      </c>
      <c r="E691" s="324" t="e">
        <f t="shared" si="25"/>
        <v>#DIV/0!</v>
      </c>
    </row>
    <row r="692" spans="1:5" ht="15.75" thickBot="1" x14ac:dyDescent="0.3">
      <c r="A692" s="951" t="s">
        <v>366</v>
      </c>
      <c r="B692" s="952"/>
      <c r="C692" s="952"/>
      <c r="D692" s="952"/>
      <c r="E692" s="953"/>
    </row>
    <row r="693" spans="1:5" x14ac:dyDescent="0.25">
      <c r="A693" s="830"/>
      <c r="B693" s="323">
        <v>2018</v>
      </c>
      <c r="C693" s="323">
        <v>2019</v>
      </c>
      <c r="D693" s="323">
        <v>2020</v>
      </c>
      <c r="E693" s="323">
        <v>2021</v>
      </c>
    </row>
    <row r="694" spans="1:5" ht="15.75" thickBot="1" x14ac:dyDescent="0.3">
      <c r="A694" s="831"/>
      <c r="B694" s="322" t="s">
        <v>41</v>
      </c>
      <c r="C694" s="322" t="s">
        <v>42</v>
      </c>
      <c r="D694" s="322" t="s">
        <v>42</v>
      </c>
      <c r="E694" s="322" t="s">
        <v>42</v>
      </c>
    </row>
    <row r="695" spans="1:5" ht="15.75" thickBot="1" x14ac:dyDescent="0.3">
      <c r="A695" s="316" t="s">
        <v>169</v>
      </c>
      <c r="B695" s="309"/>
      <c r="C695" s="309"/>
      <c r="D695" s="309"/>
      <c r="E695" s="309"/>
    </row>
    <row r="696" spans="1:5" ht="15.75" thickBot="1" x14ac:dyDescent="0.3">
      <c r="A696" s="316" t="s">
        <v>112</v>
      </c>
      <c r="B696" s="314"/>
      <c r="C696" s="309"/>
      <c r="D696" s="309"/>
      <c r="E696" s="309"/>
    </row>
    <row r="697" spans="1:5" ht="15.75" thickBot="1" x14ac:dyDescent="0.3">
      <c r="A697" s="321" t="s">
        <v>176</v>
      </c>
      <c r="B697" s="314">
        <f>B696+B695</f>
        <v>0</v>
      </c>
      <c r="C697" s="314">
        <f>C696+C695</f>
        <v>0</v>
      </c>
      <c r="D697" s="314">
        <f>D696+D695</f>
        <v>0</v>
      </c>
      <c r="E697" s="314">
        <f>E696+E695</f>
        <v>0</v>
      </c>
    </row>
    <row r="698" spans="1:5" ht="15.75" thickBot="1" x14ac:dyDescent="0.3">
      <c r="A698" s="292"/>
      <c r="B698" s="293"/>
      <c r="C698" s="293"/>
      <c r="D698" s="293"/>
      <c r="E698" s="293"/>
    </row>
    <row r="699" spans="1:5" ht="48" customHeight="1" thickBot="1" x14ac:dyDescent="0.3">
      <c r="A699" s="320" t="s">
        <v>121</v>
      </c>
      <c r="B699" s="311">
        <f>B687+B669+B649+B631+B605+B580+B554+B536+B516+B495+B469+B446</f>
        <v>13000</v>
      </c>
      <c r="C699" s="311">
        <f>C687+C669+C649+C631+C605+C580+C554+C536+C516+C495+C469+C446</f>
        <v>195000</v>
      </c>
      <c r="D699" s="311">
        <f>D687+D669+D649+D631+D605+D580+D554+D536+D516+D495+D469+D446</f>
        <v>194999.97</v>
      </c>
      <c r="E699" s="311">
        <f>E687+E669+E649+E631+E605+E580+E554+E536+E516+E495+E469+E446</f>
        <v>198660.3591</v>
      </c>
    </row>
    <row r="700" spans="1:5" ht="45.75" customHeight="1" thickBot="1" x14ac:dyDescent="0.3">
      <c r="A700" s="320" t="s">
        <v>122</v>
      </c>
      <c r="B700" s="311">
        <f>B702+B704+B706+B708+B710+B712+B714+B716+B718</f>
        <v>13000</v>
      </c>
      <c r="C700" s="311">
        <f>C702+C704+C706+C708+C710+C712+C714+C716+C718</f>
        <v>195000</v>
      </c>
      <c r="D700" s="311">
        <f>D702+D704+D706+D708+D710+D712+D714+D716+D718</f>
        <v>194999.97</v>
      </c>
      <c r="E700" s="311">
        <f>E702+E704+E706+E708+E710+E712+E714+E716+E718</f>
        <v>198660.3591</v>
      </c>
    </row>
    <row r="701" spans="1:5" ht="45" customHeight="1" thickBot="1" x14ac:dyDescent="0.3">
      <c r="A701" s="319" t="s">
        <v>123</v>
      </c>
      <c r="B701" s="318"/>
      <c r="C701" s="317">
        <f>C700/B700-1</f>
        <v>14</v>
      </c>
      <c r="D701" s="317">
        <f>D700/C700-1</f>
        <v>-1.5384615381641709E-7</v>
      </c>
      <c r="E701" s="317">
        <f>E700/D700-1</f>
        <v>1.8771229041727455E-2</v>
      </c>
    </row>
    <row r="702" spans="1:5" ht="15.75" thickBot="1" x14ac:dyDescent="0.3">
      <c r="A702" s="316" t="s">
        <v>84</v>
      </c>
      <c r="B702" s="309">
        <f>B613+B590+B477+B454</f>
        <v>0</v>
      </c>
      <c r="C702" s="309">
        <f>C613+C590+C477+C454</f>
        <v>62500</v>
      </c>
      <c r="D702" s="309">
        <f>D613+D590+D477+D454</f>
        <v>62500</v>
      </c>
      <c r="E702" s="309">
        <f>E613+E590+E477+E454</f>
        <v>62500</v>
      </c>
    </row>
    <row r="703" spans="1:5" ht="15.75" thickBot="1" x14ac:dyDescent="0.3">
      <c r="A703" s="315" t="s">
        <v>124</v>
      </c>
      <c r="B703" s="314"/>
      <c r="C703" s="313" t="e">
        <f>C702/B702-1</f>
        <v>#DIV/0!</v>
      </c>
      <c r="D703" s="313">
        <f>D702/C702-1</f>
        <v>0</v>
      </c>
      <c r="E703" s="313">
        <f>E702/D702-1</f>
        <v>0</v>
      </c>
    </row>
    <row r="704" spans="1:5" ht="24.75" thickBot="1" x14ac:dyDescent="0.3">
      <c r="A704" s="316" t="s">
        <v>85</v>
      </c>
      <c r="B704" s="309">
        <f>B614+B591+B478+B455</f>
        <v>0</v>
      </c>
      <c r="C704" s="309">
        <f>C614+C591+C478+C455</f>
        <v>10500</v>
      </c>
      <c r="D704" s="309">
        <f>D614+D591+D478+D455</f>
        <v>10500</v>
      </c>
      <c r="E704" s="309">
        <f>E614+E591+E478+E455</f>
        <v>10500</v>
      </c>
    </row>
    <row r="705" spans="1:5" ht="24.75" thickBot="1" x14ac:dyDescent="0.3">
      <c r="A705" s="315" t="s">
        <v>125</v>
      </c>
      <c r="B705" s="314"/>
      <c r="C705" s="313" t="e">
        <f>C704/B704-1</f>
        <v>#DIV/0!</v>
      </c>
      <c r="D705" s="313">
        <f>D704/C704-1</f>
        <v>0</v>
      </c>
      <c r="E705" s="313">
        <f>E704/D704-1</f>
        <v>0</v>
      </c>
    </row>
    <row r="706" spans="1:5" ht="15.75" thickBot="1" x14ac:dyDescent="0.3">
      <c r="A706" s="316" t="s">
        <v>86</v>
      </c>
      <c r="B706" s="309">
        <f>B615+B592+B479+B456</f>
        <v>0</v>
      </c>
      <c r="C706" s="309">
        <f>C615+C592+C479+C456</f>
        <v>68900</v>
      </c>
      <c r="D706" s="309">
        <f>D615+D592+D479+D456</f>
        <v>70966.97</v>
      </c>
      <c r="E706" s="309">
        <f>E615+E592+E479+E456</f>
        <v>73096.369099999996</v>
      </c>
    </row>
    <row r="707" spans="1:5" ht="24.75" thickBot="1" x14ac:dyDescent="0.3">
      <c r="A707" s="315" t="s">
        <v>126</v>
      </c>
      <c r="B707" s="314"/>
      <c r="C707" s="313" t="e">
        <f>C706/B706-1</f>
        <v>#DIV/0!</v>
      </c>
      <c r="D707" s="313">
        <f>D706/C706-1</f>
        <v>2.9999564586357108E-2</v>
      </c>
      <c r="E707" s="313">
        <f>E706/D706-1</f>
        <v>3.0005495514321634E-2</v>
      </c>
    </row>
    <row r="708" spans="1:5" ht="15.75" thickBot="1" x14ac:dyDescent="0.3">
      <c r="A708" s="316" t="s">
        <v>87</v>
      </c>
      <c r="B708" s="309">
        <f>B616+B593+B480+B457</f>
        <v>0</v>
      </c>
      <c r="C708" s="309">
        <f>C616+C593+C480+C457</f>
        <v>0</v>
      </c>
      <c r="D708" s="309">
        <f>D616+D593+D480+D457</f>
        <v>0</v>
      </c>
      <c r="E708" s="309">
        <f>E616+E593+E480+E457</f>
        <v>0</v>
      </c>
    </row>
    <row r="709" spans="1:5" ht="15.75" thickBot="1" x14ac:dyDescent="0.3">
      <c r="A709" s="315" t="s">
        <v>228</v>
      </c>
      <c r="B709" s="314"/>
      <c r="C709" s="313" t="e">
        <f>C708/B708-1</f>
        <v>#DIV/0!</v>
      </c>
      <c r="D709" s="313" t="e">
        <f>D708/C708-1</f>
        <v>#DIV/0!</v>
      </c>
      <c r="E709" s="313" t="e">
        <f>E708/D708-1</f>
        <v>#DIV/0!</v>
      </c>
    </row>
    <row r="710" spans="1:5" ht="15.75" thickBot="1" x14ac:dyDescent="0.3">
      <c r="A710" s="316" t="s">
        <v>88</v>
      </c>
      <c r="B710" s="309">
        <f>B617+B594+B481+B458</f>
        <v>0</v>
      </c>
      <c r="C710" s="309">
        <f>C617+C594+C481+C458</f>
        <v>53100</v>
      </c>
      <c r="D710" s="309">
        <f>D617+D594+D481+D458</f>
        <v>51033</v>
      </c>
      <c r="E710" s="309">
        <f>E617+E594+E481+E458</f>
        <v>52563.99</v>
      </c>
    </row>
    <row r="711" spans="1:5" ht="24.75" thickBot="1" x14ac:dyDescent="0.3">
      <c r="A711" s="315" t="s">
        <v>229</v>
      </c>
      <c r="B711" s="314"/>
      <c r="C711" s="313" t="e">
        <f>C710/B710-1</f>
        <v>#DIV/0!</v>
      </c>
      <c r="D711" s="313">
        <f>D710/C710-1</f>
        <v>-3.8926553672316344E-2</v>
      </c>
      <c r="E711" s="313">
        <f>E710/D710-1</f>
        <v>3.0000000000000027E-2</v>
      </c>
    </row>
    <row r="712" spans="1:5" ht="15.75" thickBot="1" x14ac:dyDescent="0.3">
      <c r="A712" s="316" t="s">
        <v>89</v>
      </c>
      <c r="B712" s="309">
        <f>B618+B595+B482+B459</f>
        <v>0</v>
      </c>
      <c r="C712" s="309">
        <f>C618+C595+C482+C459</f>
        <v>0</v>
      </c>
      <c r="D712" s="309">
        <f>D618+D595+D482+D459</f>
        <v>0</v>
      </c>
      <c r="E712" s="309">
        <f>E618+E595+E482+E459</f>
        <v>0</v>
      </c>
    </row>
    <row r="713" spans="1:5" ht="24.75" thickBot="1" x14ac:dyDescent="0.3">
      <c r="A713" s="315" t="s">
        <v>230</v>
      </c>
      <c r="B713" s="314"/>
      <c r="C713" s="313" t="e">
        <f>C712/B712-1</f>
        <v>#DIV/0!</v>
      </c>
      <c r="D713" s="313" t="e">
        <f>D712/C712-1</f>
        <v>#DIV/0!</v>
      </c>
      <c r="E713" s="313" t="e">
        <f>E712/D712-1</f>
        <v>#DIV/0!</v>
      </c>
    </row>
    <row r="714" spans="1:5" ht="24.75" thickBot="1" x14ac:dyDescent="0.3">
      <c r="A714" s="316" t="s">
        <v>90</v>
      </c>
      <c r="B714" s="309">
        <f>B619+B596+B483+B460</f>
        <v>0</v>
      </c>
      <c r="C714" s="309">
        <f>C619+C596+C483+C460</f>
        <v>0</v>
      </c>
      <c r="D714" s="309">
        <f>D619+D596+D483+D460</f>
        <v>0</v>
      </c>
      <c r="E714" s="309">
        <f>E619+E596+E483+E460</f>
        <v>0</v>
      </c>
    </row>
    <row r="715" spans="1:5" ht="24.75" thickBot="1" x14ac:dyDescent="0.3">
      <c r="A715" s="315" t="s">
        <v>231</v>
      </c>
      <c r="B715" s="314"/>
      <c r="C715" s="313" t="e">
        <f>C714/B714-1</f>
        <v>#DIV/0!</v>
      </c>
      <c r="D715" s="313" t="e">
        <f>D714/C714-1</f>
        <v>#DIV/0!</v>
      </c>
      <c r="E715" s="313" t="e">
        <f>E714/D714-1</f>
        <v>#DIV/0!</v>
      </c>
    </row>
    <row r="716" spans="1:5" ht="15.75" thickBot="1" x14ac:dyDescent="0.3">
      <c r="A716" s="316" t="s">
        <v>127</v>
      </c>
      <c r="B716" s="309">
        <f>B503+B524+B544+B562+B639+B657+B677+B695</f>
        <v>10000</v>
      </c>
      <c r="C716" s="309">
        <f>C503+C524+C544+C562+C639+C657+C677+C695</f>
        <v>0</v>
      </c>
      <c r="D716" s="309">
        <f>D503+D524+D544+D562+D639+D657+D677+D695</f>
        <v>0</v>
      </c>
      <c r="E716" s="309">
        <f>E503+E524+E544+E562+E639+E657+E677+E695</f>
        <v>0</v>
      </c>
    </row>
    <row r="717" spans="1:5" ht="24.75" thickBot="1" x14ac:dyDescent="0.3">
      <c r="A717" s="315" t="s">
        <v>128</v>
      </c>
      <c r="B717" s="314"/>
      <c r="C717" s="313">
        <f>C716/B716-1</f>
        <v>-1</v>
      </c>
      <c r="D717" s="313" t="e">
        <f>D716/C716-1</f>
        <v>#DIV/0!</v>
      </c>
      <c r="E717" s="313" t="e">
        <f>E716/D716-1</f>
        <v>#DIV/0!</v>
      </c>
    </row>
    <row r="718" spans="1:5" ht="15.75" thickBot="1" x14ac:dyDescent="0.3">
      <c r="A718" s="316" t="s">
        <v>232</v>
      </c>
      <c r="B718" s="309">
        <f>B504+B525+B545+B563+B640+B658+B678+B696</f>
        <v>3000</v>
      </c>
      <c r="C718" s="309">
        <f>C504+C525+C545+C563+C640+C658+C678+C696</f>
        <v>0</v>
      </c>
      <c r="D718" s="309">
        <f>D504+D525+D545+D563+D640+D658+D678+D696</f>
        <v>0</v>
      </c>
      <c r="E718" s="309">
        <f>E504+E525+E545+E563+E640+E658+E678+E696</f>
        <v>0</v>
      </c>
    </row>
    <row r="719" spans="1:5" ht="24.75" thickBot="1" x14ac:dyDescent="0.3">
      <c r="A719" s="315" t="s">
        <v>233</v>
      </c>
      <c r="B719" s="314"/>
      <c r="C719" s="313">
        <f>C718/B718-1</f>
        <v>-1</v>
      </c>
      <c r="D719" s="313" t="e">
        <f>D718/C718-1</f>
        <v>#DIV/0!</v>
      </c>
      <c r="E719" s="313" t="e">
        <f>E718/D718-1</f>
        <v>#DIV/0!</v>
      </c>
    </row>
    <row r="720" spans="1:5" ht="15.75" thickBot="1" x14ac:dyDescent="0.3">
      <c r="A720" s="312" t="s">
        <v>92</v>
      </c>
      <c r="B720" s="311">
        <f>IF(B700-B699=0,0,"Error")</f>
        <v>0</v>
      </c>
      <c r="C720" s="311">
        <f>IF(C700-C699=0,0,"Error")</f>
        <v>0</v>
      </c>
      <c r="D720" s="311">
        <f>IF(D700-D699=0,0,"Error")</f>
        <v>0</v>
      </c>
      <c r="E720" s="311">
        <f>IF(E700-E699=0,0,"Error")</f>
        <v>0</v>
      </c>
    </row>
    <row r="721" spans="1:5" ht="24.75" thickBot="1" x14ac:dyDescent="0.3">
      <c r="A721" s="310" t="s">
        <v>129</v>
      </c>
      <c r="B721" s="309">
        <v>80</v>
      </c>
      <c r="C721" s="309">
        <v>80</v>
      </c>
      <c r="D721" s="309">
        <v>80</v>
      </c>
      <c r="E721" s="309">
        <v>80</v>
      </c>
    </row>
    <row r="722" spans="1:5" ht="36.75" thickBot="1" x14ac:dyDescent="0.3">
      <c r="A722" s="310" t="s">
        <v>130</v>
      </c>
      <c r="B722" s="309">
        <v>5</v>
      </c>
      <c r="C722" s="309">
        <v>5</v>
      </c>
      <c r="D722" s="309">
        <v>5</v>
      </c>
      <c r="E722" s="309">
        <v>5</v>
      </c>
    </row>
    <row r="723" spans="1:5" x14ac:dyDescent="0.25">
      <c r="A723" s="308"/>
      <c r="B723" s="307"/>
      <c r="C723" s="307"/>
      <c r="D723" s="307"/>
      <c r="E723" s="307"/>
    </row>
  </sheetData>
  <mergeCells count="253">
    <mergeCell ref="B643:E643"/>
    <mergeCell ref="B644:E644"/>
    <mergeCell ref="B645:E645"/>
    <mergeCell ref="B683:E683"/>
    <mergeCell ref="A684:A685"/>
    <mergeCell ref="A692:E692"/>
    <mergeCell ref="A693:A694"/>
    <mergeCell ref="B663:E663"/>
    <mergeCell ref="B664:E664"/>
    <mergeCell ref="B665:E665"/>
    <mergeCell ref="A666:A667"/>
    <mergeCell ref="A674:E674"/>
    <mergeCell ref="A675:A676"/>
    <mergeCell ref="A646:A647"/>
    <mergeCell ref="A654:E654"/>
    <mergeCell ref="A655:A656"/>
    <mergeCell ref="A660:E660"/>
    <mergeCell ref="A661:E661"/>
    <mergeCell ref="B662:E662"/>
    <mergeCell ref="B680:E680"/>
    <mergeCell ref="B681:E681"/>
    <mergeCell ref="B682:E682"/>
    <mergeCell ref="A636:E636"/>
    <mergeCell ref="A637:A638"/>
    <mergeCell ref="B642:E642"/>
    <mergeCell ref="A587:E587"/>
    <mergeCell ref="A588:A589"/>
    <mergeCell ref="B599:E599"/>
    <mergeCell ref="B600:E600"/>
    <mergeCell ref="B601:E601"/>
    <mergeCell ref="A602:A603"/>
    <mergeCell ref="A610:E610"/>
    <mergeCell ref="A623:E623"/>
    <mergeCell ref="B624:E624"/>
    <mergeCell ref="B625:E625"/>
    <mergeCell ref="B626:E626"/>
    <mergeCell ref="B627:E627"/>
    <mergeCell ref="A628:A629"/>
    <mergeCell ref="A611:A612"/>
    <mergeCell ref="A622:E622"/>
    <mergeCell ref="A566:E566"/>
    <mergeCell ref="A570:E570"/>
    <mergeCell ref="A571:E571"/>
    <mergeCell ref="A572:A573"/>
    <mergeCell ref="B574:E574"/>
    <mergeCell ref="B575:E575"/>
    <mergeCell ref="B576:E576"/>
    <mergeCell ref="A577:A578"/>
    <mergeCell ref="A585:A586"/>
    <mergeCell ref="A542:A543"/>
    <mergeCell ref="B547:E547"/>
    <mergeCell ref="B548:E548"/>
    <mergeCell ref="B549:E549"/>
    <mergeCell ref="B550:E550"/>
    <mergeCell ref="A551:A552"/>
    <mergeCell ref="A559:E559"/>
    <mergeCell ref="A560:A561"/>
    <mergeCell ref="B565:E565"/>
    <mergeCell ref="B532:E532"/>
    <mergeCell ref="A533:A534"/>
    <mergeCell ref="A541:E541"/>
    <mergeCell ref="A501:A502"/>
    <mergeCell ref="A506:A508"/>
    <mergeCell ref="B506:E508"/>
    <mergeCell ref="B509:E509"/>
    <mergeCell ref="B510:E510"/>
    <mergeCell ref="B511:E511"/>
    <mergeCell ref="B512:E512"/>
    <mergeCell ref="A522:A523"/>
    <mergeCell ref="A527:E527"/>
    <mergeCell ref="A528:E528"/>
    <mergeCell ref="B529:E529"/>
    <mergeCell ref="B530:E530"/>
    <mergeCell ref="B531:E531"/>
    <mergeCell ref="A513:A514"/>
    <mergeCell ref="A521:E521"/>
    <mergeCell ref="A475:A476"/>
    <mergeCell ref="A486:E486"/>
    <mergeCell ref="A487:E487"/>
    <mergeCell ref="B488:E488"/>
    <mergeCell ref="B489:E489"/>
    <mergeCell ref="B490:E490"/>
    <mergeCell ref="B491:E491"/>
    <mergeCell ref="A492:A493"/>
    <mergeCell ref="A500:E500"/>
    <mergeCell ref="B442:E442"/>
    <mergeCell ref="A443:A444"/>
    <mergeCell ref="A451:E451"/>
    <mergeCell ref="A452:A453"/>
    <mergeCell ref="B463:E463"/>
    <mergeCell ref="B464:E464"/>
    <mergeCell ref="B465:E465"/>
    <mergeCell ref="A467:A468"/>
    <mergeCell ref="A474:E474"/>
    <mergeCell ref="A439:E439"/>
    <mergeCell ref="B440:E440"/>
    <mergeCell ref="B441:E441"/>
    <mergeCell ref="A399:E399"/>
    <mergeCell ref="A400:E400"/>
    <mergeCell ref="A401:A402"/>
    <mergeCell ref="B403:E403"/>
    <mergeCell ref="B404:E404"/>
    <mergeCell ref="B405:E405"/>
    <mergeCell ref="A406:A407"/>
    <mergeCell ref="A417:A418"/>
    <mergeCell ref="B428:E428"/>
    <mergeCell ref="A429:A430"/>
    <mergeCell ref="B434:E434"/>
    <mergeCell ref="A435:E435"/>
    <mergeCell ref="A438:E438"/>
    <mergeCell ref="A414:A415"/>
    <mergeCell ref="A416:E416"/>
    <mergeCell ref="B376:E376"/>
    <mergeCell ref="B377:E377"/>
    <mergeCell ref="B378:E378"/>
    <mergeCell ref="B379:E379"/>
    <mergeCell ref="A380:A381"/>
    <mergeCell ref="A388:E388"/>
    <mergeCell ref="A389:A390"/>
    <mergeCell ref="B394:E394"/>
    <mergeCell ref="A395:E395"/>
    <mergeCell ref="A356:E356"/>
    <mergeCell ref="A357:E357"/>
    <mergeCell ref="B358:E358"/>
    <mergeCell ref="B359:E359"/>
    <mergeCell ref="B360:E360"/>
    <mergeCell ref="B361:E361"/>
    <mergeCell ref="A362:A363"/>
    <mergeCell ref="A370:E370"/>
    <mergeCell ref="A371:A372"/>
    <mergeCell ref="A342:A343"/>
    <mergeCell ref="A350:E350"/>
    <mergeCell ref="A351:A352"/>
    <mergeCell ref="B270:E270"/>
    <mergeCell ref="A273:A274"/>
    <mergeCell ref="A280:E280"/>
    <mergeCell ref="A281:A282"/>
    <mergeCell ref="B292:E292"/>
    <mergeCell ref="B293:E293"/>
    <mergeCell ref="B294:E294"/>
    <mergeCell ref="A335:A337"/>
    <mergeCell ref="B335:E337"/>
    <mergeCell ref="B338:E338"/>
    <mergeCell ref="B339:E339"/>
    <mergeCell ref="B340:E340"/>
    <mergeCell ref="B341:E341"/>
    <mergeCell ref="A295:A296"/>
    <mergeCell ref="A303:E303"/>
    <mergeCell ref="B319:E319"/>
    <mergeCell ref="B320:E320"/>
    <mergeCell ref="A321:A322"/>
    <mergeCell ref="A329:E329"/>
    <mergeCell ref="A330:A331"/>
    <mergeCell ref="B271:E271"/>
    <mergeCell ref="C4:E4"/>
    <mergeCell ref="C5:E5"/>
    <mergeCell ref="A29:E29"/>
    <mergeCell ref="A67:A69"/>
    <mergeCell ref="B67:E69"/>
    <mergeCell ref="A13:E15"/>
    <mergeCell ref="B16:E16"/>
    <mergeCell ref="A85:A86"/>
    <mergeCell ref="A93:A94"/>
    <mergeCell ref="A43:A44"/>
    <mergeCell ref="A30:E30"/>
    <mergeCell ref="B31:E31"/>
    <mergeCell ref="B32:E32"/>
    <mergeCell ref="A17:A18"/>
    <mergeCell ref="B24:E24"/>
    <mergeCell ref="A25:E25"/>
    <mergeCell ref="B83:E83"/>
    <mergeCell ref="B84:E84"/>
    <mergeCell ref="A6:E6"/>
    <mergeCell ref="A7:E7"/>
    <mergeCell ref="B127:E127"/>
    <mergeCell ref="B9:E9"/>
    <mergeCell ref="B10:E10"/>
    <mergeCell ref="B11:E11"/>
    <mergeCell ref="A12:E12"/>
    <mergeCell ref="A124:E124"/>
    <mergeCell ref="A125:E125"/>
    <mergeCell ref="B126:E126"/>
    <mergeCell ref="A95:E95"/>
    <mergeCell ref="A96:A97"/>
    <mergeCell ref="A120:A122"/>
    <mergeCell ref="B120:E122"/>
    <mergeCell ref="A78:E78"/>
    <mergeCell ref="B82:E82"/>
    <mergeCell ref="B71:E71"/>
    <mergeCell ref="A72:E72"/>
    <mergeCell ref="A79:E79"/>
    <mergeCell ref="A80:A81"/>
    <mergeCell ref="B33:E33"/>
    <mergeCell ref="A34:A35"/>
    <mergeCell ref="A42:E42"/>
    <mergeCell ref="B128:E128"/>
    <mergeCell ref="B129:E129"/>
    <mergeCell ref="A130:A131"/>
    <mergeCell ref="A139:A140"/>
    <mergeCell ref="A143:A145"/>
    <mergeCell ref="B143:E145"/>
    <mergeCell ref="B146:E146"/>
    <mergeCell ref="B147:E147"/>
    <mergeCell ref="A164:A167"/>
    <mergeCell ref="B164:E167"/>
    <mergeCell ref="B318:E318"/>
    <mergeCell ref="A186:A188"/>
    <mergeCell ref="B215:E215"/>
    <mergeCell ref="B223:E223"/>
    <mergeCell ref="B224:E224"/>
    <mergeCell ref="B225:E225"/>
    <mergeCell ref="A226:A227"/>
    <mergeCell ref="A193:A194"/>
    <mergeCell ref="A201:E201"/>
    <mergeCell ref="A202:A203"/>
    <mergeCell ref="B190:E190"/>
    <mergeCell ref="B191:E191"/>
    <mergeCell ref="B186:E188"/>
    <mergeCell ref="B189:E189"/>
    <mergeCell ref="A206:A208"/>
    <mergeCell ref="B206:E208"/>
    <mergeCell ref="B209:E209"/>
    <mergeCell ref="A210:A211"/>
    <mergeCell ref="A216:E216"/>
    <mergeCell ref="A221:E221"/>
    <mergeCell ref="A222:E222"/>
    <mergeCell ref="B192:E192"/>
    <mergeCell ref="A234:E234"/>
    <mergeCell ref="A235:A236"/>
    <mergeCell ref="B172:E172"/>
    <mergeCell ref="A173:A174"/>
    <mergeCell ref="A181:E181"/>
    <mergeCell ref="A182:A183"/>
    <mergeCell ref="A138:E138"/>
    <mergeCell ref="A304:A305"/>
    <mergeCell ref="A315:E315"/>
    <mergeCell ref="A316:E316"/>
    <mergeCell ref="B317:E317"/>
    <mergeCell ref="B171:E171"/>
    <mergeCell ref="B148:E148"/>
    <mergeCell ref="B149:E149"/>
    <mergeCell ref="A150:A151"/>
    <mergeCell ref="A158:E158"/>
    <mergeCell ref="A159:A160"/>
    <mergeCell ref="B169:E169"/>
    <mergeCell ref="B170:E170"/>
    <mergeCell ref="B246:E246"/>
    <mergeCell ref="B247:E247"/>
    <mergeCell ref="B248:E248"/>
    <mergeCell ref="A250:A251"/>
    <mergeCell ref="A257:E257"/>
    <mergeCell ref="A258:A259"/>
    <mergeCell ref="B269:E269"/>
  </mergeCells>
  <printOptions horizontalCentered="1" verticalCentered="1"/>
  <pageMargins left="0.7" right="0.7" top="0.75" bottom="0.75" header="0.3" footer="0.3"/>
  <pageSetup scale="57"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788"/>
  <sheetViews>
    <sheetView view="pageBreakPreview" topLeftCell="A741" zoomScale="60" zoomScaleNormal="85" workbookViewId="0">
      <selection activeCell="T12" sqref="T12"/>
    </sheetView>
  </sheetViews>
  <sheetFormatPr defaultRowHeight="15" x14ac:dyDescent="0.25"/>
  <cols>
    <col min="1" max="3" width="21.42578125" style="122" customWidth="1"/>
    <col min="4" max="4" width="14.5703125" style="122" customWidth="1"/>
    <col min="5" max="5" width="16.42578125" style="122" customWidth="1"/>
    <col min="6" max="6" width="11" style="122" customWidth="1"/>
    <col min="7" max="7" width="11" style="122" bestFit="1" customWidth="1"/>
    <col min="8" max="16384" width="9.140625" style="122"/>
  </cols>
  <sheetData>
    <row r="2" spans="1:5" x14ac:dyDescent="0.25">
      <c r="A2" s="120" t="s">
        <v>0</v>
      </c>
      <c r="B2" s="121"/>
      <c r="C2" s="121"/>
      <c r="D2" s="121"/>
    </row>
    <row r="4" spans="1:5" ht="15.75" thickBot="1" x14ac:dyDescent="0.3"/>
    <row r="5" spans="1:5" ht="48" thickBot="1" x14ac:dyDescent="0.3">
      <c r="A5" s="123" t="s">
        <v>1</v>
      </c>
      <c r="B5" s="782" t="s">
        <v>658</v>
      </c>
      <c r="C5" s="783"/>
      <c r="D5" s="783"/>
      <c r="E5" s="784"/>
    </row>
    <row r="6" spans="1:5" ht="33" customHeight="1" thickBot="1" x14ac:dyDescent="0.3">
      <c r="A6" s="124" t="s">
        <v>2</v>
      </c>
      <c r="B6" s="810" t="s">
        <v>659</v>
      </c>
      <c r="C6" s="786"/>
      <c r="D6" s="786"/>
      <c r="E6" s="787"/>
    </row>
    <row r="7" spans="1:5" ht="85.5" customHeight="1" thickBot="1" x14ac:dyDescent="0.3">
      <c r="A7" s="124" t="s">
        <v>614</v>
      </c>
      <c r="B7" s="788" t="s">
        <v>660</v>
      </c>
      <c r="C7" s="789"/>
      <c r="D7" s="789"/>
      <c r="E7" s="790"/>
    </row>
    <row r="8" spans="1:5" ht="32.25" thickBot="1" x14ac:dyDescent="0.3">
      <c r="A8" s="124" t="s">
        <v>4</v>
      </c>
      <c r="B8" s="125" t="s">
        <v>619</v>
      </c>
      <c r="C8" s="791" t="s">
        <v>6</v>
      </c>
      <c r="D8" s="791"/>
      <c r="E8" s="792"/>
    </row>
    <row r="9" spans="1:5" ht="256.5" customHeight="1" thickBot="1" x14ac:dyDescent="0.3">
      <c r="A9" s="124" t="s">
        <v>661</v>
      </c>
      <c r="B9" s="287" t="s">
        <v>27</v>
      </c>
      <c r="C9" s="1051" t="s">
        <v>662</v>
      </c>
      <c r="D9" s="1052"/>
      <c r="E9" s="1053"/>
    </row>
    <row r="10" spans="1:5" ht="48" thickBot="1" x14ac:dyDescent="0.3">
      <c r="A10" s="124" t="s">
        <v>621</v>
      </c>
      <c r="B10" s="126"/>
      <c r="C10" s="793"/>
      <c r="D10" s="793"/>
      <c r="E10" s="794"/>
    </row>
    <row r="11" spans="1:5" ht="18" customHeight="1" x14ac:dyDescent="0.25">
      <c r="A11" s="817" t="s">
        <v>32</v>
      </c>
      <c r="B11" s="817"/>
      <c r="C11" s="817"/>
      <c r="D11" s="817"/>
      <c r="E11" s="817"/>
    </row>
    <row r="12" spans="1:5" ht="18" customHeight="1" x14ac:dyDescent="0.25">
      <c r="A12" s="818" t="s">
        <v>618</v>
      </c>
      <c r="B12" s="818"/>
      <c r="C12" s="818"/>
      <c r="D12" s="818"/>
      <c r="E12" s="818"/>
    </row>
    <row r="13" spans="1:5" ht="15.75" thickBot="1" x14ac:dyDescent="0.3">
      <c r="E13" s="122" t="s">
        <v>663</v>
      </c>
    </row>
    <row r="14" spans="1:5" ht="26.25" thickBot="1" x14ac:dyDescent="0.3">
      <c r="A14" s="127" t="s">
        <v>33</v>
      </c>
      <c r="B14" s="1047" t="s">
        <v>364</v>
      </c>
      <c r="C14" s="1047"/>
      <c r="D14" s="1047"/>
      <c r="E14" s="1047"/>
    </row>
    <row r="15" spans="1:5" ht="15.75" thickBot="1" x14ac:dyDescent="0.3">
      <c r="A15" s="127" t="s">
        <v>5</v>
      </c>
      <c r="B15" s="810" t="s">
        <v>659</v>
      </c>
      <c r="C15" s="786"/>
      <c r="D15" s="786"/>
      <c r="E15" s="787"/>
    </row>
    <row r="16" spans="1:5" ht="26.25" thickBot="1" x14ac:dyDescent="0.3">
      <c r="A16" s="127" t="s">
        <v>35</v>
      </c>
      <c r="B16" s="898" t="s">
        <v>36</v>
      </c>
      <c r="C16" s="793"/>
      <c r="D16" s="793"/>
      <c r="E16" s="794"/>
    </row>
    <row r="17" spans="1:8" ht="15.75" thickBot="1" x14ac:dyDescent="0.3">
      <c r="A17" s="1048" t="s">
        <v>6</v>
      </c>
      <c r="B17" s="1049"/>
      <c r="C17" s="1049"/>
      <c r="D17" s="1049"/>
      <c r="E17" s="1050"/>
    </row>
    <row r="18" spans="1:8" ht="15.75" thickBot="1" x14ac:dyDescent="0.3">
      <c r="A18" s="1041" t="s">
        <v>364</v>
      </c>
      <c r="B18" s="1042"/>
      <c r="C18" s="1042"/>
      <c r="D18" s="1042"/>
      <c r="E18" s="1043"/>
    </row>
    <row r="19" spans="1:8" ht="36.75" customHeight="1" thickBot="1" x14ac:dyDescent="0.3">
      <c r="A19" s="1041"/>
      <c r="B19" s="1042"/>
      <c r="C19" s="1042"/>
      <c r="D19" s="1042"/>
      <c r="E19" s="1043"/>
    </row>
    <row r="20" spans="1:8" ht="15.75" thickBot="1" x14ac:dyDescent="0.3">
      <c r="A20" s="1041"/>
      <c r="B20" s="1042"/>
      <c r="C20" s="1042"/>
      <c r="D20" s="1042"/>
      <c r="E20" s="1043"/>
    </row>
    <row r="21" spans="1:8" ht="48" customHeight="1" thickBot="1" x14ac:dyDescent="0.3">
      <c r="A21" s="128" t="s">
        <v>38</v>
      </c>
      <c r="B21" s="1044" t="s">
        <v>664</v>
      </c>
      <c r="C21" s="1045"/>
      <c r="D21" s="1045"/>
      <c r="E21" s="1046"/>
    </row>
    <row r="22" spans="1:8" ht="23.25" customHeight="1" x14ac:dyDescent="0.25">
      <c r="A22" s="893" t="s">
        <v>138</v>
      </c>
      <c r="B22" s="129">
        <v>2018</v>
      </c>
      <c r="C22" s="129">
        <v>2019</v>
      </c>
      <c r="D22" s="129">
        <v>2020</v>
      </c>
      <c r="E22" s="129">
        <v>2021</v>
      </c>
    </row>
    <row r="23" spans="1:8" ht="15.75" thickBot="1" x14ac:dyDescent="0.3">
      <c r="A23" s="894"/>
      <c r="B23" s="130" t="s">
        <v>41</v>
      </c>
      <c r="C23" s="130" t="s">
        <v>42</v>
      </c>
      <c r="D23" s="130" t="s">
        <v>42</v>
      </c>
      <c r="E23" s="130" t="s">
        <v>42</v>
      </c>
    </row>
    <row r="24" spans="1:8" ht="15.75" thickBot="1" x14ac:dyDescent="0.3">
      <c r="A24" s="131" t="s">
        <v>665</v>
      </c>
      <c r="B24" s="132">
        <v>0.78</v>
      </c>
      <c r="C24" s="132">
        <v>0.78</v>
      </c>
      <c r="D24" s="132">
        <v>0.78</v>
      </c>
      <c r="E24" s="132">
        <v>0.78</v>
      </c>
    </row>
    <row r="25" spans="1:8" ht="15.75" thickBot="1" x14ac:dyDescent="0.3">
      <c r="A25" s="133" t="s">
        <v>666</v>
      </c>
      <c r="B25" s="132">
        <v>0.22</v>
      </c>
      <c r="C25" s="132">
        <v>0.22</v>
      </c>
      <c r="D25" s="132">
        <v>0.22</v>
      </c>
      <c r="E25" s="132">
        <v>0.22</v>
      </c>
    </row>
    <row r="26" spans="1:8" ht="23.25" thickBot="1" x14ac:dyDescent="0.3">
      <c r="A26" s="133" t="s">
        <v>343</v>
      </c>
      <c r="B26" s="132" t="s">
        <v>60</v>
      </c>
      <c r="C26" s="132" t="s">
        <v>61</v>
      </c>
      <c r="D26" s="132" t="s">
        <v>61</v>
      </c>
      <c r="E26" s="132" t="s">
        <v>61</v>
      </c>
    </row>
    <row r="27" spans="1:8" ht="24.75" thickBot="1" x14ac:dyDescent="0.3">
      <c r="A27" s="134" t="s">
        <v>45</v>
      </c>
      <c r="B27" s="844" t="s">
        <v>364</v>
      </c>
      <c r="C27" s="845"/>
      <c r="D27" s="845"/>
      <c r="E27" s="846"/>
    </row>
    <row r="28" spans="1:8" ht="23.25" customHeight="1" thickBot="1" x14ac:dyDescent="0.3">
      <c r="A28" s="945" t="s">
        <v>153</v>
      </c>
      <c r="B28" s="946"/>
      <c r="C28" s="946"/>
      <c r="D28" s="946"/>
      <c r="E28" s="947"/>
      <c r="F28" s="135"/>
      <c r="H28" s="135"/>
    </row>
    <row r="29" spans="1:8" ht="15.75" thickBot="1" x14ac:dyDescent="0.3">
      <c r="A29" s="131" t="s">
        <v>443</v>
      </c>
      <c r="B29" s="132" t="s">
        <v>60</v>
      </c>
      <c r="C29" s="132" t="s">
        <v>61</v>
      </c>
      <c r="D29" s="132" t="s">
        <v>61</v>
      </c>
      <c r="E29" s="132" t="s">
        <v>61</v>
      </c>
    </row>
    <row r="30" spans="1:8" ht="15.75" thickBot="1" x14ac:dyDescent="0.3">
      <c r="A30" s="133" t="s">
        <v>370</v>
      </c>
      <c r="B30" s="132" t="s">
        <v>60</v>
      </c>
      <c r="C30" s="132" t="s">
        <v>61</v>
      </c>
      <c r="D30" s="132" t="s">
        <v>61</v>
      </c>
      <c r="E30" s="132" t="s">
        <v>61</v>
      </c>
    </row>
    <row r="31" spans="1:8" ht="23.25" thickBot="1" x14ac:dyDescent="0.3">
      <c r="A31" s="133" t="s">
        <v>343</v>
      </c>
      <c r="B31" s="132" t="s">
        <v>60</v>
      </c>
      <c r="C31" s="132" t="s">
        <v>61</v>
      </c>
      <c r="D31" s="132" t="s">
        <v>61</v>
      </c>
      <c r="E31" s="132" t="s">
        <v>61</v>
      </c>
    </row>
    <row r="32" spans="1:8" ht="15.75" thickBot="1" x14ac:dyDescent="0.3">
      <c r="A32" s="1020" t="s">
        <v>68</v>
      </c>
      <c r="B32" s="1021"/>
      <c r="C32" s="1021"/>
      <c r="D32" s="1021"/>
      <c r="E32" s="1022"/>
    </row>
    <row r="33" spans="1:9" ht="15.75" thickBot="1" x14ac:dyDescent="0.3">
      <c r="A33" s="1011" t="s">
        <v>69</v>
      </c>
      <c r="B33" s="1012"/>
      <c r="C33" s="1012"/>
      <c r="D33" s="1012"/>
      <c r="E33" s="1013"/>
    </row>
    <row r="34" spans="1:9" ht="15.75" thickBot="1" x14ac:dyDescent="0.3">
      <c r="A34" s="144" t="s">
        <v>70</v>
      </c>
      <c r="B34" s="1014" t="s">
        <v>454</v>
      </c>
      <c r="C34" s="1015"/>
      <c r="D34" s="1015"/>
      <c r="E34" s="1016"/>
    </row>
    <row r="35" spans="1:9" ht="17.25" customHeight="1" thickBot="1" x14ac:dyDescent="0.3">
      <c r="A35" s="133" t="s">
        <v>72</v>
      </c>
      <c r="B35" s="945" t="s">
        <v>454</v>
      </c>
      <c r="C35" s="946"/>
      <c r="D35" s="946"/>
      <c r="E35" s="947"/>
    </row>
    <row r="36" spans="1:9" ht="15.75" thickBot="1" x14ac:dyDescent="0.3">
      <c r="A36" s="133" t="s">
        <v>74</v>
      </c>
      <c r="B36" s="1002" t="s">
        <v>455</v>
      </c>
      <c r="C36" s="1003"/>
      <c r="D36" s="1003"/>
      <c r="E36" s="1004"/>
    </row>
    <row r="37" spans="1:9" ht="12.75" customHeight="1" x14ac:dyDescent="0.25">
      <c r="A37" s="893"/>
      <c r="B37" s="145">
        <v>2018</v>
      </c>
      <c r="C37" s="145">
        <v>2019</v>
      </c>
      <c r="D37" s="145">
        <v>2020</v>
      </c>
      <c r="E37" s="145">
        <v>2021</v>
      </c>
    </row>
    <row r="38" spans="1:9" ht="9" customHeight="1" thickBot="1" x14ac:dyDescent="0.3">
      <c r="A38" s="894"/>
      <c r="B38" s="146" t="s">
        <v>41</v>
      </c>
      <c r="C38" s="146" t="s">
        <v>42</v>
      </c>
      <c r="D38" s="146" t="s">
        <v>42</v>
      </c>
      <c r="E38" s="146" t="s">
        <v>42</v>
      </c>
    </row>
    <row r="39" spans="1:9" ht="15.75" thickBot="1" x14ac:dyDescent="0.3">
      <c r="A39" s="133" t="s">
        <v>76</v>
      </c>
      <c r="B39" s="147">
        <v>70</v>
      </c>
      <c r="C39" s="147">
        <v>75</v>
      </c>
      <c r="D39" s="147">
        <v>78</v>
      </c>
      <c r="E39" s="147">
        <v>80</v>
      </c>
    </row>
    <row r="40" spans="1:9" ht="15.75" thickBot="1" x14ac:dyDescent="0.3">
      <c r="A40" s="133" t="s">
        <v>77</v>
      </c>
      <c r="B40" s="147">
        <v>21600</v>
      </c>
      <c r="C40" s="147">
        <v>21600</v>
      </c>
      <c r="D40" s="147">
        <v>23200</v>
      </c>
      <c r="E40" s="147">
        <v>23620</v>
      </c>
    </row>
    <row r="41" spans="1:9" ht="15.75" thickBot="1" x14ac:dyDescent="0.3">
      <c r="A41" s="133" t="s">
        <v>78</v>
      </c>
      <c r="B41" s="147">
        <f>B40/B39</f>
        <v>308.57142857142856</v>
      </c>
      <c r="C41" s="147">
        <f t="shared" ref="C41:E41" si="0">C40/C39</f>
        <v>288</v>
      </c>
      <c r="D41" s="147">
        <f t="shared" si="0"/>
        <v>297.43589743589746</v>
      </c>
      <c r="E41" s="147">
        <f t="shared" si="0"/>
        <v>295.25</v>
      </c>
    </row>
    <row r="42" spans="1:9" ht="15.75" thickBot="1" x14ac:dyDescent="0.3">
      <c r="A42" s="133" t="s">
        <v>79</v>
      </c>
      <c r="B42" s="148" t="s">
        <v>80</v>
      </c>
      <c r="C42" s="149">
        <f>C39/B39-1</f>
        <v>7.1428571428571397E-2</v>
      </c>
      <c r="D42" s="149">
        <f t="shared" ref="D42:E44" si="1">D39/C39-1</f>
        <v>4.0000000000000036E-2</v>
      </c>
      <c r="E42" s="149">
        <f t="shared" si="1"/>
        <v>2.564102564102555E-2</v>
      </c>
      <c r="F42" s="150"/>
      <c r="G42" s="150"/>
      <c r="H42" s="150"/>
      <c r="I42" s="150"/>
    </row>
    <row r="43" spans="1:9" ht="15.75" thickBot="1" x14ac:dyDescent="0.3">
      <c r="A43" s="133" t="s">
        <v>81</v>
      </c>
      <c r="B43" s="148" t="s">
        <v>80</v>
      </c>
      <c r="C43" s="149">
        <f>C40/B40-1</f>
        <v>0</v>
      </c>
      <c r="D43" s="149">
        <f t="shared" si="1"/>
        <v>7.4074074074074181E-2</v>
      </c>
      <c r="E43" s="149">
        <f t="shared" si="1"/>
        <v>1.8103448275861966E-2</v>
      </c>
    </row>
    <row r="44" spans="1:9" ht="23.25" thickBot="1" x14ac:dyDescent="0.3">
      <c r="A44" s="133" t="s">
        <v>82</v>
      </c>
      <c r="B44" s="148" t="s">
        <v>80</v>
      </c>
      <c r="C44" s="149">
        <f>C41/B41-1</f>
        <v>-6.6666666666666652E-2</v>
      </c>
      <c r="D44" s="149">
        <f t="shared" si="1"/>
        <v>3.2763532763532943E-2</v>
      </c>
      <c r="E44" s="149">
        <f t="shared" si="1"/>
        <v>-7.3491379310345328E-3</v>
      </c>
    </row>
    <row r="45" spans="1:9" ht="15.75" thickBot="1" x14ac:dyDescent="0.3">
      <c r="A45" s="1005" t="s">
        <v>83</v>
      </c>
      <c r="B45" s="1006"/>
      <c r="C45" s="1006"/>
      <c r="D45" s="1006"/>
      <c r="E45" s="1007"/>
    </row>
    <row r="46" spans="1:9" ht="12.75" customHeight="1" x14ac:dyDescent="0.25">
      <c r="A46" s="893"/>
      <c r="B46" s="145">
        <v>2018</v>
      </c>
      <c r="C46" s="145">
        <v>2019</v>
      </c>
      <c r="D46" s="145">
        <v>2020</v>
      </c>
      <c r="E46" s="145">
        <v>2021</v>
      </c>
    </row>
    <row r="47" spans="1:9" ht="9" customHeight="1" thickBot="1" x14ac:dyDescent="0.3">
      <c r="A47" s="894"/>
      <c r="B47" s="146" t="s">
        <v>41</v>
      </c>
      <c r="C47" s="146" t="s">
        <v>42</v>
      </c>
      <c r="D47" s="146" t="s">
        <v>42</v>
      </c>
      <c r="E47" s="146" t="s">
        <v>42</v>
      </c>
    </row>
    <row r="48" spans="1:9" ht="15.75" thickBot="1" x14ac:dyDescent="0.3">
      <c r="A48" s="151" t="s">
        <v>84</v>
      </c>
      <c r="B48" s="142">
        <v>13200</v>
      </c>
      <c r="C48" s="142">
        <v>13200</v>
      </c>
      <c r="D48" s="142">
        <v>14000</v>
      </c>
      <c r="E48" s="142">
        <f t="shared" ref="E48" si="2">3%*D48+D48</f>
        <v>14420</v>
      </c>
    </row>
    <row r="49" spans="1:5" ht="24.75" thickBot="1" x14ac:dyDescent="0.3">
      <c r="A49" s="151" t="s">
        <v>85</v>
      </c>
      <c r="B49" s="142">
        <v>3000</v>
      </c>
      <c r="C49" s="142">
        <v>3000</v>
      </c>
      <c r="D49" s="142">
        <v>3300</v>
      </c>
      <c r="E49" s="142">
        <v>3300</v>
      </c>
    </row>
    <row r="50" spans="1:5" ht="15.75" thickBot="1" x14ac:dyDescent="0.3">
      <c r="A50" s="151" t="s">
        <v>86</v>
      </c>
      <c r="B50" s="142">
        <v>3400</v>
      </c>
      <c r="C50" s="142">
        <v>3400</v>
      </c>
      <c r="D50" s="142">
        <v>3400</v>
      </c>
      <c r="E50" s="142">
        <v>3400</v>
      </c>
    </row>
    <row r="51" spans="1:5" ht="15.75" thickBot="1" x14ac:dyDescent="0.3">
      <c r="A51" s="151" t="s">
        <v>87</v>
      </c>
      <c r="B51" s="142"/>
      <c r="C51" s="142"/>
      <c r="D51" s="142"/>
      <c r="E51" s="142"/>
    </row>
    <row r="52" spans="1:5" ht="24.75" thickBot="1" x14ac:dyDescent="0.3">
      <c r="A52" s="151" t="s">
        <v>88</v>
      </c>
      <c r="B52" s="142"/>
      <c r="C52" s="142"/>
      <c r="D52" s="142"/>
      <c r="E52" s="142"/>
    </row>
    <row r="53" spans="1:5" ht="15.75" thickBot="1" x14ac:dyDescent="0.3">
      <c r="A53" s="151" t="s">
        <v>89</v>
      </c>
      <c r="B53" s="158">
        <v>2000</v>
      </c>
      <c r="C53" s="142">
        <v>2000</v>
      </c>
      <c r="D53" s="142">
        <v>2500</v>
      </c>
      <c r="E53" s="142">
        <v>2500</v>
      </c>
    </row>
    <row r="54" spans="1:5" ht="24.75" thickBot="1" x14ac:dyDescent="0.3">
      <c r="A54" s="151" t="s">
        <v>90</v>
      </c>
      <c r="B54" s="142"/>
      <c r="C54" s="142"/>
      <c r="D54" s="142"/>
      <c r="E54" s="142"/>
    </row>
    <row r="55" spans="1:5" ht="15.75" thickBot="1" x14ac:dyDescent="0.3">
      <c r="A55" s="153" t="s">
        <v>91</v>
      </c>
      <c r="B55" s="142">
        <f>SUM(B48:B54)</f>
        <v>21600</v>
      </c>
      <c r="C55" s="142">
        <f>SUM(C48:C54)</f>
        <v>21600</v>
      </c>
      <c r="D55" s="142">
        <f>SUM(D48:D54)</f>
        <v>23200</v>
      </c>
      <c r="E55" s="142">
        <f>SUM(E48:E54)</f>
        <v>23620</v>
      </c>
    </row>
    <row r="56" spans="1:5" ht="15.75" thickBot="1" x14ac:dyDescent="0.3">
      <c r="A56" s="154" t="s">
        <v>92</v>
      </c>
      <c r="B56" s="142"/>
      <c r="C56" s="142"/>
      <c r="D56" s="142"/>
      <c r="E56" s="142"/>
    </row>
    <row r="57" spans="1:5" ht="23.25" thickBot="1" x14ac:dyDescent="0.3">
      <c r="A57" s="190" t="s">
        <v>456</v>
      </c>
      <c r="B57" s="1014" t="s">
        <v>457</v>
      </c>
      <c r="C57" s="1015"/>
      <c r="D57" s="1015"/>
      <c r="E57" s="1016"/>
    </row>
    <row r="58" spans="1:5" ht="15.75" thickBot="1" x14ac:dyDescent="0.3">
      <c r="A58" s="133" t="s">
        <v>72</v>
      </c>
      <c r="B58" s="945" t="s">
        <v>458</v>
      </c>
      <c r="C58" s="946"/>
      <c r="D58" s="946"/>
      <c r="E58" s="947"/>
    </row>
    <row r="59" spans="1:5" ht="15.75" thickBot="1" x14ac:dyDescent="0.3">
      <c r="A59" s="133" t="s">
        <v>74</v>
      </c>
      <c r="B59" s="1002" t="s">
        <v>459</v>
      </c>
      <c r="C59" s="1003"/>
      <c r="D59" s="1003"/>
      <c r="E59" s="1004"/>
    </row>
    <row r="60" spans="1:5" ht="15.75" thickBot="1" x14ac:dyDescent="0.3">
      <c r="A60" s="133" t="s">
        <v>76</v>
      </c>
      <c r="B60" s="147">
        <v>220</v>
      </c>
      <c r="C60" s="147">
        <v>230</v>
      </c>
      <c r="D60" s="147">
        <v>240</v>
      </c>
      <c r="E60" s="147">
        <v>250</v>
      </c>
    </row>
    <row r="61" spans="1:5" ht="12.75" customHeight="1" x14ac:dyDescent="0.25">
      <c r="A61" s="893"/>
      <c r="B61" s="145">
        <v>2018</v>
      </c>
      <c r="C61" s="145">
        <v>2019</v>
      </c>
      <c r="D61" s="145">
        <v>2020</v>
      </c>
      <c r="E61" s="145">
        <v>2021</v>
      </c>
    </row>
    <row r="62" spans="1:5" ht="9" customHeight="1" thickBot="1" x14ac:dyDescent="0.3">
      <c r="A62" s="894"/>
      <c r="B62" s="146" t="s">
        <v>41</v>
      </c>
      <c r="C62" s="146" t="s">
        <v>42</v>
      </c>
      <c r="D62" s="146" t="s">
        <v>42</v>
      </c>
      <c r="E62" s="146" t="s">
        <v>42</v>
      </c>
    </row>
    <row r="63" spans="1:5" ht="15.75" thickBot="1" x14ac:dyDescent="0.3">
      <c r="A63" s="133" t="s">
        <v>77</v>
      </c>
      <c r="B63" s="147">
        <v>800</v>
      </c>
      <c r="C63" s="147">
        <v>800</v>
      </c>
      <c r="D63" s="147">
        <v>1100</v>
      </c>
      <c r="E63" s="147">
        <v>1200</v>
      </c>
    </row>
    <row r="64" spans="1:5" ht="15.75" thickBot="1" x14ac:dyDescent="0.3">
      <c r="A64" s="133" t="s">
        <v>78</v>
      </c>
      <c r="B64" s="147">
        <f>B63/B60</f>
        <v>3.6363636363636362</v>
      </c>
      <c r="C64" s="147">
        <f>C63/C60</f>
        <v>3.4782608695652173</v>
      </c>
      <c r="D64" s="147">
        <f>D63/D60</f>
        <v>4.583333333333333</v>
      </c>
      <c r="E64" s="147">
        <f>E63/E60</f>
        <v>4.8</v>
      </c>
    </row>
    <row r="65" spans="1:5" ht="15.75" thickBot="1" x14ac:dyDescent="0.3">
      <c r="A65" s="133" t="s">
        <v>79</v>
      </c>
      <c r="B65" s="148"/>
      <c r="C65" s="149">
        <f>C60/B60-1</f>
        <v>4.5454545454545414E-2</v>
      </c>
      <c r="D65" s="149">
        <f>D60/C60-1</f>
        <v>4.3478260869565188E-2</v>
      </c>
      <c r="E65" s="149">
        <f>E60/D60-1</f>
        <v>4.1666666666666741E-2</v>
      </c>
    </row>
    <row r="66" spans="1:5" ht="15.75" thickBot="1" x14ac:dyDescent="0.3">
      <c r="A66" s="133" t="s">
        <v>81</v>
      </c>
      <c r="B66" s="148"/>
      <c r="C66" s="149">
        <f>C63/B63-1</f>
        <v>0</v>
      </c>
      <c r="D66" s="149">
        <f t="shared" ref="D66:E67" si="3">D63/C63-1</f>
        <v>0.375</v>
      </c>
      <c r="E66" s="149">
        <f t="shared" si="3"/>
        <v>9.0909090909090828E-2</v>
      </c>
    </row>
    <row r="67" spans="1:5" ht="23.25" thickBot="1" x14ac:dyDescent="0.3">
      <c r="A67" s="133" t="s">
        <v>82</v>
      </c>
      <c r="B67" s="148"/>
      <c r="C67" s="149">
        <f>C64/B64-1</f>
        <v>-4.3478260869565188E-2</v>
      </c>
      <c r="D67" s="149">
        <f t="shared" si="3"/>
        <v>0.31770833333333326</v>
      </c>
      <c r="E67" s="149">
        <f t="shared" si="3"/>
        <v>4.7272727272727355E-2</v>
      </c>
    </row>
    <row r="68" spans="1:5" ht="24.75" customHeight="1" thickBot="1" x14ac:dyDescent="0.3">
      <c r="A68" s="1005" t="s">
        <v>355</v>
      </c>
      <c r="B68" s="1006"/>
      <c r="C68" s="1006"/>
      <c r="D68" s="1006"/>
      <c r="E68" s="1007"/>
    </row>
    <row r="69" spans="1:5" ht="12.75" customHeight="1" x14ac:dyDescent="0.25">
      <c r="A69" s="893"/>
      <c r="B69" s="145">
        <v>2018</v>
      </c>
      <c r="C69" s="145">
        <v>2019</v>
      </c>
      <c r="D69" s="145">
        <v>2020</v>
      </c>
      <c r="E69" s="145">
        <v>2021</v>
      </c>
    </row>
    <row r="70" spans="1:5" ht="9" customHeight="1" thickBot="1" x14ac:dyDescent="0.3">
      <c r="A70" s="894"/>
      <c r="B70" s="146" t="s">
        <v>41</v>
      </c>
      <c r="C70" s="146" t="s">
        <v>42</v>
      </c>
      <c r="D70" s="146" t="s">
        <v>42</v>
      </c>
      <c r="E70" s="146" t="s">
        <v>42</v>
      </c>
    </row>
    <row r="71" spans="1:5" ht="24.75" customHeight="1" thickBot="1" x14ac:dyDescent="0.3">
      <c r="A71" s="151" t="s">
        <v>84</v>
      </c>
      <c r="B71" s="142"/>
      <c r="C71" s="142"/>
      <c r="D71" s="142"/>
      <c r="E71" s="142"/>
    </row>
    <row r="72" spans="1:5" ht="24.75" customHeight="1" thickBot="1" x14ac:dyDescent="0.3">
      <c r="A72" s="151" t="s">
        <v>85</v>
      </c>
      <c r="B72" s="142"/>
      <c r="C72" s="142"/>
      <c r="D72" s="142"/>
      <c r="E72" s="142"/>
    </row>
    <row r="73" spans="1:5" ht="24.75" customHeight="1" thickBot="1" x14ac:dyDescent="0.3">
      <c r="A73" s="151" t="s">
        <v>86</v>
      </c>
      <c r="B73" s="158">
        <v>800</v>
      </c>
      <c r="C73" s="142">
        <v>800</v>
      </c>
      <c r="D73" s="142">
        <v>1100</v>
      </c>
      <c r="E73" s="142">
        <v>1200</v>
      </c>
    </row>
    <row r="74" spans="1:5" ht="15.75" thickBot="1" x14ac:dyDescent="0.3">
      <c r="A74" s="151" t="s">
        <v>87</v>
      </c>
      <c r="B74" s="158"/>
      <c r="C74" s="142"/>
      <c r="D74" s="142"/>
      <c r="E74" s="142"/>
    </row>
    <row r="75" spans="1:5" ht="24.75" thickBot="1" x14ac:dyDescent="0.3">
      <c r="A75" s="151" t="s">
        <v>88</v>
      </c>
      <c r="B75" s="158"/>
      <c r="C75" s="142"/>
      <c r="D75" s="142"/>
      <c r="E75" s="142"/>
    </row>
    <row r="76" spans="1:5" ht="15.75" thickBot="1" x14ac:dyDescent="0.3">
      <c r="A76" s="151" t="s">
        <v>89</v>
      </c>
      <c r="B76" s="158"/>
      <c r="C76" s="142"/>
      <c r="D76" s="142"/>
      <c r="E76" s="142"/>
    </row>
    <row r="77" spans="1:5" ht="24.75" thickBot="1" x14ac:dyDescent="0.3">
      <c r="A77" s="151" t="s">
        <v>90</v>
      </c>
      <c r="B77" s="158"/>
      <c r="C77" s="142"/>
      <c r="D77" s="142"/>
      <c r="E77" s="142"/>
    </row>
    <row r="78" spans="1:5" ht="24.75" thickBot="1" x14ac:dyDescent="0.3">
      <c r="A78" s="159" t="s">
        <v>176</v>
      </c>
      <c r="B78" s="158">
        <f>B77+B76+B75+B74+B73+B72+B71</f>
        <v>800</v>
      </c>
      <c r="C78" s="158">
        <f>C77+C76+C75+C74+C73+C72+C71</f>
        <v>800</v>
      </c>
      <c r="D78" s="158">
        <f>D77+D76+D75+D74+D73+D72+D71</f>
        <v>1100</v>
      </c>
      <c r="E78" s="158">
        <f>E77+E76+E75+E74+E73+E72+E71</f>
        <v>1200</v>
      </c>
    </row>
    <row r="79" spans="1:5" ht="17.25" customHeight="1" thickBot="1" x14ac:dyDescent="0.3">
      <c r="A79" s="154" t="s">
        <v>92</v>
      </c>
      <c r="B79" s="160">
        <f>IF(B78-B63=0,0,"Error")</f>
        <v>0</v>
      </c>
      <c r="C79" s="160">
        <f>IF(C78-C63=0,0,"Error")</f>
        <v>0</v>
      </c>
      <c r="D79" s="160">
        <f>IF(D78-D63=0,0,"Error")</f>
        <v>0</v>
      </c>
      <c r="E79" s="160">
        <f>IF(E78-E63=0,0,"Error")</f>
        <v>0</v>
      </c>
    </row>
    <row r="80" spans="1:5" ht="15.75" thickBot="1" x14ac:dyDescent="0.3">
      <c r="A80" s="1011" t="s">
        <v>104</v>
      </c>
      <c r="B80" s="1012"/>
      <c r="C80" s="1012"/>
      <c r="D80" s="1012"/>
      <c r="E80" s="1013"/>
    </row>
    <row r="81" spans="1:9" ht="15.75" thickBot="1" x14ac:dyDescent="0.3">
      <c r="A81" s="1011" t="s">
        <v>105</v>
      </c>
      <c r="B81" s="1012"/>
      <c r="C81" s="1012"/>
      <c r="D81" s="1012"/>
      <c r="E81" s="1013"/>
    </row>
    <row r="82" spans="1:9" ht="23.25" thickBot="1" x14ac:dyDescent="0.3">
      <c r="A82" s="161" t="s">
        <v>106</v>
      </c>
      <c r="B82" s="1026" t="s">
        <v>107</v>
      </c>
      <c r="C82" s="1027"/>
      <c r="D82" s="1027"/>
      <c r="E82" s="1028"/>
    </row>
    <row r="83" spans="1:9" ht="15.75" thickBot="1" x14ac:dyDescent="0.3">
      <c r="A83" s="144" t="s">
        <v>108</v>
      </c>
      <c r="B83" s="1014" t="s">
        <v>364</v>
      </c>
      <c r="C83" s="1015"/>
      <c r="D83" s="1015"/>
      <c r="E83" s="1016"/>
    </row>
    <row r="84" spans="1:9" ht="17.25" customHeight="1" thickBot="1" x14ac:dyDescent="0.3">
      <c r="A84" s="133" t="s">
        <v>72</v>
      </c>
      <c r="B84" s="945" t="s">
        <v>364</v>
      </c>
      <c r="C84" s="946"/>
      <c r="D84" s="946"/>
      <c r="E84" s="947"/>
    </row>
    <row r="85" spans="1:9" ht="15.75" thickBot="1" x14ac:dyDescent="0.3">
      <c r="A85" s="133" t="s">
        <v>74</v>
      </c>
      <c r="B85" s="1002" t="s">
        <v>364</v>
      </c>
      <c r="C85" s="1003"/>
      <c r="D85" s="1003"/>
      <c r="E85" s="1004"/>
    </row>
    <row r="86" spans="1:9" ht="12.75" customHeight="1" x14ac:dyDescent="0.25">
      <c r="A86" s="893"/>
      <c r="B86" s="145">
        <v>2018</v>
      </c>
      <c r="C86" s="145">
        <v>2019</v>
      </c>
      <c r="D86" s="145">
        <v>2020</v>
      </c>
      <c r="E86" s="145">
        <v>2021</v>
      </c>
    </row>
    <row r="87" spans="1:9" ht="9" customHeight="1" thickBot="1" x14ac:dyDescent="0.3">
      <c r="A87" s="894"/>
      <c r="B87" s="146" t="s">
        <v>41</v>
      </c>
      <c r="C87" s="146" t="s">
        <v>42</v>
      </c>
      <c r="D87" s="146" t="s">
        <v>42</v>
      </c>
      <c r="E87" s="146" t="s">
        <v>42</v>
      </c>
    </row>
    <row r="88" spans="1:9" ht="15.75" thickBot="1" x14ac:dyDescent="0.3">
      <c r="A88" s="133" t="s">
        <v>76</v>
      </c>
      <c r="B88" s="147"/>
      <c r="C88" s="147"/>
      <c r="D88" s="147"/>
      <c r="E88" s="147"/>
    </row>
    <row r="89" spans="1:9" ht="15.75" thickBot="1" x14ac:dyDescent="0.3">
      <c r="A89" s="133" t="s">
        <v>77</v>
      </c>
      <c r="B89" s="147">
        <v>7000</v>
      </c>
      <c r="C89" s="147">
        <v>9774</v>
      </c>
      <c r="D89" s="147"/>
      <c r="E89" s="147"/>
    </row>
    <row r="90" spans="1:9" ht="15.75" thickBot="1" x14ac:dyDescent="0.3">
      <c r="A90" s="133" t="s">
        <v>78</v>
      </c>
      <c r="B90" s="147" t="e">
        <f>B89/B88</f>
        <v>#DIV/0!</v>
      </c>
      <c r="C90" s="147" t="e">
        <f t="shared" ref="C90:E90" si="4">C89/C88</f>
        <v>#DIV/0!</v>
      </c>
      <c r="D90" s="147" t="e">
        <f t="shared" si="4"/>
        <v>#DIV/0!</v>
      </c>
      <c r="E90" s="147" t="e">
        <f t="shared" si="4"/>
        <v>#DIV/0!</v>
      </c>
    </row>
    <row r="91" spans="1:9" ht="15.75" thickBot="1" x14ac:dyDescent="0.3">
      <c r="A91" s="133" t="s">
        <v>79</v>
      </c>
      <c r="B91" s="148" t="s">
        <v>80</v>
      </c>
      <c r="C91" s="149" t="e">
        <f>C88/B88-1</f>
        <v>#DIV/0!</v>
      </c>
      <c r="D91" s="149" t="e">
        <f t="shared" ref="D91:E93" si="5">D88/C88-1</f>
        <v>#DIV/0!</v>
      </c>
      <c r="E91" s="149" t="e">
        <f t="shared" si="5"/>
        <v>#DIV/0!</v>
      </c>
      <c r="F91" s="150"/>
      <c r="G91" s="150"/>
      <c r="H91" s="150"/>
      <c r="I91" s="150"/>
    </row>
    <row r="92" spans="1:9" ht="15.75" thickBot="1" x14ac:dyDescent="0.3">
      <c r="A92" s="133" t="s">
        <v>81</v>
      </c>
      <c r="B92" s="148" t="s">
        <v>80</v>
      </c>
      <c r="C92" s="149">
        <f>C89/B89-1</f>
        <v>0.39628571428571435</v>
      </c>
      <c r="D92" s="149">
        <f t="shared" si="5"/>
        <v>-1</v>
      </c>
      <c r="E92" s="149" t="e">
        <f t="shared" si="5"/>
        <v>#DIV/0!</v>
      </c>
    </row>
    <row r="93" spans="1:9" ht="23.25" thickBot="1" x14ac:dyDescent="0.3">
      <c r="A93" s="133" t="s">
        <v>82</v>
      </c>
      <c r="B93" s="148" t="s">
        <v>80</v>
      </c>
      <c r="C93" s="149" t="e">
        <f>C90/B90-1</f>
        <v>#DIV/0!</v>
      </c>
      <c r="D93" s="149" t="e">
        <f t="shared" si="5"/>
        <v>#DIV/0!</v>
      </c>
      <c r="E93" s="149" t="e">
        <f t="shared" si="5"/>
        <v>#DIV/0!</v>
      </c>
    </row>
    <row r="94" spans="1:9" ht="15.75" thickBot="1" x14ac:dyDescent="0.3">
      <c r="A94" s="1005" t="s">
        <v>83</v>
      </c>
      <c r="B94" s="1006"/>
      <c r="C94" s="1006"/>
      <c r="D94" s="1006"/>
      <c r="E94" s="1007"/>
    </row>
    <row r="95" spans="1:9" ht="12.75" customHeight="1" x14ac:dyDescent="0.25">
      <c r="A95" s="893"/>
      <c r="B95" s="145">
        <v>2018</v>
      </c>
      <c r="C95" s="145">
        <v>2019</v>
      </c>
      <c r="D95" s="145">
        <v>2020</v>
      </c>
      <c r="E95" s="145">
        <v>2021</v>
      </c>
    </row>
    <row r="96" spans="1:9" ht="9" customHeight="1" thickBot="1" x14ac:dyDescent="0.3">
      <c r="A96" s="894"/>
      <c r="B96" s="146" t="s">
        <v>41</v>
      </c>
      <c r="C96" s="146" t="s">
        <v>42</v>
      </c>
      <c r="D96" s="146" t="s">
        <v>42</v>
      </c>
      <c r="E96" s="146" t="s">
        <v>42</v>
      </c>
    </row>
    <row r="97" spans="1:9" ht="15.75" thickBot="1" x14ac:dyDescent="0.3">
      <c r="A97" s="151" t="s">
        <v>169</v>
      </c>
      <c r="B97" s="142">
        <v>7000</v>
      </c>
      <c r="C97" s="142">
        <v>7000</v>
      </c>
      <c r="D97" s="142"/>
      <c r="E97" s="142"/>
    </row>
    <row r="98" spans="1:9" ht="15.75" thickBot="1" x14ac:dyDescent="0.3">
      <c r="A98" s="151" t="s">
        <v>112</v>
      </c>
      <c r="B98" s="158"/>
      <c r="C98" s="142">
        <v>2774</v>
      </c>
      <c r="D98" s="142"/>
      <c r="E98" s="142"/>
    </row>
    <row r="99" spans="1:9" ht="15.75" thickBot="1" x14ac:dyDescent="0.3">
      <c r="A99" s="153" t="s">
        <v>91</v>
      </c>
      <c r="B99" s="158">
        <f>B98+B97</f>
        <v>7000</v>
      </c>
      <c r="C99" s="158">
        <f t="shared" ref="C99" si="6">C98+C97</f>
        <v>9774</v>
      </c>
      <c r="D99" s="158"/>
      <c r="E99" s="158"/>
    </row>
    <row r="100" spans="1:9" x14ac:dyDescent="0.25">
      <c r="A100" s="902" t="s">
        <v>113</v>
      </c>
      <c r="B100" s="905"/>
      <c r="C100" s="906"/>
      <c r="D100" s="906"/>
      <c r="E100" s="907"/>
    </row>
    <row r="101" spans="1:9" x14ac:dyDescent="0.25">
      <c r="A101" s="903"/>
      <c r="B101" s="908"/>
      <c r="C101" s="909"/>
      <c r="D101" s="909"/>
      <c r="E101" s="910"/>
    </row>
    <row r="102" spans="1:9" ht="15.75" thickBot="1" x14ac:dyDescent="0.3">
      <c r="A102" s="904"/>
      <c r="B102" s="911"/>
      <c r="C102" s="912"/>
      <c r="D102" s="912"/>
      <c r="E102" s="913"/>
    </row>
    <row r="103" spans="1:9" ht="15.75" thickBot="1" x14ac:dyDescent="0.3">
      <c r="A103" s="161" t="s">
        <v>257</v>
      </c>
      <c r="B103" s="1026" t="s">
        <v>107</v>
      </c>
      <c r="C103" s="1027"/>
      <c r="D103" s="1027"/>
      <c r="E103" s="1028"/>
    </row>
    <row r="104" spans="1:9" ht="23.25" thickBot="1" x14ac:dyDescent="0.3">
      <c r="A104" s="144" t="s">
        <v>365</v>
      </c>
      <c r="B104" s="1014" t="s">
        <v>364</v>
      </c>
      <c r="C104" s="1015"/>
      <c r="D104" s="1015"/>
      <c r="E104" s="1016"/>
    </row>
    <row r="105" spans="1:9" ht="17.25" customHeight="1" thickBot="1" x14ac:dyDescent="0.3">
      <c r="A105" s="133" t="s">
        <v>72</v>
      </c>
      <c r="B105" s="945" t="s">
        <v>364</v>
      </c>
      <c r="C105" s="946"/>
      <c r="D105" s="946"/>
      <c r="E105" s="947"/>
    </row>
    <row r="106" spans="1:9" ht="15.75" thickBot="1" x14ac:dyDescent="0.3">
      <c r="A106" s="133" t="s">
        <v>74</v>
      </c>
      <c r="B106" s="1002" t="s">
        <v>364</v>
      </c>
      <c r="C106" s="1003"/>
      <c r="D106" s="1003"/>
      <c r="E106" s="1004"/>
    </row>
    <row r="107" spans="1:9" ht="12.75" customHeight="1" x14ac:dyDescent="0.25">
      <c r="A107" s="893"/>
      <c r="B107" s="145">
        <v>2018</v>
      </c>
      <c r="C107" s="145">
        <v>2019</v>
      </c>
      <c r="D107" s="145">
        <v>2020</v>
      </c>
      <c r="E107" s="145">
        <v>2021</v>
      </c>
    </row>
    <row r="108" spans="1:9" ht="9" customHeight="1" thickBot="1" x14ac:dyDescent="0.3">
      <c r="A108" s="894"/>
      <c r="B108" s="146" t="s">
        <v>41</v>
      </c>
      <c r="C108" s="146" t="s">
        <v>42</v>
      </c>
      <c r="D108" s="146" t="s">
        <v>42</v>
      </c>
      <c r="E108" s="146" t="s">
        <v>42</v>
      </c>
    </row>
    <row r="109" spans="1:9" ht="15.75" thickBot="1" x14ac:dyDescent="0.3">
      <c r="A109" s="133" t="s">
        <v>76</v>
      </c>
      <c r="B109" s="147"/>
      <c r="C109" s="147"/>
      <c r="D109" s="147"/>
      <c r="E109" s="147"/>
    </row>
    <row r="110" spans="1:9" ht="15.75" thickBot="1" x14ac:dyDescent="0.3">
      <c r="A110" s="133" t="s">
        <v>77</v>
      </c>
      <c r="B110" s="147"/>
      <c r="C110" s="147"/>
      <c r="D110" s="147"/>
      <c r="E110" s="147"/>
    </row>
    <row r="111" spans="1:9" ht="15.75" thickBot="1" x14ac:dyDescent="0.3">
      <c r="A111" s="133" t="s">
        <v>78</v>
      </c>
      <c r="B111" s="147" t="e">
        <f>B110/B109</f>
        <v>#DIV/0!</v>
      </c>
      <c r="C111" s="147" t="e">
        <f t="shared" ref="C111:E111" si="7">C110/C109</f>
        <v>#DIV/0!</v>
      </c>
      <c r="D111" s="147" t="e">
        <f t="shared" si="7"/>
        <v>#DIV/0!</v>
      </c>
      <c r="E111" s="147" t="e">
        <f t="shared" si="7"/>
        <v>#DIV/0!</v>
      </c>
    </row>
    <row r="112" spans="1:9" ht="15.75" thickBot="1" x14ac:dyDescent="0.3">
      <c r="A112" s="133" t="s">
        <v>79</v>
      </c>
      <c r="B112" s="148" t="s">
        <v>80</v>
      </c>
      <c r="C112" s="149" t="e">
        <f>C109/B109-1</f>
        <v>#DIV/0!</v>
      </c>
      <c r="D112" s="149" t="e">
        <f t="shared" ref="D112:E114" si="8">D109/C109-1</f>
        <v>#DIV/0!</v>
      </c>
      <c r="E112" s="149" t="e">
        <f t="shared" si="8"/>
        <v>#DIV/0!</v>
      </c>
      <c r="F112" s="150"/>
      <c r="G112" s="150"/>
      <c r="H112" s="150"/>
      <c r="I112" s="150"/>
    </row>
    <row r="113" spans="1:5" ht="15.75" thickBot="1" x14ac:dyDescent="0.3">
      <c r="A113" s="133" t="s">
        <v>81</v>
      </c>
      <c r="B113" s="148" t="s">
        <v>80</v>
      </c>
      <c r="C113" s="149" t="e">
        <f>C110/B110-1</f>
        <v>#DIV/0!</v>
      </c>
      <c r="D113" s="149" t="e">
        <f t="shared" si="8"/>
        <v>#DIV/0!</v>
      </c>
      <c r="E113" s="149" t="e">
        <f t="shared" si="8"/>
        <v>#DIV/0!</v>
      </c>
    </row>
    <row r="114" spans="1:5" ht="23.25" thickBot="1" x14ac:dyDescent="0.3">
      <c r="A114" s="133" t="s">
        <v>82</v>
      </c>
      <c r="B114" s="148" t="s">
        <v>80</v>
      </c>
      <c r="C114" s="149" t="e">
        <f>C111/B111-1</f>
        <v>#DIV/0!</v>
      </c>
      <c r="D114" s="149" t="e">
        <f t="shared" si="8"/>
        <v>#DIV/0!</v>
      </c>
      <c r="E114" s="149" t="e">
        <f t="shared" si="8"/>
        <v>#DIV/0!</v>
      </c>
    </row>
    <row r="115" spans="1:5" ht="15.75" thickBot="1" x14ac:dyDescent="0.3">
      <c r="A115" s="1005" t="s">
        <v>366</v>
      </c>
      <c r="B115" s="1006"/>
      <c r="C115" s="1006"/>
      <c r="D115" s="1006"/>
      <c r="E115" s="1007"/>
    </row>
    <row r="116" spans="1:5" ht="12.75" customHeight="1" x14ac:dyDescent="0.25">
      <c r="A116" s="893"/>
      <c r="B116" s="145">
        <v>2018</v>
      </c>
      <c r="C116" s="145">
        <v>2019</v>
      </c>
      <c r="D116" s="145">
        <v>2020</v>
      </c>
      <c r="E116" s="145">
        <v>2021</v>
      </c>
    </row>
    <row r="117" spans="1:5" ht="9" customHeight="1" thickBot="1" x14ac:dyDescent="0.3">
      <c r="A117" s="894"/>
      <c r="B117" s="146" t="s">
        <v>41</v>
      </c>
      <c r="C117" s="146" t="s">
        <v>42</v>
      </c>
      <c r="D117" s="146" t="s">
        <v>42</v>
      </c>
      <c r="E117" s="146" t="s">
        <v>42</v>
      </c>
    </row>
    <row r="118" spans="1:5" ht="15.75" thickBot="1" x14ac:dyDescent="0.3">
      <c r="A118" s="151" t="s">
        <v>169</v>
      </c>
      <c r="B118" s="142"/>
      <c r="C118" s="142"/>
      <c r="D118" s="142"/>
      <c r="E118" s="142"/>
    </row>
    <row r="119" spans="1:5" ht="15.75" thickBot="1" x14ac:dyDescent="0.3">
      <c r="A119" s="151" t="s">
        <v>112</v>
      </c>
      <c r="B119" s="158"/>
      <c r="C119" s="142"/>
      <c r="D119" s="142"/>
      <c r="E119" s="142"/>
    </row>
    <row r="120" spans="1:5" ht="24.75" thickBot="1" x14ac:dyDescent="0.3">
      <c r="A120" s="153" t="s">
        <v>176</v>
      </c>
      <c r="B120" s="158">
        <f>B119+B118</f>
        <v>0</v>
      </c>
      <c r="C120" s="158">
        <f t="shared" ref="C120:E120" si="9">C119+C118</f>
        <v>0</v>
      </c>
      <c r="D120" s="158">
        <f t="shared" si="9"/>
        <v>0</v>
      </c>
      <c r="E120" s="158">
        <f t="shared" si="9"/>
        <v>0</v>
      </c>
    </row>
    <row r="121" spans="1:5" ht="15.75" thickBot="1" x14ac:dyDescent="0.3">
      <c r="A121" s="1011" t="s">
        <v>104</v>
      </c>
      <c r="B121" s="1012"/>
      <c r="C121" s="1012"/>
      <c r="D121" s="1012"/>
      <c r="E121" s="1013"/>
    </row>
    <row r="122" spans="1:5" ht="15.75" thickBot="1" x14ac:dyDescent="0.3">
      <c r="A122" s="1011" t="s">
        <v>170</v>
      </c>
      <c r="B122" s="1012"/>
      <c r="C122" s="1012"/>
      <c r="D122" s="1012"/>
      <c r="E122" s="1013"/>
    </row>
    <row r="123" spans="1:5" ht="15.75" thickBot="1" x14ac:dyDescent="0.3">
      <c r="A123" s="161" t="s">
        <v>257</v>
      </c>
      <c r="B123" s="1026" t="s">
        <v>107</v>
      </c>
      <c r="C123" s="1027"/>
      <c r="D123" s="1027"/>
      <c r="E123" s="1028"/>
    </row>
    <row r="124" spans="1:5" ht="15.75" thickBot="1" x14ac:dyDescent="0.3">
      <c r="A124" s="144" t="s">
        <v>108</v>
      </c>
      <c r="B124" s="1014" t="s">
        <v>364</v>
      </c>
      <c r="C124" s="1015"/>
      <c r="D124" s="1015"/>
      <c r="E124" s="1016"/>
    </row>
    <row r="125" spans="1:5" ht="17.25" customHeight="1" thickBot="1" x14ac:dyDescent="0.3">
      <c r="A125" s="133" t="s">
        <v>72</v>
      </c>
      <c r="B125" s="945" t="s">
        <v>364</v>
      </c>
      <c r="C125" s="946"/>
      <c r="D125" s="946"/>
      <c r="E125" s="947"/>
    </row>
    <row r="126" spans="1:5" ht="15.75" thickBot="1" x14ac:dyDescent="0.3">
      <c r="A126" s="133" t="s">
        <v>74</v>
      </c>
      <c r="B126" s="1002" t="s">
        <v>364</v>
      </c>
      <c r="C126" s="1003"/>
      <c r="D126" s="1003"/>
      <c r="E126" s="1004"/>
    </row>
    <row r="127" spans="1:5" ht="12.75" customHeight="1" x14ac:dyDescent="0.25">
      <c r="A127" s="893"/>
      <c r="B127" s="145">
        <v>2018</v>
      </c>
      <c r="C127" s="145">
        <v>2019</v>
      </c>
      <c r="D127" s="145">
        <v>2020</v>
      </c>
      <c r="E127" s="145">
        <v>2021</v>
      </c>
    </row>
    <row r="128" spans="1:5" ht="9" customHeight="1" thickBot="1" x14ac:dyDescent="0.3">
      <c r="A128" s="894"/>
      <c r="B128" s="146" t="s">
        <v>41</v>
      </c>
      <c r="C128" s="146" t="s">
        <v>42</v>
      </c>
      <c r="D128" s="146" t="s">
        <v>42</v>
      </c>
      <c r="E128" s="146" t="s">
        <v>42</v>
      </c>
    </row>
    <row r="129" spans="1:9" ht="15.75" thickBot="1" x14ac:dyDescent="0.3">
      <c r="A129" s="133" t="s">
        <v>76</v>
      </c>
      <c r="B129" s="147"/>
      <c r="C129" s="147"/>
      <c r="D129" s="147"/>
      <c r="E129" s="147"/>
    </row>
    <row r="130" spans="1:9" ht="15.75" thickBot="1" x14ac:dyDescent="0.3">
      <c r="A130" s="133" t="s">
        <v>77</v>
      </c>
      <c r="B130" s="147"/>
      <c r="C130" s="147"/>
      <c r="D130" s="147"/>
      <c r="E130" s="147"/>
    </row>
    <row r="131" spans="1:9" ht="15.75" thickBot="1" x14ac:dyDescent="0.3">
      <c r="A131" s="133" t="s">
        <v>78</v>
      </c>
      <c r="B131" s="147" t="e">
        <f>B130/B129</f>
        <v>#DIV/0!</v>
      </c>
      <c r="C131" s="147" t="e">
        <f t="shared" ref="C131:E131" si="10">C130/C129</f>
        <v>#DIV/0!</v>
      </c>
      <c r="D131" s="147" t="e">
        <f t="shared" si="10"/>
        <v>#DIV/0!</v>
      </c>
      <c r="E131" s="147" t="e">
        <f t="shared" si="10"/>
        <v>#DIV/0!</v>
      </c>
    </row>
    <row r="132" spans="1:9" ht="15.75" thickBot="1" x14ac:dyDescent="0.3">
      <c r="A132" s="133" t="s">
        <v>79</v>
      </c>
      <c r="B132" s="148" t="s">
        <v>80</v>
      </c>
      <c r="C132" s="149" t="e">
        <f>C129/B129-1</f>
        <v>#DIV/0!</v>
      </c>
      <c r="D132" s="149" t="e">
        <f t="shared" ref="D132:E134" si="11">D129/C129-1</f>
        <v>#DIV/0!</v>
      </c>
      <c r="E132" s="149" t="e">
        <f t="shared" si="11"/>
        <v>#DIV/0!</v>
      </c>
      <c r="F132" s="150"/>
      <c r="G132" s="150"/>
      <c r="H132" s="150"/>
      <c r="I132" s="150"/>
    </row>
    <row r="133" spans="1:9" ht="15.75" thickBot="1" x14ac:dyDescent="0.3">
      <c r="A133" s="133" t="s">
        <v>81</v>
      </c>
      <c r="B133" s="148" t="s">
        <v>80</v>
      </c>
      <c r="C133" s="149" t="e">
        <f>C130/B130-1</f>
        <v>#DIV/0!</v>
      </c>
      <c r="D133" s="149" t="e">
        <f t="shared" si="11"/>
        <v>#DIV/0!</v>
      </c>
      <c r="E133" s="149" t="e">
        <f t="shared" si="11"/>
        <v>#DIV/0!</v>
      </c>
    </row>
    <row r="134" spans="1:9" ht="23.25" thickBot="1" x14ac:dyDescent="0.3">
      <c r="A134" s="133" t="s">
        <v>82</v>
      </c>
      <c r="B134" s="148" t="s">
        <v>80</v>
      </c>
      <c r="C134" s="149" t="e">
        <f>C131/B131-1</f>
        <v>#DIV/0!</v>
      </c>
      <c r="D134" s="149" t="e">
        <f t="shared" si="11"/>
        <v>#DIV/0!</v>
      </c>
      <c r="E134" s="149" t="e">
        <f t="shared" si="11"/>
        <v>#DIV/0!</v>
      </c>
    </row>
    <row r="135" spans="1:9" ht="15.75" thickBot="1" x14ac:dyDescent="0.3">
      <c r="A135" s="1005" t="s">
        <v>83</v>
      </c>
      <c r="B135" s="1006"/>
      <c r="C135" s="1006"/>
      <c r="D135" s="1006"/>
      <c r="E135" s="1007"/>
    </row>
    <row r="136" spans="1:9" ht="12.75" customHeight="1" x14ac:dyDescent="0.25">
      <c r="A136" s="893"/>
      <c r="B136" s="145">
        <v>2018</v>
      </c>
      <c r="C136" s="145">
        <v>2019</v>
      </c>
      <c r="D136" s="145">
        <v>2020</v>
      </c>
      <c r="E136" s="145">
        <v>2021</v>
      </c>
    </row>
    <row r="137" spans="1:9" ht="9" customHeight="1" thickBot="1" x14ac:dyDescent="0.3">
      <c r="A137" s="894"/>
      <c r="B137" s="146" t="s">
        <v>41</v>
      </c>
      <c r="C137" s="146" t="s">
        <v>42</v>
      </c>
      <c r="D137" s="146" t="s">
        <v>42</v>
      </c>
      <c r="E137" s="146" t="s">
        <v>42</v>
      </c>
    </row>
    <row r="138" spans="1:9" ht="15.75" thickBot="1" x14ac:dyDescent="0.3">
      <c r="A138" s="151" t="s">
        <v>169</v>
      </c>
      <c r="B138" s="142"/>
      <c r="C138" s="142"/>
      <c r="D138" s="142"/>
      <c r="E138" s="142"/>
    </row>
    <row r="139" spans="1:9" ht="15.75" thickBot="1" x14ac:dyDescent="0.3">
      <c r="A139" s="151" t="s">
        <v>112</v>
      </c>
      <c r="B139" s="158"/>
      <c r="C139" s="142"/>
      <c r="D139" s="142"/>
      <c r="E139" s="142"/>
    </row>
    <row r="140" spans="1:9" ht="15.75" thickBot="1" x14ac:dyDescent="0.3">
      <c r="A140" s="153" t="s">
        <v>91</v>
      </c>
      <c r="B140" s="158">
        <f>B139+B138</f>
        <v>0</v>
      </c>
      <c r="C140" s="158">
        <f t="shared" ref="C140:E140" si="12">C139+C138</f>
        <v>0</v>
      </c>
      <c r="D140" s="158">
        <f t="shared" si="12"/>
        <v>0</v>
      </c>
      <c r="E140" s="158">
        <f t="shared" si="12"/>
        <v>0</v>
      </c>
    </row>
    <row r="141" spans="1:9" ht="15.75" thickBot="1" x14ac:dyDescent="0.3">
      <c r="A141" s="164" t="s">
        <v>257</v>
      </c>
      <c r="B141" s="1026" t="s">
        <v>107</v>
      </c>
      <c r="C141" s="1027"/>
      <c r="D141" s="1027"/>
      <c r="E141" s="1028"/>
    </row>
    <row r="142" spans="1:9" ht="23.25" thickBot="1" x14ac:dyDescent="0.3">
      <c r="A142" s="144" t="s">
        <v>365</v>
      </c>
      <c r="B142" s="1014" t="s">
        <v>364</v>
      </c>
      <c r="C142" s="1015"/>
      <c r="D142" s="1015"/>
      <c r="E142" s="1016"/>
    </row>
    <row r="143" spans="1:9" ht="17.25" customHeight="1" thickBot="1" x14ac:dyDescent="0.3">
      <c r="A143" s="133" t="s">
        <v>72</v>
      </c>
      <c r="B143" s="945" t="s">
        <v>364</v>
      </c>
      <c r="C143" s="946"/>
      <c r="D143" s="946"/>
      <c r="E143" s="947"/>
    </row>
    <row r="144" spans="1:9" ht="15.75" thickBot="1" x14ac:dyDescent="0.3">
      <c r="A144" s="133" t="s">
        <v>74</v>
      </c>
      <c r="B144" s="1002" t="s">
        <v>364</v>
      </c>
      <c r="C144" s="1003"/>
      <c r="D144" s="1003"/>
      <c r="E144" s="1004"/>
    </row>
    <row r="145" spans="1:9" ht="12.75" customHeight="1" x14ac:dyDescent="0.25">
      <c r="A145" s="893"/>
      <c r="B145" s="145">
        <v>2018</v>
      </c>
      <c r="C145" s="145">
        <v>2019</v>
      </c>
      <c r="D145" s="145">
        <v>2020</v>
      </c>
      <c r="E145" s="145">
        <v>2021</v>
      </c>
    </row>
    <row r="146" spans="1:9" ht="9" customHeight="1" thickBot="1" x14ac:dyDescent="0.3">
      <c r="A146" s="894"/>
      <c r="B146" s="146" t="s">
        <v>41</v>
      </c>
      <c r="C146" s="146" t="s">
        <v>42</v>
      </c>
      <c r="D146" s="146" t="s">
        <v>42</v>
      </c>
      <c r="E146" s="146" t="s">
        <v>42</v>
      </c>
    </row>
    <row r="147" spans="1:9" ht="15.75" thickBot="1" x14ac:dyDescent="0.3">
      <c r="A147" s="133" t="s">
        <v>76</v>
      </c>
      <c r="B147" s="147"/>
      <c r="C147" s="147"/>
      <c r="D147" s="147"/>
      <c r="E147" s="147"/>
    </row>
    <row r="148" spans="1:9" ht="15.75" thickBot="1" x14ac:dyDescent="0.3">
      <c r="A148" s="133" t="s">
        <v>77</v>
      </c>
      <c r="B148" s="147"/>
      <c r="C148" s="147"/>
      <c r="D148" s="147"/>
      <c r="E148" s="147"/>
    </row>
    <row r="149" spans="1:9" ht="15.75" thickBot="1" x14ac:dyDescent="0.3">
      <c r="A149" s="133" t="s">
        <v>78</v>
      </c>
      <c r="B149" s="147" t="e">
        <f>B148/B147</f>
        <v>#DIV/0!</v>
      </c>
      <c r="C149" s="147" t="e">
        <f t="shared" ref="C149:E149" si="13">C148/C147</f>
        <v>#DIV/0!</v>
      </c>
      <c r="D149" s="147" t="e">
        <f t="shared" si="13"/>
        <v>#DIV/0!</v>
      </c>
      <c r="E149" s="147" t="e">
        <f t="shared" si="13"/>
        <v>#DIV/0!</v>
      </c>
    </row>
    <row r="150" spans="1:9" ht="15.75" thickBot="1" x14ac:dyDescent="0.3">
      <c r="A150" s="133" t="s">
        <v>79</v>
      </c>
      <c r="B150" s="148" t="s">
        <v>80</v>
      </c>
      <c r="C150" s="149" t="e">
        <f>C147/B147-1</f>
        <v>#DIV/0!</v>
      </c>
      <c r="D150" s="149" t="e">
        <f t="shared" ref="D150:E152" si="14">D147/C147-1</f>
        <v>#DIV/0!</v>
      </c>
      <c r="E150" s="149" t="e">
        <f t="shared" si="14"/>
        <v>#DIV/0!</v>
      </c>
      <c r="F150" s="150"/>
      <c r="G150" s="150"/>
      <c r="H150" s="150"/>
      <c r="I150" s="150"/>
    </row>
    <row r="151" spans="1:9" ht="15.75" thickBot="1" x14ac:dyDescent="0.3">
      <c r="A151" s="133" t="s">
        <v>81</v>
      </c>
      <c r="B151" s="148" t="s">
        <v>80</v>
      </c>
      <c r="C151" s="149" t="e">
        <f>C148/B148-1</f>
        <v>#DIV/0!</v>
      </c>
      <c r="D151" s="149" t="e">
        <f t="shared" si="14"/>
        <v>#DIV/0!</v>
      </c>
      <c r="E151" s="149" t="e">
        <f t="shared" si="14"/>
        <v>#DIV/0!</v>
      </c>
    </row>
    <row r="152" spans="1:9" ht="23.25" thickBot="1" x14ac:dyDescent="0.3">
      <c r="A152" s="133" t="s">
        <v>82</v>
      </c>
      <c r="B152" s="148" t="s">
        <v>80</v>
      </c>
      <c r="C152" s="149" t="e">
        <f>C149/B149-1</f>
        <v>#DIV/0!</v>
      </c>
      <c r="D152" s="149" t="e">
        <f t="shared" si="14"/>
        <v>#DIV/0!</v>
      </c>
      <c r="E152" s="149" t="e">
        <f t="shared" si="14"/>
        <v>#DIV/0!</v>
      </c>
    </row>
    <row r="153" spans="1:9" ht="15.75" thickBot="1" x14ac:dyDescent="0.3">
      <c r="A153" s="1005" t="s">
        <v>366</v>
      </c>
      <c r="B153" s="1006"/>
      <c r="C153" s="1006"/>
      <c r="D153" s="1006"/>
      <c r="E153" s="1007"/>
    </row>
    <row r="154" spans="1:9" ht="12.75" customHeight="1" x14ac:dyDescent="0.25">
      <c r="A154" s="893"/>
      <c r="B154" s="145">
        <v>2018</v>
      </c>
      <c r="C154" s="145">
        <v>2019</v>
      </c>
      <c r="D154" s="145">
        <v>2020</v>
      </c>
      <c r="E154" s="145">
        <v>2021</v>
      </c>
    </row>
    <row r="155" spans="1:9" ht="9" customHeight="1" thickBot="1" x14ac:dyDescent="0.3">
      <c r="A155" s="894"/>
      <c r="B155" s="146" t="s">
        <v>41</v>
      </c>
      <c r="C155" s="146" t="s">
        <v>42</v>
      </c>
      <c r="D155" s="146" t="s">
        <v>42</v>
      </c>
      <c r="E155" s="146" t="s">
        <v>42</v>
      </c>
    </row>
    <row r="156" spans="1:9" ht="15.75" thickBot="1" x14ac:dyDescent="0.3">
      <c r="A156" s="151" t="s">
        <v>169</v>
      </c>
      <c r="B156" s="142"/>
      <c r="C156" s="142"/>
      <c r="D156" s="142"/>
      <c r="E156" s="142"/>
    </row>
    <row r="157" spans="1:9" ht="15.75" thickBot="1" x14ac:dyDescent="0.3">
      <c r="A157" s="151" t="s">
        <v>112</v>
      </c>
      <c r="B157" s="158"/>
      <c r="C157" s="142"/>
      <c r="D157" s="142"/>
      <c r="E157" s="142"/>
    </row>
    <row r="158" spans="1:9" ht="24.75" thickBot="1" x14ac:dyDescent="0.3">
      <c r="A158" s="153" t="s">
        <v>176</v>
      </c>
      <c r="B158" s="158">
        <f>B157+B156</f>
        <v>0</v>
      </c>
      <c r="C158" s="158">
        <f t="shared" ref="C158:E158" si="15">C157+C156</f>
        <v>0</v>
      </c>
      <c r="D158" s="158">
        <f t="shared" si="15"/>
        <v>0</v>
      </c>
      <c r="E158" s="158">
        <f t="shared" si="15"/>
        <v>0</v>
      </c>
    </row>
    <row r="159" spans="1:9" ht="15.75" customHeight="1" thickBot="1" x14ac:dyDescent="0.3">
      <c r="A159" s="288" t="s">
        <v>181</v>
      </c>
      <c r="B159" s="1032" t="s">
        <v>364</v>
      </c>
      <c r="C159" s="1033"/>
      <c r="D159" s="1033"/>
      <c r="E159" s="1034"/>
    </row>
    <row r="160" spans="1:9" ht="15.75" customHeight="1" thickBot="1" x14ac:dyDescent="0.3">
      <c r="A160" s="945" t="s">
        <v>183</v>
      </c>
      <c r="B160" s="946"/>
      <c r="C160" s="946"/>
      <c r="D160" s="946"/>
      <c r="E160" s="947"/>
    </row>
    <row r="161" spans="1:5" ht="15.75" thickBot="1" x14ac:dyDescent="0.3">
      <c r="A161" s="131" t="s">
        <v>443</v>
      </c>
      <c r="B161" s="132" t="s">
        <v>60</v>
      </c>
      <c r="C161" s="132" t="s">
        <v>61</v>
      </c>
      <c r="D161" s="132" t="s">
        <v>61</v>
      </c>
      <c r="E161" s="132" t="s">
        <v>61</v>
      </c>
    </row>
    <row r="162" spans="1:5" ht="15.75" customHeight="1" thickBot="1" x14ac:dyDescent="0.3">
      <c r="A162" s="133" t="s">
        <v>370</v>
      </c>
      <c r="B162" s="132" t="s">
        <v>60</v>
      </c>
      <c r="C162" s="132" t="s">
        <v>61</v>
      </c>
      <c r="D162" s="132" t="s">
        <v>61</v>
      </c>
      <c r="E162" s="132" t="s">
        <v>61</v>
      </c>
    </row>
    <row r="163" spans="1:5" ht="23.25" customHeight="1" thickBot="1" x14ac:dyDescent="0.3">
      <c r="A163" s="133" t="s">
        <v>343</v>
      </c>
      <c r="B163" s="132" t="s">
        <v>60</v>
      </c>
      <c r="C163" s="132" t="s">
        <v>61</v>
      </c>
      <c r="D163" s="132" t="s">
        <v>61</v>
      </c>
      <c r="E163" s="132" t="s">
        <v>61</v>
      </c>
    </row>
    <row r="164" spans="1:5" ht="23.25" customHeight="1" thickBot="1" x14ac:dyDescent="0.3">
      <c r="A164" s="895" t="s">
        <v>196</v>
      </c>
      <c r="B164" s="896"/>
      <c r="C164" s="896"/>
      <c r="D164" s="896"/>
      <c r="E164" s="897"/>
    </row>
    <row r="165" spans="1:5" ht="23.25" customHeight="1" thickBot="1" x14ac:dyDescent="0.3">
      <c r="A165" s="1029" t="s">
        <v>114</v>
      </c>
      <c r="B165" s="1030"/>
      <c r="C165" s="1030"/>
      <c r="D165" s="1030"/>
      <c r="E165" s="1031"/>
    </row>
    <row r="166" spans="1:5" ht="12.75" customHeight="1" x14ac:dyDescent="0.25">
      <c r="A166" s="893"/>
      <c r="B166" s="145">
        <v>2018</v>
      </c>
      <c r="C166" s="145">
        <v>2019</v>
      </c>
      <c r="D166" s="145">
        <v>2020</v>
      </c>
      <c r="E166" s="145">
        <v>2021</v>
      </c>
    </row>
    <row r="167" spans="1:5" ht="9" customHeight="1" thickBot="1" x14ac:dyDescent="0.3">
      <c r="A167" s="894"/>
      <c r="B167" s="146" t="s">
        <v>41</v>
      </c>
      <c r="C167" s="146" t="s">
        <v>42</v>
      </c>
      <c r="D167" s="146" t="s">
        <v>42</v>
      </c>
      <c r="E167" s="146" t="s">
        <v>42</v>
      </c>
    </row>
    <row r="168" spans="1:5" ht="26.25" customHeight="1" thickBot="1" x14ac:dyDescent="0.3">
      <c r="A168" s="144" t="s">
        <v>108</v>
      </c>
      <c r="B168" s="1014" t="s">
        <v>364</v>
      </c>
      <c r="C168" s="1015"/>
      <c r="D168" s="1015"/>
      <c r="E168" s="1016"/>
    </row>
    <row r="169" spans="1:5" ht="16.5" customHeight="1" thickBot="1" x14ac:dyDescent="0.3">
      <c r="A169" s="133" t="s">
        <v>72</v>
      </c>
      <c r="B169" s="945" t="s">
        <v>364</v>
      </c>
      <c r="C169" s="946"/>
      <c r="D169" s="946"/>
      <c r="E169" s="947"/>
    </row>
    <row r="170" spans="1:5" ht="15.75" customHeight="1" thickBot="1" x14ac:dyDescent="0.3">
      <c r="A170" s="133" t="s">
        <v>74</v>
      </c>
      <c r="B170" s="1002" t="s">
        <v>364</v>
      </c>
      <c r="C170" s="1003"/>
      <c r="D170" s="1003"/>
      <c r="E170" s="1004"/>
    </row>
    <row r="171" spans="1:5" ht="12.75" customHeight="1" x14ac:dyDescent="0.25">
      <c r="A171" s="893"/>
      <c r="B171" s="145">
        <v>2018</v>
      </c>
      <c r="C171" s="145">
        <v>2019</v>
      </c>
      <c r="D171" s="145">
        <v>2020</v>
      </c>
      <c r="E171" s="145">
        <v>2021</v>
      </c>
    </row>
    <row r="172" spans="1:5" ht="9" customHeight="1" thickBot="1" x14ac:dyDescent="0.3">
      <c r="A172" s="894"/>
      <c r="B172" s="146" t="s">
        <v>41</v>
      </c>
      <c r="C172" s="146" t="s">
        <v>42</v>
      </c>
      <c r="D172" s="146" t="s">
        <v>42</v>
      </c>
      <c r="E172" s="146" t="s">
        <v>42</v>
      </c>
    </row>
    <row r="173" spans="1:5" ht="15.75" customHeight="1" thickBot="1" x14ac:dyDescent="0.3">
      <c r="A173" s="133" t="s">
        <v>76</v>
      </c>
      <c r="B173" s="147"/>
      <c r="C173" s="183"/>
      <c r="D173" s="183"/>
      <c r="E173" s="183"/>
    </row>
    <row r="174" spans="1:5" ht="15.75" thickBot="1" x14ac:dyDescent="0.3">
      <c r="A174" s="133" t="s">
        <v>77</v>
      </c>
      <c r="B174" s="147"/>
      <c r="C174" s="147"/>
      <c r="D174" s="147"/>
      <c r="E174" s="147"/>
    </row>
    <row r="175" spans="1:5" ht="15.75" thickBot="1" x14ac:dyDescent="0.3">
      <c r="A175" s="133" t="s">
        <v>78</v>
      </c>
      <c r="B175" s="147" t="e">
        <f>B174/B173</f>
        <v>#DIV/0!</v>
      </c>
      <c r="C175" s="147" t="e">
        <f t="shared" ref="C175:E175" si="16">C174/C173</f>
        <v>#DIV/0!</v>
      </c>
      <c r="D175" s="147" t="e">
        <f t="shared" si="16"/>
        <v>#DIV/0!</v>
      </c>
      <c r="E175" s="147" t="e">
        <f t="shared" si="16"/>
        <v>#DIV/0!</v>
      </c>
    </row>
    <row r="176" spans="1:5" ht="15.75" thickBot="1" x14ac:dyDescent="0.3">
      <c r="A176" s="133" t="s">
        <v>79</v>
      </c>
      <c r="B176" s="148"/>
      <c r="C176" s="149" t="e">
        <f>C173/B173-1</f>
        <v>#DIV/0!</v>
      </c>
      <c r="D176" s="149" t="e">
        <f t="shared" ref="D176:E178" si="17">D173/C173-1</f>
        <v>#DIV/0!</v>
      </c>
      <c r="E176" s="149" t="e">
        <f t="shared" si="17"/>
        <v>#DIV/0!</v>
      </c>
    </row>
    <row r="177" spans="1:5" ht="15.75" thickBot="1" x14ac:dyDescent="0.3">
      <c r="A177" s="133" t="s">
        <v>81</v>
      </c>
      <c r="B177" s="148"/>
      <c r="C177" s="149" t="e">
        <f>C174/B174-1</f>
        <v>#DIV/0!</v>
      </c>
      <c r="D177" s="149" t="e">
        <f t="shared" si="17"/>
        <v>#DIV/0!</v>
      </c>
      <c r="E177" s="149" t="e">
        <f t="shared" si="17"/>
        <v>#DIV/0!</v>
      </c>
    </row>
    <row r="178" spans="1:5" ht="23.25" thickBot="1" x14ac:dyDescent="0.3">
      <c r="A178" s="133" t="s">
        <v>82</v>
      </c>
      <c r="B178" s="148"/>
      <c r="C178" s="149" t="e">
        <f>C175/B175-1</f>
        <v>#DIV/0!</v>
      </c>
      <c r="D178" s="149" t="e">
        <f t="shared" si="17"/>
        <v>#DIV/0!</v>
      </c>
      <c r="E178" s="149" t="e">
        <f t="shared" si="17"/>
        <v>#DIV/0!</v>
      </c>
    </row>
    <row r="179" spans="1:5" ht="12.75" customHeight="1" x14ac:dyDescent="0.25">
      <c r="A179" s="893"/>
      <c r="B179" s="145">
        <v>2018</v>
      </c>
      <c r="C179" s="145">
        <v>2019</v>
      </c>
      <c r="D179" s="145">
        <v>2020</v>
      </c>
      <c r="E179" s="145">
        <v>2021</v>
      </c>
    </row>
    <row r="180" spans="1:5" ht="9" customHeight="1" thickBot="1" x14ac:dyDescent="0.3">
      <c r="A180" s="894"/>
      <c r="B180" s="146" t="s">
        <v>41</v>
      </c>
      <c r="C180" s="146" t="s">
        <v>42</v>
      </c>
      <c r="D180" s="146" t="s">
        <v>42</v>
      </c>
      <c r="E180" s="146" t="s">
        <v>42</v>
      </c>
    </row>
    <row r="181" spans="1:5" ht="15.75" thickBot="1" x14ac:dyDescent="0.3">
      <c r="A181" s="1005" t="s">
        <v>374</v>
      </c>
      <c r="B181" s="1006"/>
      <c r="C181" s="1006"/>
      <c r="D181" s="1006"/>
      <c r="E181" s="1007"/>
    </row>
    <row r="182" spans="1:5" ht="12.75" customHeight="1" x14ac:dyDescent="0.25">
      <c r="A182" s="893"/>
      <c r="B182" s="145">
        <v>2018</v>
      </c>
      <c r="C182" s="145">
        <v>2019</v>
      </c>
      <c r="D182" s="145">
        <v>2020</v>
      </c>
      <c r="E182" s="145">
        <v>2021</v>
      </c>
    </row>
    <row r="183" spans="1:5" ht="9" customHeight="1" thickBot="1" x14ac:dyDescent="0.3">
      <c r="A183" s="894"/>
      <c r="B183" s="146" t="s">
        <v>41</v>
      </c>
      <c r="C183" s="146" t="s">
        <v>42</v>
      </c>
      <c r="D183" s="146" t="s">
        <v>42</v>
      </c>
      <c r="E183" s="146" t="s">
        <v>42</v>
      </c>
    </row>
    <row r="184" spans="1:5" ht="15.75" thickBot="1" x14ac:dyDescent="0.3">
      <c r="A184" s="151" t="s">
        <v>84</v>
      </c>
      <c r="B184" s="142"/>
      <c r="C184" s="142"/>
      <c r="D184" s="142"/>
      <c r="E184" s="142"/>
    </row>
    <row r="185" spans="1:5" ht="24.75" thickBot="1" x14ac:dyDescent="0.3">
      <c r="A185" s="151" t="s">
        <v>85</v>
      </c>
      <c r="B185" s="142"/>
      <c r="C185" s="142"/>
      <c r="D185" s="142"/>
      <c r="E185" s="142"/>
    </row>
    <row r="186" spans="1:5" ht="15.75" thickBot="1" x14ac:dyDescent="0.3">
      <c r="A186" s="151" t="s">
        <v>86</v>
      </c>
      <c r="B186" s="158"/>
      <c r="C186" s="142"/>
      <c r="D186" s="142"/>
      <c r="E186" s="142"/>
    </row>
    <row r="187" spans="1:5" ht="15.75" thickBot="1" x14ac:dyDescent="0.3">
      <c r="A187" s="151" t="s">
        <v>87</v>
      </c>
      <c r="B187" s="158"/>
      <c r="C187" s="142"/>
      <c r="D187" s="142"/>
      <c r="E187" s="142"/>
    </row>
    <row r="188" spans="1:5" ht="24.75" thickBot="1" x14ac:dyDescent="0.3">
      <c r="A188" s="151" t="s">
        <v>88</v>
      </c>
      <c r="B188" s="158"/>
      <c r="C188" s="142"/>
      <c r="D188" s="142"/>
      <c r="E188" s="142"/>
    </row>
    <row r="189" spans="1:5" ht="15.75" thickBot="1" x14ac:dyDescent="0.3">
      <c r="A189" s="151" t="s">
        <v>89</v>
      </c>
      <c r="B189" s="158"/>
      <c r="C189" s="142"/>
      <c r="D189" s="142"/>
      <c r="E189" s="142"/>
    </row>
    <row r="190" spans="1:5" ht="24.75" thickBot="1" x14ac:dyDescent="0.3">
      <c r="A190" s="151" t="s">
        <v>90</v>
      </c>
      <c r="B190" s="158"/>
      <c r="C190" s="142"/>
      <c r="D190" s="142"/>
      <c r="E190" s="142"/>
    </row>
    <row r="191" spans="1:5" ht="36.75" thickBot="1" x14ac:dyDescent="0.3">
      <c r="A191" s="289" t="s">
        <v>120</v>
      </c>
      <c r="B191" s="290">
        <f>B190+B189+B188+B187+B186+B185+B184</f>
        <v>0</v>
      </c>
      <c r="C191" s="290">
        <f>C190+C189+C188+C187+C186+C185+C184</f>
        <v>0</v>
      </c>
      <c r="D191" s="290">
        <f>D190+D189+D188+D187+D186+D185+D184</f>
        <v>0</v>
      </c>
      <c r="E191" s="290">
        <f>E190+E189+E188+E187+E186+E185+E184</f>
        <v>0</v>
      </c>
    </row>
    <row r="192" spans="1:5" ht="15.75" thickBot="1" x14ac:dyDescent="0.3">
      <c r="A192" s="154" t="s">
        <v>92</v>
      </c>
      <c r="B192" s="160">
        <f>IF(B191-B174=0,0,"Error")</f>
        <v>0</v>
      </c>
      <c r="C192" s="160">
        <f>IF(C191-C174=0,0,"Error")</f>
        <v>0</v>
      </c>
      <c r="D192" s="160">
        <f>IF(D191-D174=0,0,"Error")</f>
        <v>0</v>
      </c>
      <c r="E192" s="160">
        <f>IF(E191-E174=0,0,"Error")</f>
        <v>0</v>
      </c>
    </row>
    <row r="193" spans="1:5" ht="23.25" thickBot="1" x14ac:dyDescent="0.3">
      <c r="A193" s="190" t="s">
        <v>667</v>
      </c>
      <c r="B193" s="1014" t="s">
        <v>364</v>
      </c>
      <c r="C193" s="1015"/>
      <c r="D193" s="1015"/>
      <c r="E193" s="1016"/>
    </row>
    <row r="194" spans="1:5" ht="15.75" thickBot="1" x14ac:dyDescent="0.3">
      <c r="A194" s="133" t="s">
        <v>72</v>
      </c>
      <c r="B194" s="945" t="s">
        <v>364</v>
      </c>
      <c r="C194" s="946"/>
      <c r="D194" s="946"/>
      <c r="E194" s="947"/>
    </row>
    <row r="195" spans="1:5" ht="15.75" thickBot="1" x14ac:dyDescent="0.3">
      <c r="A195" s="133" t="s">
        <v>74</v>
      </c>
      <c r="B195" s="1002" t="s">
        <v>364</v>
      </c>
      <c r="C195" s="1003"/>
      <c r="D195" s="1003"/>
      <c r="E195" s="1004"/>
    </row>
    <row r="196" spans="1:5" ht="12.75" customHeight="1" x14ac:dyDescent="0.25">
      <c r="A196" s="893"/>
      <c r="B196" s="145">
        <v>2018</v>
      </c>
      <c r="C196" s="145">
        <v>2019</v>
      </c>
      <c r="D196" s="145">
        <v>2020</v>
      </c>
      <c r="E196" s="145">
        <v>2021</v>
      </c>
    </row>
    <row r="197" spans="1:5" ht="9" customHeight="1" thickBot="1" x14ac:dyDescent="0.3">
      <c r="A197" s="894"/>
      <c r="B197" s="146" t="s">
        <v>41</v>
      </c>
      <c r="C197" s="146" t="s">
        <v>42</v>
      </c>
      <c r="D197" s="146" t="s">
        <v>42</v>
      </c>
      <c r="E197" s="146" t="s">
        <v>42</v>
      </c>
    </row>
    <row r="198" spans="1:5" ht="15.75" thickBot="1" x14ac:dyDescent="0.3">
      <c r="A198" s="133" t="s">
        <v>76</v>
      </c>
      <c r="B198" s="147"/>
      <c r="C198" s="147"/>
      <c r="D198" s="147"/>
      <c r="E198" s="147"/>
    </row>
    <row r="199" spans="1:5" ht="15.75" thickBot="1" x14ac:dyDescent="0.3">
      <c r="A199" s="133" t="s">
        <v>77</v>
      </c>
      <c r="B199" s="147"/>
      <c r="C199" s="147"/>
      <c r="D199" s="147"/>
      <c r="E199" s="147"/>
    </row>
    <row r="200" spans="1:5" ht="15.75" thickBot="1" x14ac:dyDescent="0.3">
      <c r="A200" s="133" t="s">
        <v>78</v>
      </c>
      <c r="B200" s="147" t="e">
        <f>B199/B198</f>
        <v>#DIV/0!</v>
      </c>
      <c r="C200" s="147" t="e">
        <f t="shared" ref="C200:E200" si="18">C199/C198</f>
        <v>#DIV/0!</v>
      </c>
      <c r="D200" s="147" t="e">
        <f t="shared" si="18"/>
        <v>#DIV/0!</v>
      </c>
      <c r="E200" s="147" t="e">
        <f t="shared" si="18"/>
        <v>#DIV/0!</v>
      </c>
    </row>
    <row r="201" spans="1:5" ht="15.75" thickBot="1" x14ac:dyDescent="0.3">
      <c r="A201" s="133" t="s">
        <v>79</v>
      </c>
      <c r="B201" s="148"/>
      <c r="C201" s="149" t="e">
        <f>C198/B198-1</f>
        <v>#DIV/0!</v>
      </c>
      <c r="D201" s="149" t="e">
        <f t="shared" ref="D201:E203" si="19">D198/C198-1</f>
        <v>#DIV/0!</v>
      </c>
      <c r="E201" s="149" t="e">
        <f t="shared" si="19"/>
        <v>#DIV/0!</v>
      </c>
    </row>
    <row r="202" spans="1:5" ht="15.75" thickBot="1" x14ac:dyDescent="0.3">
      <c r="A202" s="133" t="s">
        <v>81</v>
      </c>
      <c r="B202" s="148"/>
      <c r="C202" s="149" t="e">
        <f>C199/B199-1</f>
        <v>#DIV/0!</v>
      </c>
      <c r="D202" s="149" t="e">
        <f t="shared" si="19"/>
        <v>#DIV/0!</v>
      </c>
      <c r="E202" s="149" t="e">
        <f t="shared" si="19"/>
        <v>#DIV/0!</v>
      </c>
    </row>
    <row r="203" spans="1:5" ht="23.25" thickBot="1" x14ac:dyDescent="0.3">
      <c r="A203" s="133" t="s">
        <v>82</v>
      </c>
      <c r="B203" s="148"/>
      <c r="C203" s="149" t="e">
        <f>C200/B200-1</f>
        <v>#DIV/0!</v>
      </c>
      <c r="D203" s="149" t="e">
        <f t="shared" si="19"/>
        <v>#DIV/0!</v>
      </c>
      <c r="E203" s="149" t="e">
        <f t="shared" si="19"/>
        <v>#DIV/0!</v>
      </c>
    </row>
    <row r="204" spans="1:5" ht="15.75" thickBot="1" x14ac:dyDescent="0.3">
      <c r="A204" s="1005" t="s">
        <v>366</v>
      </c>
      <c r="B204" s="1006"/>
      <c r="C204" s="1006"/>
      <c r="D204" s="1006"/>
      <c r="E204" s="1007"/>
    </row>
    <row r="205" spans="1:5" ht="12.75" customHeight="1" x14ac:dyDescent="0.25">
      <c r="A205" s="893"/>
      <c r="B205" s="145">
        <v>2018</v>
      </c>
      <c r="C205" s="145">
        <v>2019</v>
      </c>
      <c r="D205" s="145">
        <v>2020</v>
      </c>
      <c r="E205" s="145">
        <v>2021</v>
      </c>
    </row>
    <row r="206" spans="1:5" ht="9" customHeight="1" thickBot="1" x14ac:dyDescent="0.3">
      <c r="A206" s="894"/>
      <c r="B206" s="146" t="s">
        <v>41</v>
      </c>
      <c r="C206" s="146" t="s">
        <v>42</v>
      </c>
      <c r="D206" s="146" t="s">
        <v>42</v>
      </c>
      <c r="E206" s="146" t="s">
        <v>42</v>
      </c>
    </row>
    <row r="207" spans="1:5" ht="15.75" thickBot="1" x14ac:dyDescent="0.3">
      <c r="A207" s="151" t="s">
        <v>84</v>
      </c>
      <c r="B207" s="142"/>
      <c r="C207" s="142"/>
      <c r="D207" s="142"/>
      <c r="E207" s="142"/>
    </row>
    <row r="208" spans="1:5" ht="24.75" thickBot="1" x14ac:dyDescent="0.3">
      <c r="A208" s="151" t="s">
        <v>85</v>
      </c>
      <c r="B208" s="142"/>
      <c r="C208" s="142"/>
      <c r="D208" s="142"/>
      <c r="E208" s="142"/>
    </row>
    <row r="209" spans="1:5" ht="15.75" thickBot="1" x14ac:dyDescent="0.3">
      <c r="A209" s="151" t="s">
        <v>86</v>
      </c>
      <c r="B209" s="158"/>
      <c r="C209" s="142"/>
      <c r="D209" s="142"/>
      <c r="E209" s="142"/>
    </row>
    <row r="210" spans="1:5" ht="15.75" thickBot="1" x14ac:dyDescent="0.3">
      <c r="A210" s="151" t="s">
        <v>87</v>
      </c>
      <c r="B210" s="158"/>
      <c r="C210" s="142"/>
      <c r="D210" s="142"/>
      <c r="E210" s="142"/>
    </row>
    <row r="211" spans="1:5" ht="24.75" thickBot="1" x14ac:dyDescent="0.3">
      <c r="A211" s="151" t="s">
        <v>88</v>
      </c>
      <c r="B211" s="158"/>
      <c r="C211" s="142"/>
      <c r="D211" s="142"/>
      <c r="E211" s="142"/>
    </row>
    <row r="212" spans="1:5" ht="15.75" thickBot="1" x14ac:dyDescent="0.3">
      <c r="A212" s="151" t="s">
        <v>89</v>
      </c>
      <c r="B212" s="158"/>
      <c r="C212" s="142"/>
      <c r="D212" s="142"/>
      <c r="E212" s="142"/>
    </row>
    <row r="213" spans="1:5" ht="24.75" thickBot="1" x14ac:dyDescent="0.3">
      <c r="A213" s="151" t="s">
        <v>90</v>
      </c>
      <c r="B213" s="158"/>
      <c r="C213" s="142"/>
      <c r="D213" s="142"/>
      <c r="E213" s="142"/>
    </row>
    <row r="214" spans="1:5" ht="36.75" thickBot="1" x14ac:dyDescent="0.3">
      <c r="A214" s="289" t="s">
        <v>120</v>
      </c>
      <c r="B214" s="291">
        <f>B213+B211+B212+B210+B209+B208+B207</f>
        <v>0</v>
      </c>
      <c r="C214" s="291">
        <f>C213+C211+C212+C210+C209+C208+C207</f>
        <v>0</v>
      </c>
      <c r="D214" s="291">
        <f>D213+D211+D212+D210+D209+D208+D207</f>
        <v>0</v>
      </c>
      <c r="E214" s="291">
        <f>E213+E211+E212+E210+E209+E208+E207</f>
        <v>0</v>
      </c>
    </row>
    <row r="215" spans="1:5" ht="15.75" thickBot="1" x14ac:dyDescent="0.3">
      <c r="A215" s="154" t="s">
        <v>92</v>
      </c>
      <c r="B215" s="160">
        <f>IF(B214-B199=0,0,"Error")</f>
        <v>0</v>
      </c>
      <c r="C215" s="160">
        <f>IF(C214-C199=0,0,"Error")</f>
        <v>0</v>
      </c>
      <c r="D215" s="160">
        <f>IF(D214-D199=0,0,"Error")</f>
        <v>0</v>
      </c>
      <c r="E215" s="160">
        <f>IF(E214-E199=0,0,"Error")</f>
        <v>0</v>
      </c>
    </row>
    <row r="216" spans="1:5" ht="15.75" thickBot="1" x14ac:dyDescent="0.3">
      <c r="A216" s="1011" t="s">
        <v>104</v>
      </c>
      <c r="B216" s="1012"/>
      <c r="C216" s="1012"/>
      <c r="D216" s="1012"/>
      <c r="E216" s="1013"/>
    </row>
    <row r="217" spans="1:5" ht="15.75" thickBot="1" x14ac:dyDescent="0.3">
      <c r="A217" s="1011" t="s">
        <v>105</v>
      </c>
      <c r="B217" s="1012"/>
      <c r="C217" s="1012"/>
      <c r="D217" s="1012"/>
      <c r="E217" s="1013"/>
    </row>
    <row r="218" spans="1:5" ht="15.75" thickBot="1" x14ac:dyDescent="0.3">
      <c r="A218" s="161" t="s">
        <v>257</v>
      </c>
      <c r="B218" s="1026" t="s">
        <v>107</v>
      </c>
      <c r="C218" s="1027"/>
      <c r="D218" s="1027"/>
      <c r="E218" s="1028"/>
    </row>
    <row r="219" spans="1:5" ht="15.75" thickBot="1" x14ac:dyDescent="0.3">
      <c r="A219" s="144" t="s">
        <v>108</v>
      </c>
      <c r="B219" s="1014" t="s">
        <v>364</v>
      </c>
      <c r="C219" s="1015"/>
      <c r="D219" s="1015"/>
      <c r="E219" s="1016"/>
    </row>
    <row r="220" spans="1:5" ht="17.25" customHeight="1" thickBot="1" x14ac:dyDescent="0.3">
      <c r="A220" s="133" t="s">
        <v>72</v>
      </c>
      <c r="B220" s="945" t="s">
        <v>364</v>
      </c>
      <c r="C220" s="946"/>
      <c r="D220" s="946"/>
      <c r="E220" s="947"/>
    </row>
    <row r="221" spans="1:5" ht="15.75" thickBot="1" x14ac:dyDescent="0.3">
      <c r="A221" s="133" t="s">
        <v>74</v>
      </c>
      <c r="B221" s="1002" t="s">
        <v>364</v>
      </c>
      <c r="C221" s="1003"/>
      <c r="D221" s="1003"/>
      <c r="E221" s="1004"/>
    </row>
    <row r="222" spans="1:5" ht="12.75" customHeight="1" x14ac:dyDescent="0.25">
      <c r="A222" s="893"/>
      <c r="B222" s="145">
        <v>2018</v>
      </c>
      <c r="C222" s="145">
        <v>2019</v>
      </c>
      <c r="D222" s="145">
        <v>2020</v>
      </c>
      <c r="E222" s="145">
        <v>2021</v>
      </c>
    </row>
    <row r="223" spans="1:5" ht="9" customHeight="1" thickBot="1" x14ac:dyDescent="0.3">
      <c r="A223" s="894"/>
      <c r="B223" s="146" t="s">
        <v>41</v>
      </c>
      <c r="C223" s="146" t="s">
        <v>42</v>
      </c>
      <c r="D223" s="146" t="s">
        <v>42</v>
      </c>
      <c r="E223" s="146" t="s">
        <v>42</v>
      </c>
    </row>
    <row r="224" spans="1:5" ht="15.75" thickBot="1" x14ac:dyDescent="0.3">
      <c r="A224" s="133" t="s">
        <v>76</v>
      </c>
      <c r="B224" s="147"/>
      <c r="C224" s="147"/>
      <c r="D224" s="147"/>
      <c r="E224" s="147"/>
    </row>
    <row r="225" spans="1:9" ht="15.75" thickBot="1" x14ac:dyDescent="0.3">
      <c r="A225" s="133" t="s">
        <v>77</v>
      </c>
      <c r="B225" s="147"/>
      <c r="C225" s="147"/>
      <c r="D225" s="147"/>
      <c r="E225" s="147"/>
    </row>
    <row r="226" spans="1:9" ht="15.75" thickBot="1" x14ac:dyDescent="0.3">
      <c r="A226" s="133" t="s">
        <v>78</v>
      </c>
      <c r="B226" s="147" t="e">
        <f>B225/B224</f>
        <v>#DIV/0!</v>
      </c>
      <c r="C226" s="147" t="e">
        <f t="shared" ref="C226:E226" si="20">C225/C224</f>
        <v>#DIV/0!</v>
      </c>
      <c r="D226" s="147" t="e">
        <f t="shared" si="20"/>
        <v>#DIV/0!</v>
      </c>
      <c r="E226" s="147" t="e">
        <f t="shared" si="20"/>
        <v>#DIV/0!</v>
      </c>
    </row>
    <row r="227" spans="1:9" ht="15.75" thickBot="1" x14ac:dyDescent="0.3">
      <c r="A227" s="133" t="s">
        <v>79</v>
      </c>
      <c r="B227" s="148" t="s">
        <v>80</v>
      </c>
      <c r="C227" s="149" t="e">
        <f>C224/B224-1</f>
        <v>#DIV/0!</v>
      </c>
      <c r="D227" s="149" t="e">
        <f t="shared" ref="D227:E229" si="21">D224/C224-1</f>
        <v>#DIV/0!</v>
      </c>
      <c r="E227" s="149" t="e">
        <f t="shared" si="21"/>
        <v>#DIV/0!</v>
      </c>
      <c r="F227" s="150"/>
      <c r="G227" s="150"/>
      <c r="H227" s="150"/>
      <c r="I227" s="150"/>
    </row>
    <row r="228" spans="1:9" ht="15.75" thickBot="1" x14ac:dyDescent="0.3">
      <c r="A228" s="133" t="s">
        <v>81</v>
      </c>
      <c r="B228" s="148" t="s">
        <v>80</v>
      </c>
      <c r="C228" s="149" t="e">
        <f>C225/B225-1</f>
        <v>#DIV/0!</v>
      </c>
      <c r="D228" s="149" t="e">
        <f t="shared" si="21"/>
        <v>#DIV/0!</v>
      </c>
      <c r="E228" s="149" t="e">
        <f t="shared" si="21"/>
        <v>#DIV/0!</v>
      </c>
    </row>
    <row r="229" spans="1:9" ht="23.25" thickBot="1" x14ac:dyDescent="0.3">
      <c r="A229" s="133" t="s">
        <v>82</v>
      </c>
      <c r="B229" s="148" t="s">
        <v>80</v>
      </c>
      <c r="C229" s="149" t="e">
        <f>C226/B226-1</f>
        <v>#DIV/0!</v>
      </c>
      <c r="D229" s="149" t="e">
        <f t="shared" si="21"/>
        <v>#DIV/0!</v>
      </c>
      <c r="E229" s="149" t="e">
        <f t="shared" si="21"/>
        <v>#DIV/0!</v>
      </c>
    </row>
    <row r="230" spans="1:9" ht="15.75" thickBot="1" x14ac:dyDescent="0.3">
      <c r="A230" s="1005" t="s">
        <v>83</v>
      </c>
      <c r="B230" s="1006"/>
      <c r="C230" s="1006"/>
      <c r="D230" s="1006"/>
      <c r="E230" s="1007"/>
    </row>
    <row r="231" spans="1:9" ht="12.75" customHeight="1" x14ac:dyDescent="0.25">
      <c r="A231" s="893"/>
      <c r="B231" s="145">
        <v>2018</v>
      </c>
      <c r="C231" s="145">
        <v>2019</v>
      </c>
      <c r="D231" s="145">
        <v>2020</v>
      </c>
      <c r="E231" s="145">
        <v>2021</v>
      </c>
    </row>
    <row r="232" spans="1:9" ht="9" customHeight="1" thickBot="1" x14ac:dyDescent="0.3">
      <c r="A232" s="894"/>
      <c r="B232" s="146" t="s">
        <v>41</v>
      </c>
      <c r="C232" s="146" t="s">
        <v>42</v>
      </c>
      <c r="D232" s="146" t="s">
        <v>42</v>
      </c>
      <c r="E232" s="146" t="s">
        <v>42</v>
      </c>
    </row>
    <row r="233" spans="1:9" ht="15.75" thickBot="1" x14ac:dyDescent="0.3">
      <c r="A233" s="151" t="s">
        <v>169</v>
      </c>
      <c r="B233" s="142"/>
      <c r="C233" s="142"/>
      <c r="D233" s="142"/>
      <c r="E233" s="142"/>
    </row>
    <row r="234" spans="1:9" ht="15.75" thickBot="1" x14ac:dyDescent="0.3">
      <c r="A234" s="151" t="s">
        <v>112</v>
      </c>
      <c r="B234" s="158"/>
      <c r="C234" s="142"/>
      <c r="D234" s="142"/>
      <c r="E234" s="142"/>
    </row>
    <row r="235" spans="1:9" ht="15.75" thickBot="1" x14ac:dyDescent="0.3">
      <c r="A235" s="153" t="s">
        <v>91</v>
      </c>
      <c r="B235" s="158">
        <f>B234+B233</f>
        <v>0</v>
      </c>
      <c r="C235" s="158">
        <f t="shared" ref="C235:E235" si="22">C234+C233</f>
        <v>0</v>
      </c>
      <c r="D235" s="158">
        <f t="shared" si="22"/>
        <v>0</v>
      </c>
      <c r="E235" s="158">
        <f t="shared" si="22"/>
        <v>0</v>
      </c>
    </row>
    <row r="236" spans="1:9" ht="15.75" thickBot="1" x14ac:dyDescent="0.3">
      <c r="A236" s="161" t="s">
        <v>257</v>
      </c>
      <c r="B236" s="1026" t="s">
        <v>107</v>
      </c>
      <c r="C236" s="1027"/>
      <c r="D236" s="1027"/>
      <c r="E236" s="1028"/>
    </row>
    <row r="237" spans="1:9" ht="23.25" thickBot="1" x14ac:dyDescent="0.3">
      <c r="A237" s="144" t="s">
        <v>365</v>
      </c>
      <c r="B237" s="1014" t="s">
        <v>364</v>
      </c>
      <c r="C237" s="1015"/>
      <c r="D237" s="1015"/>
      <c r="E237" s="1016"/>
    </row>
    <row r="238" spans="1:9" ht="17.25" customHeight="1" thickBot="1" x14ac:dyDescent="0.3">
      <c r="A238" s="133" t="s">
        <v>72</v>
      </c>
      <c r="B238" s="945" t="s">
        <v>364</v>
      </c>
      <c r="C238" s="946"/>
      <c r="D238" s="946"/>
      <c r="E238" s="947"/>
    </row>
    <row r="239" spans="1:9" ht="15.75" thickBot="1" x14ac:dyDescent="0.3">
      <c r="A239" s="133" t="s">
        <v>74</v>
      </c>
      <c r="B239" s="1002" t="s">
        <v>364</v>
      </c>
      <c r="C239" s="1003"/>
      <c r="D239" s="1003"/>
      <c r="E239" s="1004"/>
    </row>
    <row r="240" spans="1:9" ht="12.75" customHeight="1" x14ac:dyDescent="0.25">
      <c r="A240" s="893"/>
      <c r="B240" s="145">
        <v>2018</v>
      </c>
      <c r="C240" s="145">
        <v>2019</v>
      </c>
      <c r="D240" s="145">
        <v>2020</v>
      </c>
      <c r="E240" s="145">
        <v>2021</v>
      </c>
    </row>
    <row r="241" spans="1:9" ht="9" customHeight="1" thickBot="1" x14ac:dyDescent="0.3">
      <c r="A241" s="894"/>
      <c r="B241" s="146" t="s">
        <v>41</v>
      </c>
      <c r="C241" s="146" t="s">
        <v>42</v>
      </c>
      <c r="D241" s="146" t="s">
        <v>42</v>
      </c>
      <c r="E241" s="146" t="s">
        <v>42</v>
      </c>
    </row>
    <row r="242" spans="1:9" ht="15.75" thickBot="1" x14ac:dyDescent="0.3">
      <c r="A242" s="133" t="s">
        <v>76</v>
      </c>
      <c r="B242" s="147"/>
      <c r="C242" s="147"/>
      <c r="D242" s="147"/>
      <c r="E242" s="147"/>
    </row>
    <row r="243" spans="1:9" ht="15.75" thickBot="1" x14ac:dyDescent="0.3">
      <c r="A243" s="133" t="s">
        <v>77</v>
      </c>
      <c r="B243" s="147"/>
      <c r="C243" s="147"/>
      <c r="D243" s="147"/>
      <c r="E243" s="147"/>
    </row>
    <row r="244" spans="1:9" ht="15.75" thickBot="1" x14ac:dyDescent="0.3">
      <c r="A244" s="133" t="s">
        <v>78</v>
      </c>
      <c r="B244" s="147" t="e">
        <f>B243/B242</f>
        <v>#DIV/0!</v>
      </c>
      <c r="C244" s="147" t="e">
        <f t="shared" ref="C244:E244" si="23">C243/C242</f>
        <v>#DIV/0!</v>
      </c>
      <c r="D244" s="147" t="e">
        <f t="shared" si="23"/>
        <v>#DIV/0!</v>
      </c>
      <c r="E244" s="147" t="e">
        <f t="shared" si="23"/>
        <v>#DIV/0!</v>
      </c>
    </row>
    <row r="245" spans="1:9" ht="15.75" thickBot="1" x14ac:dyDescent="0.3">
      <c r="A245" s="133" t="s">
        <v>79</v>
      </c>
      <c r="B245" s="148" t="s">
        <v>80</v>
      </c>
      <c r="C245" s="149" t="e">
        <f>C242/B242-1</f>
        <v>#DIV/0!</v>
      </c>
      <c r="D245" s="149" t="e">
        <f t="shared" ref="D245:E247" si="24">D242/C242-1</f>
        <v>#DIV/0!</v>
      </c>
      <c r="E245" s="149" t="e">
        <f t="shared" si="24"/>
        <v>#DIV/0!</v>
      </c>
      <c r="F245" s="150"/>
      <c r="G245" s="150"/>
      <c r="H245" s="150"/>
      <c r="I245" s="150"/>
    </row>
    <row r="246" spans="1:9" ht="15.75" thickBot="1" x14ac:dyDescent="0.3">
      <c r="A246" s="133" t="s">
        <v>81</v>
      </c>
      <c r="B246" s="148" t="s">
        <v>80</v>
      </c>
      <c r="C246" s="149" t="e">
        <f>C243/B243-1</f>
        <v>#DIV/0!</v>
      </c>
      <c r="D246" s="149" t="e">
        <f t="shared" si="24"/>
        <v>#DIV/0!</v>
      </c>
      <c r="E246" s="149" t="e">
        <f t="shared" si="24"/>
        <v>#DIV/0!</v>
      </c>
    </row>
    <row r="247" spans="1:9" ht="23.25" thickBot="1" x14ac:dyDescent="0.3">
      <c r="A247" s="133" t="s">
        <v>82</v>
      </c>
      <c r="B247" s="148" t="s">
        <v>80</v>
      </c>
      <c r="C247" s="149" t="e">
        <f>C244/B244-1</f>
        <v>#DIV/0!</v>
      </c>
      <c r="D247" s="149" t="e">
        <f t="shared" si="24"/>
        <v>#DIV/0!</v>
      </c>
      <c r="E247" s="149" t="e">
        <f t="shared" si="24"/>
        <v>#DIV/0!</v>
      </c>
    </row>
    <row r="248" spans="1:9" ht="15.75" thickBot="1" x14ac:dyDescent="0.3">
      <c r="A248" s="1005" t="s">
        <v>366</v>
      </c>
      <c r="B248" s="1006"/>
      <c r="C248" s="1006"/>
      <c r="D248" s="1006"/>
      <c r="E248" s="1007"/>
    </row>
    <row r="249" spans="1:9" ht="12.75" customHeight="1" x14ac:dyDescent="0.25">
      <c r="A249" s="893"/>
      <c r="B249" s="145">
        <v>2018</v>
      </c>
      <c r="C249" s="145">
        <v>2019</v>
      </c>
      <c r="D249" s="145">
        <v>2020</v>
      </c>
      <c r="E249" s="145">
        <v>2021</v>
      </c>
    </row>
    <row r="250" spans="1:9" ht="9" customHeight="1" thickBot="1" x14ac:dyDescent="0.3">
      <c r="A250" s="894"/>
      <c r="B250" s="146" t="s">
        <v>41</v>
      </c>
      <c r="C250" s="146" t="s">
        <v>42</v>
      </c>
      <c r="D250" s="146" t="s">
        <v>42</v>
      </c>
      <c r="E250" s="146" t="s">
        <v>42</v>
      </c>
    </row>
    <row r="251" spans="1:9" ht="15.75" thickBot="1" x14ac:dyDescent="0.3">
      <c r="A251" s="151" t="s">
        <v>169</v>
      </c>
      <c r="B251" s="142"/>
      <c r="C251" s="142"/>
      <c r="D251" s="142"/>
      <c r="E251" s="142"/>
    </row>
    <row r="252" spans="1:9" ht="15.75" thickBot="1" x14ac:dyDescent="0.3">
      <c r="A252" s="151" t="s">
        <v>112</v>
      </c>
      <c r="B252" s="158"/>
      <c r="C252" s="142"/>
      <c r="D252" s="142"/>
      <c r="E252" s="142"/>
    </row>
    <row r="253" spans="1:9" ht="24.75" thickBot="1" x14ac:dyDescent="0.3">
      <c r="A253" s="153" t="s">
        <v>176</v>
      </c>
      <c r="B253" s="158">
        <f>B252+B251</f>
        <v>0</v>
      </c>
      <c r="C253" s="158">
        <f t="shared" ref="C253:E253" si="25">C252+C251</f>
        <v>0</v>
      </c>
      <c r="D253" s="158">
        <f t="shared" si="25"/>
        <v>0</v>
      </c>
      <c r="E253" s="158">
        <f t="shared" si="25"/>
        <v>0</v>
      </c>
    </row>
    <row r="254" spans="1:9" ht="15.75" thickBot="1" x14ac:dyDescent="0.3">
      <c r="A254" s="1011" t="s">
        <v>104</v>
      </c>
      <c r="B254" s="1012"/>
      <c r="C254" s="1012"/>
      <c r="D254" s="1012"/>
      <c r="E254" s="1013"/>
    </row>
    <row r="255" spans="1:9" ht="15.75" thickBot="1" x14ac:dyDescent="0.3">
      <c r="A255" s="1011" t="s">
        <v>170</v>
      </c>
      <c r="B255" s="1012"/>
      <c r="C255" s="1012"/>
      <c r="D255" s="1012"/>
      <c r="E255" s="1013"/>
    </row>
    <row r="256" spans="1:9" ht="15.75" thickBot="1" x14ac:dyDescent="0.3">
      <c r="A256" s="161" t="s">
        <v>257</v>
      </c>
      <c r="B256" s="1026" t="s">
        <v>107</v>
      </c>
      <c r="C256" s="1027"/>
      <c r="D256" s="1027"/>
      <c r="E256" s="1028"/>
    </row>
    <row r="257" spans="1:9" ht="15.75" thickBot="1" x14ac:dyDescent="0.3">
      <c r="A257" s="144" t="s">
        <v>108</v>
      </c>
      <c r="B257" s="1014" t="s">
        <v>364</v>
      </c>
      <c r="C257" s="1015"/>
      <c r="D257" s="1015"/>
      <c r="E257" s="1016"/>
    </row>
    <row r="258" spans="1:9" ht="17.25" customHeight="1" thickBot="1" x14ac:dyDescent="0.3">
      <c r="A258" s="133" t="s">
        <v>72</v>
      </c>
      <c r="B258" s="945" t="s">
        <v>364</v>
      </c>
      <c r="C258" s="946"/>
      <c r="D258" s="946"/>
      <c r="E258" s="947"/>
    </row>
    <row r="259" spans="1:9" ht="15.75" thickBot="1" x14ac:dyDescent="0.3">
      <c r="A259" s="133" t="s">
        <v>74</v>
      </c>
      <c r="B259" s="1002" t="s">
        <v>364</v>
      </c>
      <c r="C259" s="1003"/>
      <c r="D259" s="1003"/>
      <c r="E259" s="1004"/>
    </row>
    <row r="260" spans="1:9" ht="12.75" customHeight="1" x14ac:dyDescent="0.25">
      <c r="A260" s="893"/>
      <c r="B260" s="145">
        <v>2018</v>
      </c>
      <c r="C260" s="145">
        <v>2019</v>
      </c>
      <c r="D260" s="145">
        <v>2020</v>
      </c>
      <c r="E260" s="145">
        <v>2021</v>
      </c>
    </row>
    <row r="261" spans="1:9" ht="9" customHeight="1" thickBot="1" x14ac:dyDescent="0.3">
      <c r="A261" s="894"/>
      <c r="B261" s="146" t="s">
        <v>41</v>
      </c>
      <c r="C261" s="146" t="s">
        <v>42</v>
      </c>
      <c r="D261" s="146" t="s">
        <v>42</v>
      </c>
      <c r="E261" s="146" t="s">
        <v>42</v>
      </c>
    </row>
    <row r="262" spans="1:9" ht="15.75" thickBot="1" x14ac:dyDescent="0.3">
      <c r="A262" s="133" t="s">
        <v>76</v>
      </c>
      <c r="B262" s="147"/>
      <c r="C262" s="147"/>
      <c r="D262" s="147"/>
      <c r="E262" s="147"/>
    </row>
    <row r="263" spans="1:9" ht="15.75" thickBot="1" x14ac:dyDescent="0.3">
      <c r="A263" s="133" t="s">
        <v>77</v>
      </c>
      <c r="B263" s="147"/>
      <c r="C263" s="147"/>
      <c r="D263" s="147"/>
      <c r="E263" s="147"/>
    </row>
    <row r="264" spans="1:9" ht="15.75" thickBot="1" x14ac:dyDescent="0.3">
      <c r="A264" s="133" t="s">
        <v>78</v>
      </c>
      <c r="B264" s="147" t="e">
        <f>B263/B262</f>
        <v>#DIV/0!</v>
      </c>
      <c r="C264" s="147" t="e">
        <f t="shared" ref="C264:E264" si="26">C263/C262</f>
        <v>#DIV/0!</v>
      </c>
      <c r="D264" s="147" t="e">
        <f t="shared" si="26"/>
        <v>#DIV/0!</v>
      </c>
      <c r="E264" s="147" t="e">
        <f t="shared" si="26"/>
        <v>#DIV/0!</v>
      </c>
    </row>
    <row r="265" spans="1:9" ht="15.75" thickBot="1" x14ac:dyDescent="0.3">
      <c r="A265" s="133" t="s">
        <v>79</v>
      </c>
      <c r="B265" s="148" t="s">
        <v>80</v>
      </c>
      <c r="C265" s="149" t="e">
        <f>C262/B262-1</f>
        <v>#DIV/0!</v>
      </c>
      <c r="D265" s="149" t="e">
        <f t="shared" ref="D265:E267" si="27">D262/C262-1</f>
        <v>#DIV/0!</v>
      </c>
      <c r="E265" s="149" t="e">
        <f t="shared" si="27"/>
        <v>#DIV/0!</v>
      </c>
      <c r="F265" s="150"/>
      <c r="G265" s="150"/>
      <c r="H265" s="150"/>
      <c r="I265" s="150"/>
    </row>
    <row r="266" spans="1:9" ht="15.75" thickBot="1" x14ac:dyDescent="0.3">
      <c r="A266" s="133" t="s">
        <v>81</v>
      </c>
      <c r="B266" s="148" t="s">
        <v>80</v>
      </c>
      <c r="C266" s="149" t="e">
        <f>C263/B263-1</f>
        <v>#DIV/0!</v>
      </c>
      <c r="D266" s="149" t="e">
        <f t="shared" si="27"/>
        <v>#DIV/0!</v>
      </c>
      <c r="E266" s="149" t="e">
        <f t="shared" si="27"/>
        <v>#DIV/0!</v>
      </c>
    </row>
    <row r="267" spans="1:9" ht="23.25" thickBot="1" x14ac:dyDescent="0.3">
      <c r="A267" s="133" t="s">
        <v>82</v>
      </c>
      <c r="B267" s="148" t="s">
        <v>80</v>
      </c>
      <c r="C267" s="149" t="e">
        <f>C264/B264-1</f>
        <v>#DIV/0!</v>
      </c>
      <c r="D267" s="149" t="e">
        <f t="shared" si="27"/>
        <v>#DIV/0!</v>
      </c>
      <c r="E267" s="149" t="e">
        <f t="shared" si="27"/>
        <v>#DIV/0!</v>
      </c>
    </row>
    <row r="268" spans="1:9" ht="15.75" thickBot="1" x14ac:dyDescent="0.3">
      <c r="A268" s="1005" t="s">
        <v>83</v>
      </c>
      <c r="B268" s="1006"/>
      <c r="C268" s="1006"/>
      <c r="D268" s="1006"/>
      <c r="E268" s="1007"/>
    </row>
    <row r="269" spans="1:9" ht="12.75" customHeight="1" x14ac:dyDescent="0.25">
      <c r="A269" s="893"/>
      <c r="B269" s="145">
        <v>2018</v>
      </c>
      <c r="C269" s="145">
        <v>2019</v>
      </c>
      <c r="D269" s="145">
        <v>2020</v>
      </c>
      <c r="E269" s="145">
        <v>2021</v>
      </c>
    </row>
    <row r="270" spans="1:9" ht="9" customHeight="1" thickBot="1" x14ac:dyDescent="0.3">
      <c r="A270" s="894"/>
      <c r="B270" s="146" t="s">
        <v>41</v>
      </c>
      <c r="C270" s="146" t="s">
        <v>42</v>
      </c>
      <c r="D270" s="146" t="s">
        <v>42</v>
      </c>
      <c r="E270" s="146" t="s">
        <v>42</v>
      </c>
    </row>
    <row r="271" spans="1:9" ht="15.75" thickBot="1" x14ac:dyDescent="0.3">
      <c r="A271" s="151" t="s">
        <v>169</v>
      </c>
      <c r="B271" s="142"/>
      <c r="C271" s="142"/>
      <c r="D271" s="142"/>
      <c r="E271" s="142"/>
    </row>
    <row r="272" spans="1:9" ht="15.75" thickBot="1" x14ac:dyDescent="0.3">
      <c r="A272" s="151" t="s">
        <v>112</v>
      </c>
      <c r="B272" s="158"/>
      <c r="C272" s="142"/>
      <c r="D272" s="142"/>
      <c r="E272" s="142"/>
    </row>
    <row r="273" spans="1:9" ht="15.75" thickBot="1" x14ac:dyDescent="0.3">
      <c r="A273" s="153" t="s">
        <v>91</v>
      </c>
      <c r="B273" s="158">
        <f>B272+B271</f>
        <v>0</v>
      </c>
      <c r="C273" s="158">
        <f t="shared" ref="C273:E273" si="28">C272+C271</f>
        <v>0</v>
      </c>
      <c r="D273" s="158">
        <f t="shared" si="28"/>
        <v>0</v>
      </c>
      <c r="E273" s="158">
        <f t="shared" si="28"/>
        <v>0</v>
      </c>
    </row>
    <row r="274" spans="1:9" ht="15.75" thickBot="1" x14ac:dyDescent="0.3">
      <c r="A274" s="161" t="s">
        <v>257</v>
      </c>
      <c r="B274" s="1026" t="s">
        <v>107</v>
      </c>
      <c r="C274" s="1027"/>
      <c r="D274" s="1027"/>
      <c r="E274" s="1028"/>
    </row>
    <row r="275" spans="1:9" ht="23.25" thickBot="1" x14ac:dyDescent="0.3">
      <c r="A275" s="144" t="s">
        <v>365</v>
      </c>
      <c r="B275" s="1014" t="s">
        <v>364</v>
      </c>
      <c r="C275" s="1015"/>
      <c r="D275" s="1015"/>
      <c r="E275" s="1016"/>
    </row>
    <row r="276" spans="1:9" ht="17.25" customHeight="1" thickBot="1" x14ac:dyDescent="0.3">
      <c r="A276" s="133" t="s">
        <v>72</v>
      </c>
      <c r="B276" s="945" t="s">
        <v>364</v>
      </c>
      <c r="C276" s="946"/>
      <c r="D276" s="946"/>
      <c r="E276" s="947"/>
    </row>
    <row r="277" spans="1:9" ht="15.75" thickBot="1" x14ac:dyDescent="0.3">
      <c r="A277" s="133" t="s">
        <v>74</v>
      </c>
      <c r="B277" s="1002" t="s">
        <v>364</v>
      </c>
      <c r="C277" s="1003"/>
      <c r="D277" s="1003"/>
      <c r="E277" s="1004"/>
    </row>
    <row r="278" spans="1:9" ht="12.75" customHeight="1" x14ac:dyDescent="0.25">
      <c r="A278" s="893"/>
      <c r="B278" s="145">
        <v>2018</v>
      </c>
      <c r="C278" s="145">
        <v>2019</v>
      </c>
      <c r="D278" s="145">
        <v>2020</v>
      </c>
      <c r="E278" s="145">
        <v>2021</v>
      </c>
    </row>
    <row r="279" spans="1:9" ht="9" customHeight="1" thickBot="1" x14ac:dyDescent="0.3">
      <c r="A279" s="894"/>
      <c r="B279" s="146" t="s">
        <v>41</v>
      </c>
      <c r="C279" s="146" t="s">
        <v>42</v>
      </c>
      <c r="D279" s="146" t="s">
        <v>42</v>
      </c>
      <c r="E279" s="146" t="s">
        <v>42</v>
      </c>
    </row>
    <row r="280" spans="1:9" ht="15.75" thickBot="1" x14ac:dyDescent="0.3">
      <c r="A280" s="133" t="s">
        <v>76</v>
      </c>
      <c r="B280" s="147"/>
      <c r="C280" s="147"/>
      <c r="D280" s="147"/>
      <c r="E280" s="147"/>
    </row>
    <row r="281" spans="1:9" ht="15.75" thickBot="1" x14ac:dyDescent="0.3">
      <c r="A281" s="133" t="s">
        <v>77</v>
      </c>
      <c r="B281" s="147"/>
      <c r="C281" s="147"/>
      <c r="D281" s="147"/>
      <c r="E281" s="147"/>
    </row>
    <row r="282" spans="1:9" ht="15.75" thickBot="1" x14ac:dyDescent="0.3">
      <c r="A282" s="133" t="s">
        <v>78</v>
      </c>
      <c r="B282" s="147" t="e">
        <f>B281/B280</f>
        <v>#DIV/0!</v>
      </c>
      <c r="C282" s="147" t="e">
        <f t="shared" ref="C282:E282" si="29">C281/C280</f>
        <v>#DIV/0!</v>
      </c>
      <c r="D282" s="147" t="e">
        <f t="shared" si="29"/>
        <v>#DIV/0!</v>
      </c>
      <c r="E282" s="147" t="e">
        <f t="shared" si="29"/>
        <v>#DIV/0!</v>
      </c>
    </row>
    <row r="283" spans="1:9" ht="15.75" thickBot="1" x14ac:dyDescent="0.3">
      <c r="A283" s="133" t="s">
        <v>79</v>
      </c>
      <c r="B283" s="148" t="s">
        <v>80</v>
      </c>
      <c r="C283" s="149" t="e">
        <f>C280/B280-1</f>
        <v>#DIV/0!</v>
      </c>
      <c r="D283" s="149" t="e">
        <f t="shared" ref="D283:E285" si="30">D280/C280-1</f>
        <v>#DIV/0!</v>
      </c>
      <c r="E283" s="149" t="e">
        <f t="shared" si="30"/>
        <v>#DIV/0!</v>
      </c>
      <c r="F283" s="150"/>
      <c r="G283" s="150"/>
      <c r="H283" s="150"/>
      <c r="I283" s="150"/>
    </row>
    <row r="284" spans="1:9" ht="15.75" thickBot="1" x14ac:dyDescent="0.3">
      <c r="A284" s="133" t="s">
        <v>81</v>
      </c>
      <c r="B284" s="148" t="s">
        <v>80</v>
      </c>
      <c r="C284" s="149" t="e">
        <f>C281/B281-1</f>
        <v>#DIV/0!</v>
      </c>
      <c r="D284" s="149" t="e">
        <f t="shared" si="30"/>
        <v>#DIV/0!</v>
      </c>
      <c r="E284" s="149" t="e">
        <f t="shared" si="30"/>
        <v>#DIV/0!</v>
      </c>
    </row>
    <row r="285" spans="1:9" ht="23.25" thickBot="1" x14ac:dyDescent="0.3">
      <c r="A285" s="133" t="s">
        <v>82</v>
      </c>
      <c r="B285" s="148" t="s">
        <v>80</v>
      </c>
      <c r="C285" s="149" t="e">
        <f>C282/B282-1</f>
        <v>#DIV/0!</v>
      </c>
      <c r="D285" s="149" t="e">
        <f t="shared" si="30"/>
        <v>#DIV/0!</v>
      </c>
      <c r="E285" s="149" t="e">
        <f t="shared" si="30"/>
        <v>#DIV/0!</v>
      </c>
    </row>
    <row r="286" spans="1:9" ht="15.75" thickBot="1" x14ac:dyDescent="0.3">
      <c r="A286" s="1005" t="s">
        <v>366</v>
      </c>
      <c r="B286" s="1006"/>
      <c r="C286" s="1006"/>
      <c r="D286" s="1006"/>
      <c r="E286" s="1007"/>
    </row>
    <row r="287" spans="1:9" ht="12.75" customHeight="1" x14ac:dyDescent="0.25">
      <c r="A287" s="893"/>
      <c r="B287" s="145">
        <v>2018</v>
      </c>
      <c r="C287" s="145">
        <v>2019</v>
      </c>
      <c r="D287" s="145">
        <v>2020</v>
      </c>
      <c r="E287" s="145">
        <v>2021</v>
      </c>
    </row>
    <row r="288" spans="1:9" ht="9" customHeight="1" thickBot="1" x14ac:dyDescent="0.3">
      <c r="A288" s="894"/>
      <c r="B288" s="146" t="s">
        <v>41</v>
      </c>
      <c r="C288" s="146" t="s">
        <v>42</v>
      </c>
      <c r="D288" s="146" t="s">
        <v>42</v>
      </c>
      <c r="E288" s="146" t="s">
        <v>42</v>
      </c>
    </row>
    <row r="289" spans="1:5" ht="15.75" thickBot="1" x14ac:dyDescent="0.3">
      <c r="A289" s="151" t="s">
        <v>169</v>
      </c>
      <c r="B289" s="142"/>
      <c r="C289" s="142"/>
      <c r="D289" s="142"/>
      <c r="E289" s="142"/>
    </row>
    <row r="290" spans="1:5" ht="15.75" thickBot="1" x14ac:dyDescent="0.3">
      <c r="A290" s="151" t="s">
        <v>112</v>
      </c>
      <c r="B290" s="158"/>
      <c r="C290" s="142"/>
      <c r="D290" s="142"/>
      <c r="E290" s="142"/>
    </row>
    <row r="291" spans="1:5" ht="24.75" thickBot="1" x14ac:dyDescent="0.3">
      <c r="A291" s="153" t="s">
        <v>176</v>
      </c>
      <c r="B291" s="158">
        <f>B290+B289</f>
        <v>0</v>
      </c>
      <c r="C291" s="158">
        <f t="shared" ref="C291:E291" si="31">C290+C289</f>
        <v>0</v>
      </c>
      <c r="D291" s="158">
        <f t="shared" si="31"/>
        <v>0</v>
      </c>
      <c r="E291" s="158">
        <f t="shared" si="31"/>
        <v>0</v>
      </c>
    </row>
    <row r="292" spans="1:5" ht="15.75" thickBot="1" x14ac:dyDescent="0.3">
      <c r="A292" s="292"/>
      <c r="B292" s="293"/>
      <c r="C292" s="293"/>
      <c r="D292" s="293"/>
      <c r="E292" s="293"/>
    </row>
    <row r="293" spans="1:5" ht="27" customHeight="1" thickBot="1" x14ac:dyDescent="0.3">
      <c r="A293" s="134" t="s">
        <v>121</v>
      </c>
      <c r="B293" s="178">
        <f>B281+B263+B243+B225+B199+B174+B148+B130+B110+B89+B63+B40</f>
        <v>29400</v>
      </c>
      <c r="C293" s="178">
        <f>C281+C263+C243+C225+C199+C174+C148+C130+C110+C89+C63+C40</f>
        <v>32174</v>
      </c>
      <c r="D293" s="178">
        <f>D281+D263+D243+D225+D199+D174+D148+D130+D110+D89+D63+D40</f>
        <v>24300</v>
      </c>
      <c r="E293" s="178">
        <f>E281+E263+E243+E225+E199+E174+E148+E130+E110+E89+E63+E40</f>
        <v>24820</v>
      </c>
    </row>
    <row r="294" spans="1:5" ht="36.75" thickBot="1" x14ac:dyDescent="0.3">
      <c r="A294" s="134" t="s">
        <v>122</v>
      </c>
      <c r="B294" s="178">
        <f>B296+B298+B300+B302+B304+B306+B308+B310+B312</f>
        <v>29400</v>
      </c>
      <c r="C294" s="178">
        <f>C296+C298+C300+C302+C304+C306+C308+C310+C312</f>
        <v>32174</v>
      </c>
      <c r="D294" s="178">
        <f>D296+D298+D300+D302+D304+D306+D308+D310+D312</f>
        <v>24300</v>
      </c>
      <c r="E294" s="178">
        <f>E296+E298+E300+E302+E304+E306+E308+E310+E312</f>
        <v>24820</v>
      </c>
    </row>
    <row r="295" spans="1:5" ht="36.75" thickBot="1" x14ac:dyDescent="0.3">
      <c r="A295" s="294" t="s">
        <v>123</v>
      </c>
      <c r="B295" s="176"/>
      <c r="C295" s="175">
        <f>C294/B294-1</f>
        <v>9.4353741496598698E-2</v>
      </c>
      <c r="D295" s="175">
        <f t="shared" ref="D295:E295" si="32">D294/C294-1</f>
        <v>-0.24473177099521348</v>
      </c>
      <c r="E295" s="175">
        <f t="shared" si="32"/>
        <v>2.1399176954732591E-2</v>
      </c>
    </row>
    <row r="296" spans="1:5" ht="15.75" thickBot="1" x14ac:dyDescent="0.3">
      <c r="A296" s="151" t="s">
        <v>84</v>
      </c>
      <c r="B296" s="142">
        <f>B207+B184+B71+B48</f>
        <v>13200</v>
      </c>
      <c r="C296" s="142">
        <f>C207+C184+C71+C48</f>
        <v>13200</v>
      </c>
      <c r="D296" s="142">
        <f>D207+D184+D71+D48</f>
        <v>14000</v>
      </c>
      <c r="E296" s="142">
        <f>E207+E184+E71+E48</f>
        <v>14420</v>
      </c>
    </row>
    <row r="297" spans="1:5" ht="15.75" thickBot="1" x14ac:dyDescent="0.3">
      <c r="A297" s="295" t="s">
        <v>124</v>
      </c>
      <c r="B297" s="158"/>
      <c r="C297" s="171">
        <f>C296/B296-1</f>
        <v>0</v>
      </c>
      <c r="D297" s="171">
        <f t="shared" ref="D297:E297" si="33">D296/C296-1</f>
        <v>6.0606060606060552E-2</v>
      </c>
      <c r="E297" s="171">
        <f t="shared" si="33"/>
        <v>3.0000000000000027E-2</v>
      </c>
    </row>
    <row r="298" spans="1:5" ht="24.75" thickBot="1" x14ac:dyDescent="0.3">
      <c r="A298" s="151" t="s">
        <v>85</v>
      </c>
      <c r="B298" s="142">
        <f>B208+B185+B72+B49</f>
        <v>3000</v>
      </c>
      <c r="C298" s="142">
        <f>C208+C185+C72+C49</f>
        <v>3000</v>
      </c>
      <c r="D298" s="142">
        <f>D208+D185+D72+D49</f>
        <v>3300</v>
      </c>
      <c r="E298" s="142">
        <f>E208+E185+E72+E49</f>
        <v>3300</v>
      </c>
    </row>
    <row r="299" spans="1:5" ht="24.75" thickBot="1" x14ac:dyDescent="0.3">
      <c r="A299" s="295" t="s">
        <v>125</v>
      </c>
      <c r="B299" s="158"/>
      <c r="C299" s="171">
        <f>C298/B298-1</f>
        <v>0</v>
      </c>
      <c r="D299" s="171">
        <f t="shared" ref="D299:E299" si="34">D298/C298-1</f>
        <v>0.10000000000000009</v>
      </c>
      <c r="E299" s="171">
        <f t="shared" si="34"/>
        <v>0</v>
      </c>
    </row>
    <row r="300" spans="1:5" ht="15.75" thickBot="1" x14ac:dyDescent="0.3">
      <c r="A300" s="151" t="s">
        <v>86</v>
      </c>
      <c r="B300" s="142">
        <f>B209+B186+B73+B50</f>
        <v>4200</v>
      </c>
      <c r="C300" s="142">
        <f>C209+C186+C73+C50</f>
        <v>4200</v>
      </c>
      <c r="D300" s="142">
        <f>D209+D186+D73+D50</f>
        <v>4500</v>
      </c>
      <c r="E300" s="142">
        <f>E209+E186+E73+E50</f>
        <v>4600</v>
      </c>
    </row>
    <row r="301" spans="1:5" ht="24.75" thickBot="1" x14ac:dyDescent="0.3">
      <c r="A301" s="295" t="s">
        <v>126</v>
      </c>
      <c r="B301" s="158"/>
      <c r="C301" s="171">
        <f>C300/B300-1</f>
        <v>0</v>
      </c>
      <c r="D301" s="171">
        <f t="shared" ref="D301:E301" si="35">D300/C300-1</f>
        <v>7.1428571428571397E-2</v>
      </c>
      <c r="E301" s="171">
        <f t="shared" si="35"/>
        <v>2.2222222222222143E-2</v>
      </c>
    </row>
    <row r="302" spans="1:5" ht="15.75" thickBot="1" x14ac:dyDescent="0.3">
      <c r="A302" s="151" t="s">
        <v>87</v>
      </c>
      <c r="B302" s="142">
        <f>B210+B187+B74+B51</f>
        <v>0</v>
      </c>
      <c r="C302" s="142">
        <f>C210+C187+C74+C51</f>
        <v>0</v>
      </c>
      <c r="D302" s="142">
        <f>D210+D187+D74+D51</f>
        <v>0</v>
      </c>
      <c r="E302" s="142">
        <f>E210+E187+E74+E51</f>
        <v>0</v>
      </c>
    </row>
    <row r="303" spans="1:5" ht="24.75" thickBot="1" x14ac:dyDescent="0.3">
      <c r="A303" s="295" t="s">
        <v>228</v>
      </c>
      <c r="B303" s="158"/>
      <c r="C303" s="171" t="e">
        <f>C302/B302-1</f>
        <v>#DIV/0!</v>
      </c>
      <c r="D303" s="171" t="e">
        <f t="shared" ref="D303:E303" si="36">D302/C302-1</f>
        <v>#DIV/0!</v>
      </c>
      <c r="E303" s="171" t="e">
        <f t="shared" si="36"/>
        <v>#DIV/0!</v>
      </c>
    </row>
    <row r="304" spans="1:5" ht="24.75" thickBot="1" x14ac:dyDescent="0.3">
      <c r="A304" s="151" t="s">
        <v>88</v>
      </c>
      <c r="B304" s="142">
        <f>B211+B188+B75+B52</f>
        <v>0</v>
      </c>
      <c r="C304" s="142">
        <f>C211+C188+C75+C52</f>
        <v>0</v>
      </c>
      <c r="D304" s="142">
        <f>D211+D188+D75+D52</f>
        <v>0</v>
      </c>
      <c r="E304" s="142">
        <f>E211+E188+E75+E52</f>
        <v>0</v>
      </c>
    </row>
    <row r="305" spans="1:5" ht="24.75" thickBot="1" x14ac:dyDescent="0.3">
      <c r="A305" s="295" t="s">
        <v>229</v>
      </c>
      <c r="B305" s="158"/>
      <c r="C305" s="171" t="e">
        <f>C304/B304-1</f>
        <v>#DIV/0!</v>
      </c>
      <c r="D305" s="171" t="e">
        <f t="shared" ref="D305:E305" si="37">D304/C304-1</f>
        <v>#DIV/0!</v>
      </c>
      <c r="E305" s="171" t="e">
        <f t="shared" si="37"/>
        <v>#DIV/0!</v>
      </c>
    </row>
    <row r="306" spans="1:5" ht="15.75" thickBot="1" x14ac:dyDescent="0.3">
      <c r="A306" s="151" t="s">
        <v>89</v>
      </c>
      <c r="B306" s="142">
        <f>B212+B189+B76+B53</f>
        <v>2000</v>
      </c>
      <c r="C306" s="142">
        <f>C212+C189+C76+C53</f>
        <v>2000</v>
      </c>
      <c r="D306" s="142">
        <f>D212+D189+D76+D53</f>
        <v>2500</v>
      </c>
      <c r="E306" s="142">
        <f>E212+E189+E76+E53</f>
        <v>2500</v>
      </c>
    </row>
    <row r="307" spans="1:5" ht="24.75" thickBot="1" x14ac:dyDescent="0.3">
      <c r="A307" s="295" t="s">
        <v>230</v>
      </c>
      <c r="B307" s="158"/>
      <c r="C307" s="171">
        <f>C306/B306-1</f>
        <v>0</v>
      </c>
      <c r="D307" s="171">
        <f t="shared" ref="D307:E307" si="38">D306/C306-1</f>
        <v>0.25</v>
      </c>
      <c r="E307" s="171">
        <f t="shared" si="38"/>
        <v>0</v>
      </c>
    </row>
    <row r="308" spans="1:5" ht="24.75" thickBot="1" x14ac:dyDescent="0.3">
      <c r="A308" s="151" t="s">
        <v>90</v>
      </c>
      <c r="B308" s="142">
        <f>B213+B190+B77+B54</f>
        <v>0</v>
      </c>
      <c r="C308" s="142">
        <f>C213+C190+C77+C54</f>
        <v>0</v>
      </c>
      <c r="D308" s="142">
        <f>D213+D190+D77+D54</f>
        <v>0</v>
      </c>
      <c r="E308" s="142">
        <f>E213+E190+E77+E54</f>
        <v>0</v>
      </c>
    </row>
    <row r="309" spans="1:5" ht="24.75" thickBot="1" x14ac:dyDescent="0.3">
      <c r="A309" s="295" t="s">
        <v>231</v>
      </c>
      <c r="B309" s="158"/>
      <c r="C309" s="171" t="e">
        <f>C308/B308-1</f>
        <v>#DIV/0!</v>
      </c>
      <c r="D309" s="171" t="e">
        <f t="shared" ref="D309:E309" si="39">D308/C308-1</f>
        <v>#DIV/0!</v>
      </c>
      <c r="E309" s="171" t="e">
        <f t="shared" si="39"/>
        <v>#DIV/0!</v>
      </c>
    </row>
    <row r="310" spans="1:5" ht="15.75" thickBot="1" x14ac:dyDescent="0.3">
      <c r="A310" s="151" t="s">
        <v>127</v>
      </c>
      <c r="B310" s="142">
        <f>B97+B118+B138+B156+B233+B251+B271+B289</f>
        <v>7000</v>
      </c>
      <c r="C310" s="142">
        <f>C97+C118+C138+C156+C233+C251+C271+C289</f>
        <v>7000</v>
      </c>
      <c r="D310" s="142">
        <f>D97+D118+D138+D156+D233+D251+D271+D289</f>
        <v>0</v>
      </c>
      <c r="E310" s="142">
        <f>E97+E118+E138+E156+E233+E251+E271+E289</f>
        <v>0</v>
      </c>
    </row>
    <row r="311" spans="1:5" ht="24.75" thickBot="1" x14ac:dyDescent="0.3">
      <c r="A311" s="295" t="s">
        <v>128</v>
      </c>
      <c r="B311" s="158"/>
      <c r="C311" s="171">
        <f>C310/B310-1</f>
        <v>0</v>
      </c>
      <c r="D311" s="171">
        <f t="shared" ref="D311:E311" si="40">D310/C310-1</f>
        <v>-1</v>
      </c>
      <c r="E311" s="171" t="e">
        <f t="shared" si="40"/>
        <v>#DIV/0!</v>
      </c>
    </row>
    <row r="312" spans="1:5" ht="15.75" thickBot="1" x14ac:dyDescent="0.3">
      <c r="A312" s="151" t="s">
        <v>232</v>
      </c>
      <c r="B312" s="142">
        <f>B98+B119+B139+B157+B234+B252+B272+B290</f>
        <v>0</v>
      </c>
      <c r="C312" s="142">
        <f>C98+C119+C139+C157+C234+C252+C272+C290</f>
        <v>2774</v>
      </c>
      <c r="D312" s="142">
        <f>D98+D119+D139+D157+D234+D252+D272+D290</f>
        <v>0</v>
      </c>
      <c r="E312" s="142">
        <f>E98+E119+E139+E157+E234+E252+E272+E290</f>
        <v>0</v>
      </c>
    </row>
    <row r="313" spans="1:5" ht="24.75" thickBot="1" x14ac:dyDescent="0.3">
      <c r="A313" s="295" t="s">
        <v>233</v>
      </c>
      <c r="B313" s="158"/>
      <c r="C313" s="171" t="e">
        <f>C312/B312-1</f>
        <v>#DIV/0!</v>
      </c>
      <c r="D313" s="171">
        <f t="shared" ref="D313:E313" si="41">D312/C312-1</f>
        <v>-1</v>
      </c>
      <c r="E313" s="171" t="e">
        <f t="shared" si="41"/>
        <v>#DIV/0!</v>
      </c>
    </row>
    <row r="314" spans="1:5" ht="15.75" thickBot="1" x14ac:dyDescent="0.3">
      <c r="A314" s="154" t="s">
        <v>92</v>
      </c>
      <c r="B314" s="160">
        <f>IF(B294-B293=0,0,"Error")</f>
        <v>0</v>
      </c>
      <c r="C314" s="160">
        <f t="shared" ref="C314:E314" si="42">IF(C294-C293=0,0,"Error")</f>
        <v>0</v>
      </c>
      <c r="D314" s="160">
        <f t="shared" si="42"/>
        <v>0</v>
      </c>
      <c r="E314" s="160">
        <f t="shared" si="42"/>
        <v>0</v>
      </c>
    </row>
    <row r="315" spans="1:5" ht="36.75" thickBot="1" x14ac:dyDescent="0.3">
      <c r="A315" s="165" t="s">
        <v>129</v>
      </c>
      <c r="B315" s="142" t="s">
        <v>80</v>
      </c>
      <c r="C315" s="142" t="s">
        <v>80</v>
      </c>
      <c r="D315" s="142" t="s">
        <v>80</v>
      </c>
      <c r="E315" s="142" t="s">
        <v>80</v>
      </c>
    </row>
    <row r="316" spans="1:5" ht="36.75" thickBot="1" x14ac:dyDescent="0.3">
      <c r="A316" s="165" t="s">
        <v>130</v>
      </c>
      <c r="B316" s="142" t="s">
        <v>80</v>
      </c>
      <c r="C316" s="142" t="s">
        <v>80</v>
      </c>
      <c r="D316" s="142" t="s">
        <v>80</v>
      </c>
      <c r="E316" s="142" t="s">
        <v>80</v>
      </c>
    </row>
    <row r="317" spans="1:5" ht="26.25" thickBot="1" x14ac:dyDescent="0.3">
      <c r="A317" s="128" t="s">
        <v>38</v>
      </c>
      <c r="B317" s="1039" t="s">
        <v>668</v>
      </c>
      <c r="C317" s="1015"/>
      <c r="D317" s="1015"/>
      <c r="E317" s="1016"/>
    </row>
    <row r="318" spans="1:5" x14ac:dyDescent="0.25">
      <c r="A318" s="893" t="s">
        <v>138</v>
      </c>
      <c r="B318" s="129">
        <v>2018</v>
      </c>
      <c r="C318" s="129">
        <v>2019</v>
      </c>
      <c r="D318" s="129">
        <v>2020</v>
      </c>
      <c r="E318" s="129">
        <v>2021</v>
      </c>
    </row>
    <row r="319" spans="1:5" ht="15.75" thickBot="1" x14ac:dyDescent="0.3">
      <c r="A319" s="894"/>
      <c r="B319" s="130" t="s">
        <v>41</v>
      </c>
      <c r="C319" s="130" t="s">
        <v>42</v>
      </c>
      <c r="D319" s="130" t="s">
        <v>42</v>
      </c>
      <c r="E319" s="130" t="s">
        <v>42</v>
      </c>
    </row>
    <row r="320" spans="1:5" ht="15.75" thickBot="1" x14ac:dyDescent="0.3">
      <c r="A320" s="131" t="s">
        <v>669</v>
      </c>
      <c r="B320" s="142">
        <v>90000</v>
      </c>
      <c r="C320" s="142">
        <v>90000</v>
      </c>
      <c r="D320" s="142">
        <v>90000</v>
      </c>
      <c r="E320" s="142">
        <v>90000</v>
      </c>
    </row>
    <row r="321" spans="1:5" ht="23.25" thickBot="1" x14ac:dyDescent="0.3">
      <c r="A321" s="133" t="s">
        <v>670</v>
      </c>
      <c r="B321" s="142">
        <v>14000</v>
      </c>
      <c r="C321" s="142">
        <v>14000</v>
      </c>
      <c r="D321" s="142">
        <v>14000</v>
      </c>
      <c r="E321" s="142">
        <v>14000</v>
      </c>
    </row>
    <row r="322" spans="1:5" ht="15.75" thickBot="1" x14ac:dyDescent="0.3">
      <c r="A322" s="133" t="s">
        <v>671</v>
      </c>
      <c r="B322" s="142">
        <v>27800</v>
      </c>
      <c r="C322" s="142">
        <v>30000</v>
      </c>
      <c r="D322" s="142">
        <v>30500</v>
      </c>
      <c r="E322" s="142">
        <v>35000</v>
      </c>
    </row>
    <row r="323" spans="1:5" ht="24.75" thickBot="1" x14ac:dyDescent="0.3">
      <c r="A323" s="134" t="s">
        <v>45</v>
      </c>
      <c r="B323" s="1038"/>
      <c r="C323" s="1039"/>
      <c r="D323" s="1039"/>
      <c r="E323" s="1040"/>
    </row>
    <row r="324" spans="1:5" ht="15.75" thickBot="1" x14ac:dyDescent="0.3">
      <c r="A324" s="945" t="s">
        <v>47</v>
      </c>
      <c r="B324" s="946"/>
      <c r="C324" s="946"/>
      <c r="D324" s="946"/>
      <c r="E324" s="947"/>
    </row>
    <row r="325" spans="1:5" ht="15.75" thickBot="1" x14ac:dyDescent="0.3">
      <c r="A325" s="131" t="s">
        <v>669</v>
      </c>
      <c r="B325" s="142">
        <v>30500</v>
      </c>
      <c r="C325" s="142">
        <v>30500</v>
      </c>
      <c r="D325" s="142">
        <v>30500</v>
      </c>
      <c r="E325" s="142">
        <v>30500</v>
      </c>
    </row>
    <row r="326" spans="1:5" ht="23.25" thickBot="1" x14ac:dyDescent="0.3">
      <c r="A326" s="133" t="s">
        <v>670</v>
      </c>
      <c r="B326" s="142">
        <v>4830</v>
      </c>
      <c r="C326" s="142">
        <v>4830</v>
      </c>
      <c r="D326" s="142">
        <v>4830</v>
      </c>
      <c r="E326" s="142">
        <v>4830</v>
      </c>
    </row>
    <row r="327" spans="1:5" ht="15.75" thickBot="1" x14ac:dyDescent="0.3">
      <c r="A327" s="133" t="s">
        <v>671</v>
      </c>
      <c r="B327" s="142">
        <v>16530</v>
      </c>
      <c r="C327" s="142">
        <v>16530</v>
      </c>
      <c r="D327" s="142">
        <v>16530</v>
      </c>
      <c r="E327" s="142">
        <v>16530</v>
      </c>
    </row>
    <row r="328" spans="1:5" ht="15.75" thickBot="1" x14ac:dyDescent="0.3">
      <c r="A328" s="1020" t="s">
        <v>68</v>
      </c>
      <c r="B328" s="1021"/>
      <c r="C328" s="1021"/>
      <c r="D328" s="1021"/>
      <c r="E328" s="1022"/>
    </row>
    <row r="329" spans="1:5" ht="15.75" thickBot="1" x14ac:dyDescent="0.3">
      <c r="A329" s="945" t="s">
        <v>183</v>
      </c>
      <c r="B329" s="946"/>
      <c r="C329" s="946"/>
      <c r="D329" s="946"/>
      <c r="E329" s="947"/>
    </row>
    <row r="330" spans="1:5" ht="15.75" thickBot="1" x14ac:dyDescent="0.3">
      <c r="A330" s="131" t="s">
        <v>669</v>
      </c>
      <c r="B330" s="142">
        <v>4500</v>
      </c>
      <c r="C330" s="142">
        <v>4500</v>
      </c>
      <c r="D330" s="142">
        <v>4500</v>
      </c>
      <c r="E330" s="142">
        <v>4500</v>
      </c>
    </row>
    <row r="331" spans="1:5" ht="23.25" thickBot="1" x14ac:dyDescent="0.3">
      <c r="A331" s="133" t="s">
        <v>670</v>
      </c>
      <c r="B331" s="142">
        <v>1070</v>
      </c>
      <c r="C331" s="142">
        <v>1070</v>
      </c>
      <c r="D331" s="142">
        <v>1070</v>
      </c>
      <c r="E331" s="142">
        <v>1070</v>
      </c>
    </row>
    <row r="332" spans="1:5" ht="15.75" thickBot="1" x14ac:dyDescent="0.3">
      <c r="A332" s="133" t="s">
        <v>671</v>
      </c>
      <c r="B332" s="142">
        <v>2500</v>
      </c>
      <c r="C332" s="142">
        <v>2500</v>
      </c>
      <c r="D332" s="142">
        <v>2500</v>
      </c>
      <c r="E332" s="142">
        <v>2500</v>
      </c>
    </row>
    <row r="333" spans="1:5" ht="15.75" thickBot="1" x14ac:dyDescent="0.3">
      <c r="A333" s="1020" t="s">
        <v>196</v>
      </c>
      <c r="B333" s="1021"/>
      <c r="C333" s="1021"/>
      <c r="D333" s="1021"/>
      <c r="E333" s="1022"/>
    </row>
    <row r="334" spans="1:5" ht="15.75" thickBot="1" x14ac:dyDescent="0.3">
      <c r="A334" s="945" t="s">
        <v>208</v>
      </c>
      <c r="B334" s="946"/>
      <c r="C334" s="946"/>
      <c r="D334" s="946"/>
      <c r="E334" s="947"/>
    </row>
    <row r="335" spans="1:5" ht="15.75" thickBot="1" x14ac:dyDescent="0.3">
      <c r="A335" s="131" t="s">
        <v>669</v>
      </c>
      <c r="B335" s="142">
        <v>55000</v>
      </c>
      <c r="C335" s="142">
        <v>55000</v>
      </c>
      <c r="D335" s="142">
        <v>55000</v>
      </c>
      <c r="E335" s="142">
        <v>55000</v>
      </c>
    </row>
    <row r="336" spans="1:5" ht="23.25" thickBot="1" x14ac:dyDescent="0.3">
      <c r="A336" s="133" t="s">
        <v>670</v>
      </c>
      <c r="B336" s="142">
        <v>8100</v>
      </c>
      <c r="C336" s="142">
        <v>8100</v>
      </c>
      <c r="D336" s="142">
        <v>8100</v>
      </c>
      <c r="E336" s="142">
        <v>8100</v>
      </c>
    </row>
    <row r="337" spans="1:5" ht="15.75" thickBot="1" x14ac:dyDescent="0.3">
      <c r="A337" s="133" t="s">
        <v>671</v>
      </c>
      <c r="B337" s="142">
        <v>8770</v>
      </c>
      <c r="C337" s="142">
        <v>10970</v>
      </c>
      <c r="D337" s="142">
        <v>11470</v>
      </c>
      <c r="E337" s="142">
        <v>15970</v>
      </c>
    </row>
    <row r="338" spans="1:5" ht="15.75" thickBot="1" x14ac:dyDescent="0.3">
      <c r="A338" s="1020" t="s">
        <v>216</v>
      </c>
      <c r="B338" s="1021"/>
      <c r="C338" s="1021"/>
      <c r="D338" s="1021"/>
      <c r="E338" s="1022"/>
    </row>
    <row r="339" spans="1:5" ht="15.75" thickBot="1" x14ac:dyDescent="0.3">
      <c r="A339" s="1011" t="s">
        <v>69</v>
      </c>
      <c r="B339" s="1012"/>
      <c r="C339" s="1012"/>
      <c r="D339" s="1012"/>
      <c r="E339" s="1013"/>
    </row>
    <row r="340" spans="1:5" ht="15.75" thickBot="1" x14ac:dyDescent="0.3">
      <c r="A340" s="144" t="s">
        <v>70</v>
      </c>
      <c r="B340" s="1038"/>
      <c r="C340" s="1039"/>
      <c r="D340" s="1039"/>
      <c r="E340" s="1040"/>
    </row>
    <row r="341" spans="1:5" ht="15.75" thickBot="1" x14ac:dyDescent="0.3">
      <c r="A341" s="133" t="s">
        <v>72</v>
      </c>
      <c r="B341" s="945"/>
      <c r="C341" s="946"/>
      <c r="D341" s="946"/>
      <c r="E341" s="947"/>
    </row>
    <row r="342" spans="1:5" ht="15.75" thickBot="1" x14ac:dyDescent="0.3">
      <c r="A342" s="133" t="s">
        <v>74</v>
      </c>
      <c r="B342" s="1002"/>
      <c r="C342" s="1003"/>
      <c r="D342" s="1003"/>
      <c r="E342" s="1004"/>
    </row>
    <row r="343" spans="1:5" x14ac:dyDescent="0.25">
      <c r="A343" s="893"/>
      <c r="B343" s="145">
        <v>2018</v>
      </c>
      <c r="C343" s="145">
        <v>2019</v>
      </c>
      <c r="D343" s="145">
        <v>2020</v>
      </c>
      <c r="E343" s="145">
        <v>2021</v>
      </c>
    </row>
    <row r="344" spans="1:5" ht="15.75" thickBot="1" x14ac:dyDescent="0.3">
      <c r="A344" s="894"/>
      <c r="B344" s="146" t="s">
        <v>41</v>
      </c>
      <c r="C344" s="146" t="s">
        <v>42</v>
      </c>
      <c r="D344" s="146" t="s">
        <v>42</v>
      </c>
      <c r="E344" s="146" t="s">
        <v>42</v>
      </c>
    </row>
    <row r="345" spans="1:5" ht="15.75" thickBot="1" x14ac:dyDescent="0.3">
      <c r="A345" s="133" t="s">
        <v>76</v>
      </c>
      <c r="B345" s="147">
        <v>104</v>
      </c>
      <c r="C345" s="147">
        <v>104</v>
      </c>
      <c r="D345" s="147">
        <v>104</v>
      </c>
      <c r="E345" s="147">
        <v>104</v>
      </c>
    </row>
    <row r="346" spans="1:5" ht="15.75" thickBot="1" x14ac:dyDescent="0.3">
      <c r="A346" s="133" t="s">
        <v>77</v>
      </c>
      <c r="B346" s="147">
        <v>138300</v>
      </c>
      <c r="C346" s="296">
        <v>142500</v>
      </c>
      <c r="D346" s="296">
        <v>143500</v>
      </c>
      <c r="E346" s="296">
        <v>148500</v>
      </c>
    </row>
    <row r="347" spans="1:5" ht="15.75" thickBot="1" x14ac:dyDescent="0.3">
      <c r="A347" s="133" t="s">
        <v>78</v>
      </c>
      <c r="B347" s="147">
        <f>B346/B345</f>
        <v>1329.8076923076924</v>
      </c>
      <c r="C347" s="147">
        <f t="shared" ref="C347:E347" si="43">C346/C345</f>
        <v>1370.1923076923076</v>
      </c>
      <c r="D347" s="147">
        <f t="shared" si="43"/>
        <v>1379.8076923076924</v>
      </c>
      <c r="E347" s="147">
        <f t="shared" si="43"/>
        <v>1427.8846153846155</v>
      </c>
    </row>
    <row r="348" spans="1:5" ht="15.75" thickBot="1" x14ac:dyDescent="0.3">
      <c r="A348" s="133" t="s">
        <v>79</v>
      </c>
      <c r="B348" s="148" t="s">
        <v>80</v>
      </c>
      <c r="C348" s="149">
        <f>C345/B345-1</f>
        <v>0</v>
      </c>
      <c r="D348" s="149">
        <f t="shared" ref="D348:E350" si="44">D345/C345-1</f>
        <v>0</v>
      </c>
      <c r="E348" s="149">
        <f t="shared" si="44"/>
        <v>0</v>
      </c>
    </row>
    <row r="349" spans="1:5" ht="15.75" thickBot="1" x14ac:dyDescent="0.3">
      <c r="A349" s="133" t="s">
        <v>81</v>
      </c>
      <c r="B349" s="148" t="s">
        <v>80</v>
      </c>
      <c r="C349" s="149">
        <f>C346/B346-1</f>
        <v>3.0368763557483636E-2</v>
      </c>
      <c r="D349" s="149">
        <f t="shared" si="44"/>
        <v>7.0175438596491446E-3</v>
      </c>
      <c r="E349" s="149">
        <f t="shared" si="44"/>
        <v>3.4843205574912828E-2</v>
      </c>
    </row>
    <row r="350" spans="1:5" ht="23.25" thickBot="1" x14ac:dyDescent="0.3">
      <c r="A350" s="133" t="s">
        <v>82</v>
      </c>
      <c r="B350" s="148" t="s">
        <v>80</v>
      </c>
      <c r="C350" s="149">
        <f>C347/B347-1</f>
        <v>3.0368763557483636E-2</v>
      </c>
      <c r="D350" s="149">
        <f t="shared" si="44"/>
        <v>7.0175438596491446E-3</v>
      </c>
      <c r="E350" s="149">
        <f t="shared" si="44"/>
        <v>3.4843205574912828E-2</v>
      </c>
    </row>
    <row r="351" spans="1:5" ht="15.75" thickBot="1" x14ac:dyDescent="0.3">
      <c r="A351" s="1005" t="s">
        <v>83</v>
      </c>
      <c r="B351" s="1006"/>
      <c r="C351" s="1006"/>
      <c r="D351" s="1006"/>
      <c r="E351" s="1007"/>
    </row>
    <row r="352" spans="1:5" x14ac:dyDescent="0.25">
      <c r="A352" s="893"/>
      <c r="B352" s="145">
        <v>2018</v>
      </c>
      <c r="C352" s="145">
        <v>2019</v>
      </c>
      <c r="D352" s="145">
        <v>2020</v>
      </c>
      <c r="E352" s="145">
        <v>2021</v>
      </c>
    </row>
    <row r="353" spans="1:5" ht="15.75" thickBot="1" x14ac:dyDescent="0.3">
      <c r="A353" s="894"/>
      <c r="B353" s="146" t="s">
        <v>41</v>
      </c>
      <c r="C353" s="146" t="s">
        <v>42</v>
      </c>
      <c r="D353" s="146" t="s">
        <v>42</v>
      </c>
      <c r="E353" s="146" t="s">
        <v>42</v>
      </c>
    </row>
    <row r="354" spans="1:5" ht="15.75" thickBot="1" x14ac:dyDescent="0.3">
      <c r="A354" s="151" t="s">
        <v>84</v>
      </c>
      <c r="B354" s="142">
        <v>90000</v>
      </c>
      <c r="C354" s="142">
        <v>90000</v>
      </c>
      <c r="D354" s="142">
        <v>90000</v>
      </c>
      <c r="E354" s="142">
        <v>90000</v>
      </c>
    </row>
    <row r="355" spans="1:5" ht="24.75" thickBot="1" x14ac:dyDescent="0.3">
      <c r="A355" s="151" t="s">
        <v>85</v>
      </c>
      <c r="B355" s="142">
        <v>14000</v>
      </c>
      <c r="C355" s="142">
        <v>14000</v>
      </c>
      <c r="D355" s="142">
        <v>14000</v>
      </c>
      <c r="E355" s="142">
        <v>14000</v>
      </c>
    </row>
    <row r="356" spans="1:5" ht="15.75" thickBot="1" x14ac:dyDescent="0.3">
      <c r="A356" s="151" t="s">
        <v>86</v>
      </c>
      <c r="B356" s="142">
        <v>27800</v>
      </c>
      <c r="C356" s="142">
        <v>30000</v>
      </c>
      <c r="D356" s="142">
        <v>30500</v>
      </c>
      <c r="E356" s="142">
        <v>35000</v>
      </c>
    </row>
    <row r="357" spans="1:5" ht="15.75" thickBot="1" x14ac:dyDescent="0.3">
      <c r="A357" s="151" t="s">
        <v>87</v>
      </c>
      <c r="B357" s="158"/>
      <c r="C357" s="142"/>
      <c r="D357" s="142"/>
      <c r="E357" s="142"/>
    </row>
    <row r="358" spans="1:5" ht="24.75" thickBot="1" x14ac:dyDescent="0.3">
      <c r="A358" s="151" t="s">
        <v>88</v>
      </c>
      <c r="B358" s="158"/>
      <c r="C358" s="142"/>
      <c r="D358" s="142"/>
      <c r="E358" s="142"/>
    </row>
    <row r="359" spans="1:5" ht="15.75" thickBot="1" x14ac:dyDescent="0.3">
      <c r="A359" s="151" t="s">
        <v>89</v>
      </c>
      <c r="B359" s="158">
        <v>6500</v>
      </c>
      <c r="C359" s="142">
        <v>8500</v>
      </c>
      <c r="D359" s="142">
        <v>9000</v>
      </c>
      <c r="E359" s="142">
        <v>9500</v>
      </c>
    </row>
    <row r="360" spans="1:5" ht="24.75" thickBot="1" x14ac:dyDescent="0.3">
      <c r="A360" s="151" t="s">
        <v>90</v>
      </c>
      <c r="B360" s="158"/>
      <c r="C360" s="142"/>
      <c r="D360" s="142"/>
      <c r="E360" s="142"/>
    </row>
    <row r="361" spans="1:5" ht="15.75" thickBot="1" x14ac:dyDescent="0.3">
      <c r="A361" s="153" t="s">
        <v>91</v>
      </c>
      <c r="B361" s="158">
        <f>B360+B359+B358+B357+B356+B355+B354</f>
        <v>138300</v>
      </c>
      <c r="C361" s="158">
        <f>C360+C359+C358+C357+C356+C355+C354</f>
        <v>142500</v>
      </c>
      <c r="D361" s="158">
        <f>D360+D359+D358+D357+D356+D355+D354</f>
        <v>143500</v>
      </c>
      <c r="E361" s="158">
        <f>E360+E359+E358+E357+E356+E355+E354</f>
        <v>148500</v>
      </c>
    </row>
    <row r="362" spans="1:5" ht="15.75" thickBot="1" x14ac:dyDescent="0.3">
      <c r="A362" s="154" t="s">
        <v>92</v>
      </c>
      <c r="B362" s="160">
        <f>IF(B361-B346=0,0,"Error")</f>
        <v>0</v>
      </c>
      <c r="C362" s="160">
        <f>IF(C361-C346=0,0,"Error")</f>
        <v>0</v>
      </c>
      <c r="D362" s="160">
        <f>IF(D361-D346=0,0,"Error")</f>
        <v>0</v>
      </c>
      <c r="E362" s="160">
        <f>IF(E361-E346=0,0,"Error")</f>
        <v>0</v>
      </c>
    </row>
    <row r="363" spans="1:5" ht="23.25" thickBot="1" x14ac:dyDescent="0.3">
      <c r="A363" s="190" t="s">
        <v>672</v>
      </c>
      <c r="B363" s="1014" t="s">
        <v>364</v>
      </c>
      <c r="C363" s="1015"/>
      <c r="D363" s="1015"/>
      <c r="E363" s="1016"/>
    </row>
    <row r="364" spans="1:5" ht="15.75" thickBot="1" x14ac:dyDescent="0.3">
      <c r="A364" s="133" t="s">
        <v>72</v>
      </c>
      <c r="B364" s="945" t="s">
        <v>364</v>
      </c>
      <c r="C364" s="946"/>
      <c r="D364" s="946"/>
      <c r="E364" s="947"/>
    </row>
    <row r="365" spans="1:5" ht="15.75" thickBot="1" x14ac:dyDescent="0.3">
      <c r="A365" s="133" t="s">
        <v>74</v>
      </c>
      <c r="B365" s="1002" t="s">
        <v>364</v>
      </c>
      <c r="C365" s="1003"/>
      <c r="D365" s="1003"/>
      <c r="E365" s="1004"/>
    </row>
    <row r="366" spans="1:5" ht="15.75" thickBot="1" x14ac:dyDescent="0.3">
      <c r="A366" s="133" t="s">
        <v>76</v>
      </c>
      <c r="B366" s="147"/>
      <c r="C366" s="147"/>
      <c r="D366" s="147"/>
      <c r="E366" s="147"/>
    </row>
    <row r="367" spans="1:5" x14ac:dyDescent="0.25">
      <c r="A367" s="893"/>
      <c r="B367" s="145">
        <v>2018</v>
      </c>
      <c r="C367" s="145">
        <v>2019</v>
      </c>
      <c r="D367" s="145">
        <v>2020</v>
      </c>
      <c r="E367" s="145">
        <v>2021</v>
      </c>
    </row>
    <row r="368" spans="1:5" ht="15.75" thickBot="1" x14ac:dyDescent="0.3">
      <c r="A368" s="894"/>
      <c r="B368" s="146" t="s">
        <v>41</v>
      </c>
      <c r="C368" s="146" t="s">
        <v>42</v>
      </c>
      <c r="D368" s="146" t="s">
        <v>42</v>
      </c>
      <c r="E368" s="146" t="s">
        <v>42</v>
      </c>
    </row>
    <row r="369" spans="1:5" ht="15.75" thickBot="1" x14ac:dyDescent="0.3">
      <c r="A369" s="133" t="s">
        <v>77</v>
      </c>
      <c r="B369" s="147"/>
      <c r="C369" s="147"/>
      <c r="D369" s="147"/>
      <c r="E369" s="147"/>
    </row>
    <row r="370" spans="1:5" ht="15.75" thickBot="1" x14ac:dyDescent="0.3">
      <c r="A370" s="133" t="s">
        <v>78</v>
      </c>
      <c r="B370" s="147" t="e">
        <f>B369/B366</f>
        <v>#DIV/0!</v>
      </c>
      <c r="C370" s="147" t="e">
        <f>C369/C366</f>
        <v>#DIV/0!</v>
      </c>
      <c r="D370" s="147" t="e">
        <f>D369/D366</f>
        <v>#DIV/0!</v>
      </c>
      <c r="E370" s="147" t="e">
        <f>E369/E366</f>
        <v>#DIV/0!</v>
      </c>
    </row>
    <row r="371" spans="1:5" ht="15.75" thickBot="1" x14ac:dyDescent="0.3">
      <c r="A371" s="133" t="s">
        <v>79</v>
      </c>
      <c r="B371" s="148"/>
      <c r="C371" s="149" t="e">
        <f>C366/B366-1</f>
        <v>#DIV/0!</v>
      </c>
      <c r="D371" s="149" t="e">
        <f>D366/C366-1</f>
        <v>#DIV/0!</v>
      </c>
      <c r="E371" s="149" t="e">
        <f>E366/D366-1</f>
        <v>#DIV/0!</v>
      </c>
    </row>
    <row r="372" spans="1:5" ht="15.75" thickBot="1" x14ac:dyDescent="0.3">
      <c r="A372" s="133" t="s">
        <v>81</v>
      </c>
      <c r="B372" s="148"/>
      <c r="C372" s="149" t="e">
        <f>C369/B369-1</f>
        <v>#DIV/0!</v>
      </c>
      <c r="D372" s="149" t="e">
        <f t="shared" ref="D372:E373" si="45">D369/C369-1</f>
        <v>#DIV/0!</v>
      </c>
      <c r="E372" s="149" t="e">
        <f t="shared" si="45"/>
        <v>#DIV/0!</v>
      </c>
    </row>
    <row r="373" spans="1:5" ht="23.25" thickBot="1" x14ac:dyDescent="0.3">
      <c r="A373" s="133" t="s">
        <v>82</v>
      </c>
      <c r="B373" s="148"/>
      <c r="C373" s="149" t="e">
        <f>C370/B370-1</f>
        <v>#DIV/0!</v>
      </c>
      <c r="D373" s="149" t="e">
        <f t="shared" si="45"/>
        <v>#DIV/0!</v>
      </c>
      <c r="E373" s="149" t="e">
        <f t="shared" si="45"/>
        <v>#DIV/0!</v>
      </c>
    </row>
    <row r="374" spans="1:5" ht="15.75" thickBot="1" x14ac:dyDescent="0.3">
      <c r="A374" s="1005" t="s">
        <v>437</v>
      </c>
      <c r="B374" s="1006"/>
      <c r="C374" s="1006"/>
      <c r="D374" s="1006"/>
      <c r="E374" s="1007"/>
    </row>
    <row r="375" spans="1:5" x14ac:dyDescent="0.25">
      <c r="A375" s="893"/>
      <c r="B375" s="145">
        <v>2018</v>
      </c>
      <c r="C375" s="145">
        <v>2019</v>
      </c>
      <c r="D375" s="145">
        <v>2020</v>
      </c>
      <c r="E375" s="145">
        <v>2021</v>
      </c>
    </row>
    <row r="376" spans="1:5" ht="15.75" thickBot="1" x14ac:dyDescent="0.3">
      <c r="A376" s="894"/>
      <c r="B376" s="146" t="s">
        <v>41</v>
      </c>
      <c r="C376" s="146" t="s">
        <v>42</v>
      </c>
      <c r="D376" s="146" t="s">
        <v>42</v>
      </c>
      <c r="E376" s="146" t="s">
        <v>42</v>
      </c>
    </row>
    <row r="377" spans="1:5" ht="15.75" thickBot="1" x14ac:dyDescent="0.3">
      <c r="A377" s="151" t="s">
        <v>84</v>
      </c>
      <c r="B377" s="142"/>
      <c r="C377" s="142"/>
      <c r="D377" s="142"/>
      <c r="E377" s="142"/>
    </row>
    <row r="378" spans="1:5" ht="24.75" thickBot="1" x14ac:dyDescent="0.3">
      <c r="A378" s="151" t="s">
        <v>85</v>
      </c>
      <c r="B378" s="142"/>
      <c r="C378" s="142"/>
      <c r="D378" s="142"/>
      <c r="E378" s="142"/>
    </row>
    <row r="379" spans="1:5" ht="15.75" thickBot="1" x14ac:dyDescent="0.3">
      <c r="A379" s="151" t="s">
        <v>86</v>
      </c>
      <c r="B379" s="158"/>
      <c r="C379" s="142"/>
      <c r="D379" s="142"/>
      <c r="E379" s="142"/>
    </row>
    <row r="380" spans="1:5" ht="15.75" thickBot="1" x14ac:dyDescent="0.3">
      <c r="A380" s="151" t="s">
        <v>87</v>
      </c>
      <c r="B380" s="158"/>
      <c r="C380" s="142"/>
      <c r="D380" s="142"/>
      <c r="E380" s="142"/>
    </row>
    <row r="381" spans="1:5" ht="24.75" thickBot="1" x14ac:dyDescent="0.3">
      <c r="A381" s="151" t="s">
        <v>88</v>
      </c>
      <c r="B381" s="158"/>
      <c r="C381" s="142"/>
      <c r="D381" s="142"/>
      <c r="E381" s="142"/>
    </row>
    <row r="382" spans="1:5" ht="15.75" thickBot="1" x14ac:dyDescent="0.3">
      <c r="A382" s="151" t="s">
        <v>89</v>
      </c>
      <c r="B382" s="158"/>
      <c r="C382" s="142"/>
      <c r="D382" s="142"/>
      <c r="E382" s="142"/>
    </row>
    <row r="383" spans="1:5" ht="24.75" thickBot="1" x14ac:dyDescent="0.3">
      <c r="A383" s="151" t="s">
        <v>90</v>
      </c>
      <c r="B383" s="158"/>
      <c r="C383" s="142"/>
      <c r="D383" s="142"/>
      <c r="E383" s="142"/>
    </row>
    <row r="384" spans="1:5" ht="24.75" thickBot="1" x14ac:dyDescent="0.3">
      <c r="A384" s="159" t="s">
        <v>176</v>
      </c>
      <c r="B384" s="158">
        <f>B383+B382+B381+B380+B379+B378+B377</f>
        <v>0</v>
      </c>
      <c r="C384" s="158">
        <f>C383+C382+C381+C380+C379+C378+C377</f>
        <v>0</v>
      </c>
      <c r="D384" s="158">
        <f>D383+D382+D381+D380+D379+D378+D377</f>
        <v>0</v>
      </c>
      <c r="E384" s="158">
        <f>E383+E382+E381+E380+E379+E378+E377</f>
        <v>0</v>
      </c>
    </row>
    <row r="385" spans="1:5" ht="15.75" thickBot="1" x14ac:dyDescent="0.3">
      <c r="A385" s="154" t="s">
        <v>92</v>
      </c>
      <c r="B385" s="160">
        <f>IF(B384-B369=0,0,"Error")</f>
        <v>0</v>
      </c>
      <c r="C385" s="160">
        <f>IF(C384-C369=0,0,"Error")</f>
        <v>0</v>
      </c>
      <c r="D385" s="160">
        <f>IF(D384-D369=0,0,"Error")</f>
        <v>0</v>
      </c>
      <c r="E385" s="160">
        <f>IF(E384-E369=0,0,"Error")</f>
        <v>0</v>
      </c>
    </row>
    <row r="386" spans="1:5" ht="15.75" thickBot="1" x14ac:dyDescent="0.3">
      <c r="A386" s="1011" t="s">
        <v>104</v>
      </c>
      <c r="B386" s="1012"/>
      <c r="C386" s="1012"/>
      <c r="D386" s="1012"/>
      <c r="E386" s="1013"/>
    </row>
    <row r="387" spans="1:5" ht="15.75" thickBot="1" x14ac:dyDescent="0.3">
      <c r="A387" s="1011" t="s">
        <v>105</v>
      </c>
      <c r="B387" s="1012"/>
      <c r="C387" s="1012"/>
      <c r="D387" s="1012"/>
      <c r="E387" s="1013"/>
    </row>
    <row r="388" spans="1:5" ht="23.25" thickBot="1" x14ac:dyDescent="0.3">
      <c r="A388" s="161" t="s">
        <v>106</v>
      </c>
      <c r="B388" s="1026"/>
      <c r="C388" s="1027"/>
      <c r="D388" s="1027"/>
      <c r="E388" s="1028"/>
    </row>
    <row r="389" spans="1:5" ht="15.75" thickBot="1" x14ac:dyDescent="0.3">
      <c r="A389" s="144" t="s">
        <v>108</v>
      </c>
      <c r="B389" s="1014" t="s">
        <v>444</v>
      </c>
      <c r="C389" s="1015"/>
      <c r="D389" s="1015"/>
      <c r="E389" s="1016"/>
    </row>
    <row r="390" spans="1:5" ht="15.75" thickBot="1" x14ac:dyDescent="0.3">
      <c r="A390" s="133" t="s">
        <v>72</v>
      </c>
      <c r="B390" s="945" t="s">
        <v>445</v>
      </c>
      <c r="C390" s="946"/>
      <c r="D390" s="946"/>
      <c r="E390" s="947"/>
    </row>
    <row r="391" spans="1:5" ht="15.75" thickBot="1" x14ac:dyDescent="0.3">
      <c r="A391" s="133" t="s">
        <v>74</v>
      </c>
      <c r="B391" s="1002" t="s">
        <v>446</v>
      </c>
      <c r="C391" s="1003"/>
      <c r="D391" s="1003"/>
      <c r="E391" s="1004"/>
    </row>
    <row r="392" spans="1:5" x14ac:dyDescent="0.25">
      <c r="A392" s="893"/>
      <c r="B392" s="145">
        <v>2018</v>
      </c>
      <c r="C392" s="145">
        <v>2019</v>
      </c>
      <c r="D392" s="145">
        <v>2020</v>
      </c>
      <c r="E392" s="145">
        <v>2021</v>
      </c>
    </row>
    <row r="393" spans="1:5" ht="15.75" thickBot="1" x14ac:dyDescent="0.3">
      <c r="A393" s="894"/>
      <c r="B393" s="146" t="s">
        <v>41</v>
      </c>
      <c r="C393" s="146" t="s">
        <v>42</v>
      </c>
      <c r="D393" s="146" t="s">
        <v>42</v>
      </c>
      <c r="E393" s="146" t="s">
        <v>42</v>
      </c>
    </row>
    <row r="394" spans="1:5" ht="15.75" thickBot="1" x14ac:dyDescent="0.3">
      <c r="A394" s="133" t="s">
        <v>76</v>
      </c>
      <c r="B394" s="147"/>
      <c r="C394" s="147">
        <v>36</v>
      </c>
      <c r="D394" s="147">
        <v>0</v>
      </c>
      <c r="E394" s="147">
        <v>64</v>
      </c>
    </row>
    <row r="395" spans="1:5" ht="15.75" thickBot="1" x14ac:dyDescent="0.3">
      <c r="A395" s="133" t="s">
        <v>77</v>
      </c>
      <c r="B395" s="147"/>
      <c r="C395" s="147">
        <v>5470</v>
      </c>
      <c r="D395" s="147">
        <v>0</v>
      </c>
      <c r="E395" s="147">
        <v>10000</v>
      </c>
    </row>
    <row r="396" spans="1:5" ht="15.75" thickBot="1" x14ac:dyDescent="0.3">
      <c r="A396" s="133" t="s">
        <v>78</v>
      </c>
      <c r="B396" s="147" t="e">
        <f>B395/B394</f>
        <v>#DIV/0!</v>
      </c>
      <c r="C396" s="147">
        <f t="shared" ref="C396:E396" si="46">C395/C394</f>
        <v>151.94444444444446</v>
      </c>
      <c r="D396" s="147" t="e">
        <f t="shared" si="46"/>
        <v>#DIV/0!</v>
      </c>
      <c r="E396" s="147">
        <f t="shared" si="46"/>
        <v>156.25</v>
      </c>
    </row>
    <row r="397" spans="1:5" ht="15.75" thickBot="1" x14ac:dyDescent="0.3">
      <c r="A397" s="133" t="s">
        <v>79</v>
      </c>
      <c r="B397" s="148" t="s">
        <v>80</v>
      </c>
      <c r="C397" s="149" t="e">
        <f>C394/B394-1</f>
        <v>#DIV/0!</v>
      </c>
      <c r="D397" s="149">
        <f t="shared" ref="D397:E399" si="47">D394/C394-1</f>
        <v>-1</v>
      </c>
      <c r="E397" s="149" t="e">
        <f t="shared" si="47"/>
        <v>#DIV/0!</v>
      </c>
    </row>
    <row r="398" spans="1:5" ht="15.75" thickBot="1" x14ac:dyDescent="0.3">
      <c r="A398" s="133" t="s">
        <v>81</v>
      </c>
      <c r="B398" s="148" t="s">
        <v>80</v>
      </c>
      <c r="C398" s="149" t="e">
        <f>C395/B395-1</f>
        <v>#DIV/0!</v>
      </c>
      <c r="D398" s="149">
        <f t="shared" si="47"/>
        <v>-1</v>
      </c>
      <c r="E398" s="149" t="e">
        <f t="shared" si="47"/>
        <v>#DIV/0!</v>
      </c>
    </row>
    <row r="399" spans="1:5" ht="23.25" thickBot="1" x14ac:dyDescent="0.3">
      <c r="A399" s="133" t="s">
        <v>82</v>
      </c>
      <c r="B399" s="148" t="s">
        <v>80</v>
      </c>
      <c r="C399" s="149" t="e">
        <f>C396/B396-1</f>
        <v>#DIV/0!</v>
      </c>
      <c r="D399" s="149" t="e">
        <f t="shared" si="47"/>
        <v>#DIV/0!</v>
      </c>
      <c r="E399" s="149" t="e">
        <f t="shared" si="47"/>
        <v>#DIV/0!</v>
      </c>
    </row>
    <row r="400" spans="1:5" ht="15.75" thickBot="1" x14ac:dyDescent="0.3">
      <c r="A400" s="1005" t="s">
        <v>83</v>
      </c>
      <c r="B400" s="1006"/>
      <c r="C400" s="1006"/>
      <c r="D400" s="1006"/>
      <c r="E400" s="1007"/>
    </row>
    <row r="401" spans="1:5" x14ac:dyDescent="0.25">
      <c r="A401" s="893"/>
      <c r="B401" s="145">
        <v>2018</v>
      </c>
      <c r="C401" s="145">
        <v>2019</v>
      </c>
      <c r="D401" s="145">
        <v>2020</v>
      </c>
      <c r="E401" s="145">
        <v>2021</v>
      </c>
    </row>
    <row r="402" spans="1:5" ht="15.75" thickBot="1" x14ac:dyDescent="0.3">
      <c r="A402" s="894"/>
      <c r="B402" s="146" t="s">
        <v>41</v>
      </c>
      <c r="C402" s="146" t="s">
        <v>42</v>
      </c>
      <c r="D402" s="146" t="s">
        <v>42</v>
      </c>
      <c r="E402" s="146" t="s">
        <v>42</v>
      </c>
    </row>
    <row r="403" spans="1:5" ht="15.75" thickBot="1" x14ac:dyDescent="0.3">
      <c r="A403" s="151" t="s">
        <v>169</v>
      </c>
      <c r="B403" s="142"/>
      <c r="C403" s="142"/>
      <c r="D403" s="142"/>
      <c r="E403" s="142"/>
    </row>
    <row r="404" spans="1:5" ht="15.75" thickBot="1" x14ac:dyDescent="0.3">
      <c r="A404" s="151" t="s">
        <v>112</v>
      </c>
      <c r="B404" s="147">
        <v>0</v>
      </c>
      <c r="C404" s="147">
        <v>5470</v>
      </c>
      <c r="D404" s="147">
        <v>0</v>
      </c>
      <c r="E404" s="147">
        <v>10000</v>
      </c>
    </row>
    <row r="405" spans="1:5" ht="15.75" thickBot="1" x14ac:dyDescent="0.3">
      <c r="A405" s="153" t="s">
        <v>91</v>
      </c>
      <c r="B405" s="158">
        <f>B404+B403</f>
        <v>0</v>
      </c>
      <c r="C405" s="158">
        <f t="shared" ref="C405:E405" si="48">C404+C403</f>
        <v>5470</v>
      </c>
      <c r="D405" s="158">
        <f t="shared" si="48"/>
        <v>0</v>
      </c>
      <c r="E405" s="158">
        <f t="shared" si="48"/>
        <v>10000</v>
      </c>
    </row>
    <row r="406" spans="1:5" x14ac:dyDescent="0.25">
      <c r="A406" s="902" t="s">
        <v>113</v>
      </c>
      <c r="B406" s="905"/>
      <c r="C406" s="906"/>
      <c r="D406" s="906"/>
      <c r="E406" s="907"/>
    </row>
    <row r="407" spans="1:5" x14ac:dyDescent="0.25">
      <c r="A407" s="903"/>
      <c r="B407" s="908"/>
      <c r="C407" s="909"/>
      <c r="D407" s="909"/>
      <c r="E407" s="910"/>
    </row>
    <row r="408" spans="1:5" ht="15.75" thickBot="1" x14ac:dyDescent="0.3">
      <c r="A408" s="904"/>
      <c r="B408" s="911"/>
      <c r="C408" s="912"/>
      <c r="D408" s="912"/>
      <c r="E408" s="913"/>
    </row>
    <row r="409" spans="1:5" ht="15.75" thickBot="1" x14ac:dyDescent="0.3">
      <c r="A409" s="161" t="s">
        <v>257</v>
      </c>
      <c r="B409" s="1026" t="s">
        <v>447</v>
      </c>
      <c r="C409" s="1027"/>
      <c r="D409" s="1027"/>
      <c r="E409" s="1028"/>
    </row>
    <row r="410" spans="1:5" ht="23.25" thickBot="1" x14ac:dyDescent="0.3">
      <c r="A410" s="144" t="s">
        <v>365</v>
      </c>
      <c r="B410" s="822" t="s">
        <v>448</v>
      </c>
      <c r="C410" s="823"/>
      <c r="D410" s="823"/>
      <c r="E410" s="824"/>
    </row>
    <row r="411" spans="1:5" ht="15.75" thickBot="1" x14ac:dyDescent="0.3">
      <c r="A411" s="133" t="s">
        <v>72</v>
      </c>
      <c r="B411" s="859" t="s">
        <v>449</v>
      </c>
      <c r="C411" s="860"/>
      <c r="D411" s="860"/>
      <c r="E411" s="861"/>
    </row>
    <row r="412" spans="1:5" ht="15.75" thickBot="1" x14ac:dyDescent="0.3">
      <c r="A412" s="133" t="s">
        <v>74</v>
      </c>
      <c r="B412" s="1002" t="s">
        <v>446</v>
      </c>
      <c r="C412" s="1003"/>
      <c r="D412" s="1003"/>
      <c r="E412" s="1004"/>
    </row>
    <row r="413" spans="1:5" x14ac:dyDescent="0.25">
      <c r="A413" s="893"/>
      <c r="B413" s="145">
        <v>2018</v>
      </c>
      <c r="C413" s="145">
        <v>2019</v>
      </c>
      <c r="D413" s="145">
        <v>2020</v>
      </c>
      <c r="E413" s="145">
        <v>2021</v>
      </c>
    </row>
    <row r="414" spans="1:5" ht="15.75" thickBot="1" x14ac:dyDescent="0.3">
      <c r="A414" s="894"/>
      <c r="B414" s="146" t="s">
        <v>41</v>
      </c>
      <c r="C414" s="146" t="s">
        <v>42</v>
      </c>
      <c r="D414" s="146" t="s">
        <v>42</v>
      </c>
      <c r="E414" s="146" t="s">
        <v>42</v>
      </c>
    </row>
    <row r="415" spans="1:5" ht="15.75" thickBot="1" x14ac:dyDescent="0.3">
      <c r="A415" s="133" t="s">
        <v>76</v>
      </c>
      <c r="B415" s="147">
        <v>1</v>
      </c>
      <c r="C415" s="147">
        <v>0</v>
      </c>
      <c r="D415" s="147">
        <v>0</v>
      </c>
      <c r="E415" s="147">
        <v>0</v>
      </c>
    </row>
    <row r="416" spans="1:5" ht="15.75" thickBot="1" x14ac:dyDescent="0.3">
      <c r="A416" s="133" t="s">
        <v>77</v>
      </c>
      <c r="B416" s="147">
        <v>4700</v>
      </c>
      <c r="C416" s="147">
        <v>0</v>
      </c>
      <c r="D416" s="147">
        <v>0</v>
      </c>
      <c r="E416" s="147">
        <v>0</v>
      </c>
    </row>
    <row r="417" spans="1:5" ht="15.75" thickBot="1" x14ac:dyDescent="0.3">
      <c r="A417" s="133" t="s">
        <v>78</v>
      </c>
      <c r="B417" s="147">
        <f>B416/B415</f>
        <v>4700</v>
      </c>
      <c r="C417" s="147" t="e">
        <f t="shared" ref="C417:E417" si="49">C416/C415</f>
        <v>#DIV/0!</v>
      </c>
      <c r="D417" s="147" t="e">
        <f t="shared" si="49"/>
        <v>#DIV/0!</v>
      </c>
      <c r="E417" s="147" t="e">
        <f t="shared" si="49"/>
        <v>#DIV/0!</v>
      </c>
    </row>
    <row r="418" spans="1:5" ht="15.75" thickBot="1" x14ac:dyDescent="0.3">
      <c r="A418" s="133" t="s">
        <v>79</v>
      </c>
      <c r="B418" s="148" t="s">
        <v>80</v>
      </c>
      <c r="C418" s="149">
        <f>C415/B415-1</f>
        <v>-1</v>
      </c>
      <c r="D418" s="149" t="e">
        <f t="shared" ref="D418:E420" si="50">D415/C415-1</f>
        <v>#DIV/0!</v>
      </c>
      <c r="E418" s="149" t="e">
        <f t="shared" si="50"/>
        <v>#DIV/0!</v>
      </c>
    </row>
    <row r="419" spans="1:5" ht="15.75" thickBot="1" x14ac:dyDescent="0.3">
      <c r="A419" s="133" t="s">
        <v>81</v>
      </c>
      <c r="B419" s="148" t="s">
        <v>80</v>
      </c>
      <c r="C419" s="149">
        <f>C416/B416-1</f>
        <v>-1</v>
      </c>
      <c r="D419" s="149" t="e">
        <f t="shared" si="50"/>
        <v>#DIV/0!</v>
      </c>
      <c r="E419" s="149" t="e">
        <f t="shared" si="50"/>
        <v>#DIV/0!</v>
      </c>
    </row>
    <row r="420" spans="1:5" ht="23.25" thickBot="1" x14ac:dyDescent="0.3">
      <c r="A420" s="133" t="s">
        <v>82</v>
      </c>
      <c r="B420" s="148" t="s">
        <v>80</v>
      </c>
      <c r="C420" s="149" t="e">
        <f>C417/B417-1</f>
        <v>#DIV/0!</v>
      </c>
      <c r="D420" s="149" t="e">
        <f t="shared" si="50"/>
        <v>#DIV/0!</v>
      </c>
      <c r="E420" s="149" t="e">
        <f t="shared" si="50"/>
        <v>#DIV/0!</v>
      </c>
    </row>
    <row r="421" spans="1:5" ht="15.75" thickBot="1" x14ac:dyDescent="0.3">
      <c r="A421" s="1005" t="s">
        <v>366</v>
      </c>
      <c r="B421" s="1006"/>
      <c r="C421" s="1006"/>
      <c r="D421" s="1006"/>
      <c r="E421" s="1007"/>
    </row>
    <row r="422" spans="1:5" x14ac:dyDescent="0.25">
      <c r="A422" s="893"/>
      <c r="B422" s="145">
        <v>2018</v>
      </c>
      <c r="C422" s="145">
        <v>2019</v>
      </c>
      <c r="D422" s="145">
        <v>2020</v>
      </c>
      <c r="E422" s="145">
        <v>2021</v>
      </c>
    </row>
    <row r="423" spans="1:5" ht="15.75" thickBot="1" x14ac:dyDescent="0.3">
      <c r="A423" s="894"/>
      <c r="B423" s="146" t="s">
        <v>41</v>
      </c>
      <c r="C423" s="146" t="s">
        <v>42</v>
      </c>
      <c r="D423" s="146" t="s">
        <v>42</v>
      </c>
      <c r="E423" s="146" t="s">
        <v>42</v>
      </c>
    </row>
    <row r="424" spans="1:5" ht="15.75" thickBot="1" x14ac:dyDescent="0.3">
      <c r="A424" s="151" t="s">
        <v>169</v>
      </c>
      <c r="B424" s="142"/>
      <c r="C424" s="142"/>
      <c r="D424" s="142"/>
      <c r="E424" s="142"/>
    </row>
    <row r="425" spans="1:5" ht="15.75" thickBot="1" x14ac:dyDescent="0.3">
      <c r="A425" s="151" t="s">
        <v>112</v>
      </c>
      <c r="B425" s="147">
        <v>4700</v>
      </c>
      <c r="C425" s="147">
        <v>0</v>
      </c>
      <c r="D425" s="147">
        <v>0</v>
      </c>
      <c r="E425" s="147">
        <v>0</v>
      </c>
    </row>
    <row r="426" spans="1:5" ht="24.75" thickBot="1" x14ac:dyDescent="0.3">
      <c r="A426" s="153" t="s">
        <v>176</v>
      </c>
      <c r="B426" s="158">
        <f>B425+B424</f>
        <v>4700</v>
      </c>
      <c r="C426" s="158">
        <f t="shared" ref="C426:E426" si="51">C425+C424</f>
        <v>0</v>
      </c>
      <c r="D426" s="158">
        <f t="shared" si="51"/>
        <v>0</v>
      </c>
      <c r="E426" s="158">
        <f t="shared" si="51"/>
        <v>0</v>
      </c>
    </row>
    <row r="427" spans="1:5" ht="15.75" thickBot="1" x14ac:dyDescent="0.3">
      <c r="A427" s="1011" t="s">
        <v>104</v>
      </c>
      <c r="B427" s="1012"/>
      <c r="C427" s="1012"/>
      <c r="D427" s="1012"/>
      <c r="E427" s="1013"/>
    </row>
    <row r="428" spans="1:5" ht="15.75" thickBot="1" x14ac:dyDescent="0.3">
      <c r="A428" s="1011" t="s">
        <v>170</v>
      </c>
      <c r="B428" s="1012"/>
      <c r="C428" s="1012"/>
      <c r="D428" s="1012"/>
      <c r="E428" s="1013"/>
    </row>
    <row r="429" spans="1:5" ht="15.75" thickBot="1" x14ac:dyDescent="0.3">
      <c r="A429" s="161" t="s">
        <v>257</v>
      </c>
      <c r="B429" s="1026" t="s">
        <v>450</v>
      </c>
      <c r="C429" s="1027"/>
      <c r="D429" s="1027"/>
      <c r="E429" s="1028"/>
    </row>
    <row r="430" spans="1:5" ht="15.75" thickBot="1" x14ac:dyDescent="0.3">
      <c r="A430" s="144" t="s">
        <v>108</v>
      </c>
      <c r="B430" s="1035" t="s">
        <v>451</v>
      </c>
      <c r="C430" s="1036"/>
      <c r="D430" s="1036"/>
      <c r="E430" s="1037"/>
    </row>
    <row r="431" spans="1:5" ht="15.75" thickBot="1" x14ac:dyDescent="0.3">
      <c r="A431" s="133" t="s">
        <v>72</v>
      </c>
      <c r="B431" s="856" t="s">
        <v>452</v>
      </c>
      <c r="C431" s="857"/>
      <c r="D431" s="857"/>
      <c r="E431" s="858"/>
    </row>
    <row r="432" spans="1:5" ht="15.75" thickBot="1" x14ac:dyDescent="0.3">
      <c r="A432" s="133" t="s">
        <v>74</v>
      </c>
      <c r="B432" s="1002" t="s">
        <v>446</v>
      </c>
      <c r="C432" s="1003"/>
      <c r="D432" s="1003"/>
      <c r="E432" s="1004"/>
    </row>
    <row r="433" spans="1:5" x14ac:dyDescent="0.25">
      <c r="A433" s="893"/>
      <c r="B433" s="145">
        <v>2018</v>
      </c>
      <c r="C433" s="145">
        <v>2019</v>
      </c>
      <c r="D433" s="145">
        <v>2020</v>
      </c>
      <c r="E433" s="145">
        <v>2021</v>
      </c>
    </row>
    <row r="434" spans="1:5" ht="15.75" thickBot="1" x14ac:dyDescent="0.3">
      <c r="A434" s="894"/>
      <c r="B434" s="146" t="s">
        <v>41</v>
      </c>
      <c r="C434" s="146" t="s">
        <v>42</v>
      </c>
      <c r="D434" s="146" t="s">
        <v>42</v>
      </c>
      <c r="E434" s="146" t="s">
        <v>42</v>
      </c>
    </row>
    <row r="435" spans="1:5" ht="15.75" thickBot="1" x14ac:dyDescent="0.3">
      <c r="A435" s="133" t="s">
        <v>76</v>
      </c>
      <c r="B435" s="147">
        <v>1</v>
      </c>
      <c r="C435" s="147">
        <v>0</v>
      </c>
      <c r="D435" s="147">
        <v>0</v>
      </c>
      <c r="E435" s="147">
        <v>0</v>
      </c>
    </row>
    <row r="436" spans="1:5" ht="15.75" thickBot="1" x14ac:dyDescent="0.3">
      <c r="A436" s="133" t="s">
        <v>77</v>
      </c>
      <c r="B436" s="147">
        <v>1300</v>
      </c>
      <c r="C436" s="147">
        <v>0</v>
      </c>
      <c r="D436" s="147">
        <v>0</v>
      </c>
      <c r="E436" s="147">
        <v>0</v>
      </c>
    </row>
    <row r="437" spans="1:5" ht="15.75" thickBot="1" x14ac:dyDescent="0.3">
      <c r="A437" s="133" t="s">
        <v>78</v>
      </c>
      <c r="B437" s="147">
        <f>B436/B435</f>
        <v>1300</v>
      </c>
      <c r="C437" s="147" t="e">
        <f t="shared" ref="C437:E437" si="52">C436/C435</f>
        <v>#DIV/0!</v>
      </c>
      <c r="D437" s="147" t="e">
        <f t="shared" si="52"/>
        <v>#DIV/0!</v>
      </c>
      <c r="E437" s="147" t="e">
        <f t="shared" si="52"/>
        <v>#DIV/0!</v>
      </c>
    </row>
    <row r="438" spans="1:5" ht="15.75" thickBot="1" x14ac:dyDescent="0.3">
      <c r="A438" s="133" t="s">
        <v>79</v>
      </c>
      <c r="B438" s="148" t="s">
        <v>80</v>
      </c>
      <c r="C438" s="149">
        <f>C435/B435-1</f>
        <v>-1</v>
      </c>
      <c r="D438" s="149" t="e">
        <f t="shared" ref="D438:E440" si="53">D435/C435-1</f>
        <v>#DIV/0!</v>
      </c>
      <c r="E438" s="149" t="e">
        <f t="shared" si="53"/>
        <v>#DIV/0!</v>
      </c>
    </row>
    <row r="439" spans="1:5" ht="15.75" thickBot="1" x14ac:dyDescent="0.3">
      <c r="A439" s="133" t="s">
        <v>81</v>
      </c>
      <c r="B439" s="148" t="s">
        <v>80</v>
      </c>
      <c r="C439" s="149">
        <f>C436/B436-1</f>
        <v>-1</v>
      </c>
      <c r="D439" s="149" t="e">
        <f t="shared" si="53"/>
        <v>#DIV/0!</v>
      </c>
      <c r="E439" s="149" t="e">
        <f t="shared" si="53"/>
        <v>#DIV/0!</v>
      </c>
    </row>
    <row r="440" spans="1:5" ht="23.25" thickBot="1" x14ac:dyDescent="0.3">
      <c r="A440" s="133" t="s">
        <v>82</v>
      </c>
      <c r="B440" s="148" t="s">
        <v>80</v>
      </c>
      <c r="C440" s="149" t="e">
        <f>C437/B437-1</f>
        <v>#DIV/0!</v>
      </c>
      <c r="D440" s="149" t="e">
        <f t="shared" si="53"/>
        <v>#DIV/0!</v>
      </c>
      <c r="E440" s="149" t="e">
        <f t="shared" si="53"/>
        <v>#DIV/0!</v>
      </c>
    </row>
    <row r="441" spans="1:5" ht="15.75" thickBot="1" x14ac:dyDescent="0.3">
      <c r="A441" s="1005" t="s">
        <v>83</v>
      </c>
      <c r="B441" s="1006"/>
      <c r="C441" s="1006"/>
      <c r="D441" s="1006"/>
      <c r="E441" s="1007"/>
    </row>
    <row r="442" spans="1:5" x14ac:dyDescent="0.25">
      <c r="A442" s="893"/>
      <c r="B442" s="145">
        <v>2018</v>
      </c>
      <c r="C442" s="145">
        <v>2019</v>
      </c>
      <c r="D442" s="145">
        <v>2020</v>
      </c>
      <c r="E442" s="145">
        <v>2021</v>
      </c>
    </row>
    <row r="443" spans="1:5" ht="15.75" thickBot="1" x14ac:dyDescent="0.3">
      <c r="A443" s="894"/>
      <c r="B443" s="146" t="s">
        <v>41</v>
      </c>
      <c r="C443" s="146" t="s">
        <v>42</v>
      </c>
      <c r="D443" s="146" t="s">
        <v>42</v>
      </c>
      <c r="E443" s="146" t="s">
        <v>42</v>
      </c>
    </row>
    <row r="444" spans="1:5" ht="15.75" thickBot="1" x14ac:dyDescent="0.3">
      <c r="A444" s="151" t="s">
        <v>169</v>
      </c>
      <c r="B444" s="147">
        <v>0</v>
      </c>
      <c r="C444" s="142"/>
      <c r="D444" s="142"/>
      <c r="E444" s="142"/>
    </row>
    <row r="445" spans="1:5" ht="15.75" thickBot="1" x14ac:dyDescent="0.3">
      <c r="A445" s="151" t="s">
        <v>112</v>
      </c>
      <c r="B445" s="158">
        <v>1300</v>
      </c>
      <c r="C445" s="142">
        <v>0</v>
      </c>
      <c r="D445" s="142">
        <v>0</v>
      </c>
      <c r="E445" s="142">
        <v>0</v>
      </c>
    </row>
    <row r="446" spans="1:5" ht="15.75" thickBot="1" x14ac:dyDescent="0.3">
      <c r="A446" s="153" t="s">
        <v>91</v>
      </c>
      <c r="B446" s="158">
        <f>B445+B444</f>
        <v>1300</v>
      </c>
      <c r="C446" s="158">
        <f t="shared" ref="C446:E446" si="54">C445+C444</f>
        <v>0</v>
      </c>
      <c r="D446" s="158">
        <f t="shared" si="54"/>
        <v>0</v>
      </c>
      <c r="E446" s="158">
        <f t="shared" si="54"/>
        <v>0</v>
      </c>
    </row>
    <row r="447" spans="1:5" ht="15.75" thickBot="1" x14ac:dyDescent="0.3">
      <c r="A447" s="164" t="s">
        <v>257</v>
      </c>
      <c r="B447" s="1026" t="s">
        <v>107</v>
      </c>
      <c r="C447" s="1027"/>
      <c r="D447" s="1027"/>
      <c r="E447" s="1028"/>
    </row>
    <row r="448" spans="1:5" ht="23.25" thickBot="1" x14ac:dyDescent="0.3">
      <c r="A448" s="144" t="s">
        <v>365</v>
      </c>
      <c r="B448" s="1014" t="s">
        <v>451</v>
      </c>
      <c r="C448" s="1015"/>
      <c r="D448" s="1015"/>
      <c r="E448" s="1016"/>
    </row>
    <row r="449" spans="1:5" ht="84" customHeight="1" thickBot="1" x14ac:dyDescent="0.3">
      <c r="A449" s="133" t="s">
        <v>72</v>
      </c>
      <c r="B449" s="884" t="s">
        <v>453</v>
      </c>
      <c r="C449" s="885"/>
      <c r="D449" s="885"/>
      <c r="E449" s="886"/>
    </row>
    <row r="450" spans="1:5" ht="15.75" thickBot="1" x14ac:dyDescent="0.3">
      <c r="A450" s="133" t="s">
        <v>74</v>
      </c>
      <c r="B450" s="1002" t="s">
        <v>364</v>
      </c>
      <c r="C450" s="1003"/>
      <c r="D450" s="1003"/>
      <c r="E450" s="1004"/>
    </row>
    <row r="451" spans="1:5" x14ac:dyDescent="0.25">
      <c r="A451" s="893"/>
      <c r="B451" s="145">
        <v>2018</v>
      </c>
      <c r="C451" s="145">
        <v>2019</v>
      </c>
      <c r="D451" s="145">
        <v>2020</v>
      </c>
      <c r="E451" s="145">
        <v>2021</v>
      </c>
    </row>
    <row r="452" spans="1:5" ht="15.75" thickBot="1" x14ac:dyDescent="0.3">
      <c r="A452" s="894"/>
      <c r="B452" s="146" t="s">
        <v>41</v>
      </c>
      <c r="C452" s="146" t="s">
        <v>42</v>
      </c>
      <c r="D452" s="146" t="s">
        <v>42</v>
      </c>
      <c r="E452" s="146" t="s">
        <v>42</v>
      </c>
    </row>
    <row r="453" spans="1:5" ht="15.75" thickBot="1" x14ac:dyDescent="0.3">
      <c r="A453" s="133" t="s">
        <v>76</v>
      </c>
      <c r="B453" s="147"/>
      <c r="C453" s="147">
        <v>2</v>
      </c>
      <c r="D453" s="147">
        <v>4</v>
      </c>
      <c r="E453" s="147">
        <v>0</v>
      </c>
    </row>
    <row r="454" spans="1:5" ht="15.75" thickBot="1" x14ac:dyDescent="0.3">
      <c r="A454" s="133" t="s">
        <v>77</v>
      </c>
      <c r="B454" s="147"/>
      <c r="C454" s="147">
        <v>530</v>
      </c>
      <c r="D454" s="147">
        <v>5700</v>
      </c>
      <c r="E454" s="147">
        <v>0</v>
      </c>
    </row>
    <row r="455" spans="1:5" ht="15.75" thickBot="1" x14ac:dyDescent="0.3">
      <c r="A455" s="133" t="s">
        <v>78</v>
      </c>
      <c r="B455" s="147" t="e">
        <f>B454/B453</f>
        <v>#DIV/0!</v>
      </c>
      <c r="C455" s="147">
        <f t="shared" ref="C455:E455" si="55">C454/C453</f>
        <v>265</v>
      </c>
      <c r="D455" s="147">
        <f t="shared" si="55"/>
        <v>1425</v>
      </c>
      <c r="E455" s="147" t="e">
        <f t="shared" si="55"/>
        <v>#DIV/0!</v>
      </c>
    </row>
    <row r="456" spans="1:5" ht="15.75" thickBot="1" x14ac:dyDescent="0.3">
      <c r="A456" s="133" t="s">
        <v>79</v>
      </c>
      <c r="B456" s="148" t="s">
        <v>80</v>
      </c>
      <c r="C456" s="149" t="e">
        <f>C453/B453-1</f>
        <v>#DIV/0!</v>
      </c>
      <c r="D456" s="149">
        <f t="shared" ref="D456:E458" si="56">D453/C453-1</f>
        <v>1</v>
      </c>
      <c r="E456" s="149">
        <f t="shared" si="56"/>
        <v>-1</v>
      </c>
    </row>
    <row r="457" spans="1:5" ht="15.75" thickBot="1" x14ac:dyDescent="0.3">
      <c r="A457" s="133" t="s">
        <v>81</v>
      </c>
      <c r="B457" s="148" t="s">
        <v>80</v>
      </c>
      <c r="C457" s="149" t="e">
        <f>C454/B454-1</f>
        <v>#DIV/0!</v>
      </c>
      <c r="D457" s="149">
        <f t="shared" si="56"/>
        <v>9.7547169811320753</v>
      </c>
      <c r="E457" s="149">
        <f t="shared" si="56"/>
        <v>-1</v>
      </c>
    </row>
    <row r="458" spans="1:5" ht="23.25" thickBot="1" x14ac:dyDescent="0.3">
      <c r="A458" s="133" t="s">
        <v>82</v>
      </c>
      <c r="B458" s="148" t="s">
        <v>80</v>
      </c>
      <c r="C458" s="149" t="e">
        <f>C455/B455-1</f>
        <v>#DIV/0!</v>
      </c>
      <c r="D458" s="149">
        <f t="shared" si="56"/>
        <v>4.3773584905660377</v>
      </c>
      <c r="E458" s="149" t="e">
        <f t="shared" si="56"/>
        <v>#DIV/0!</v>
      </c>
    </row>
    <row r="459" spans="1:5" ht="15.75" thickBot="1" x14ac:dyDescent="0.3">
      <c r="A459" s="1005" t="s">
        <v>366</v>
      </c>
      <c r="B459" s="1006"/>
      <c r="C459" s="1006"/>
      <c r="D459" s="1006"/>
      <c r="E459" s="1007"/>
    </row>
    <row r="460" spans="1:5" x14ac:dyDescent="0.25">
      <c r="A460" s="893"/>
      <c r="B460" s="145">
        <v>2018</v>
      </c>
      <c r="C460" s="145">
        <v>2019</v>
      </c>
      <c r="D460" s="145">
        <v>2020</v>
      </c>
      <c r="E460" s="145">
        <v>2021</v>
      </c>
    </row>
    <row r="461" spans="1:5" ht="15.75" thickBot="1" x14ac:dyDescent="0.3">
      <c r="A461" s="894"/>
      <c r="B461" s="146" t="s">
        <v>41</v>
      </c>
      <c r="C461" s="146" t="s">
        <v>42</v>
      </c>
      <c r="D461" s="146" t="s">
        <v>42</v>
      </c>
      <c r="E461" s="146" t="s">
        <v>42</v>
      </c>
    </row>
    <row r="462" spans="1:5" ht="15.75" thickBot="1" x14ac:dyDescent="0.3">
      <c r="A462" s="151" t="s">
        <v>169</v>
      </c>
      <c r="B462" s="142"/>
      <c r="C462" s="142"/>
      <c r="D462" s="142"/>
      <c r="E462" s="142"/>
    </row>
    <row r="463" spans="1:5" ht="15.75" thickBot="1" x14ac:dyDescent="0.3">
      <c r="A463" s="151" t="s">
        <v>112</v>
      </c>
      <c r="B463" s="147">
        <v>0</v>
      </c>
      <c r="C463" s="142">
        <v>530</v>
      </c>
      <c r="D463" s="142">
        <v>5700</v>
      </c>
      <c r="E463" s="142"/>
    </row>
    <row r="464" spans="1:5" ht="24.75" thickBot="1" x14ac:dyDescent="0.3">
      <c r="A464" s="153" t="s">
        <v>176</v>
      </c>
      <c r="B464" s="158">
        <f>B463+B462</f>
        <v>0</v>
      </c>
      <c r="C464" s="158">
        <f t="shared" ref="C464:E464" si="57">C463+C462</f>
        <v>530</v>
      </c>
      <c r="D464" s="158">
        <f t="shared" si="57"/>
        <v>5700</v>
      </c>
      <c r="E464" s="158">
        <f t="shared" si="57"/>
        <v>0</v>
      </c>
    </row>
    <row r="465" spans="1:5" ht="24.75" thickBot="1" x14ac:dyDescent="0.3">
      <c r="A465" s="288" t="s">
        <v>181</v>
      </c>
      <c r="B465" s="1032" t="s">
        <v>364</v>
      </c>
      <c r="C465" s="1033"/>
      <c r="D465" s="1033"/>
      <c r="E465" s="1034"/>
    </row>
    <row r="466" spans="1:5" ht="15.75" thickBot="1" x14ac:dyDescent="0.3">
      <c r="A466" s="945" t="s">
        <v>183</v>
      </c>
      <c r="B466" s="946"/>
      <c r="C466" s="946"/>
      <c r="D466" s="946"/>
      <c r="E466" s="947"/>
    </row>
    <row r="467" spans="1:5" ht="15.75" thickBot="1" x14ac:dyDescent="0.3">
      <c r="A467" s="131" t="s">
        <v>443</v>
      </c>
      <c r="B467" s="132" t="s">
        <v>60</v>
      </c>
      <c r="C467" s="132" t="s">
        <v>61</v>
      </c>
      <c r="D467" s="132" t="s">
        <v>61</v>
      </c>
      <c r="E467" s="132" t="s">
        <v>61</v>
      </c>
    </row>
    <row r="468" spans="1:5" ht="15.75" thickBot="1" x14ac:dyDescent="0.3">
      <c r="A468" s="133" t="s">
        <v>370</v>
      </c>
      <c r="B468" s="132" t="s">
        <v>60</v>
      </c>
      <c r="C468" s="132" t="s">
        <v>61</v>
      </c>
      <c r="D468" s="132" t="s">
        <v>61</v>
      </c>
      <c r="E468" s="132" t="s">
        <v>61</v>
      </c>
    </row>
    <row r="469" spans="1:5" ht="23.25" thickBot="1" x14ac:dyDescent="0.3">
      <c r="A469" s="133" t="s">
        <v>343</v>
      </c>
      <c r="B469" s="132" t="s">
        <v>60</v>
      </c>
      <c r="C469" s="132" t="s">
        <v>61</v>
      </c>
      <c r="D469" s="132" t="s">
        <v>61</v>
      </c>
      <c r="E469" s="132" t="s">
        <v>61</v>
      </c>
    </row>
    <row r="470" spans="1:5" ht="15.75" thickBot="1" x14ac:dyDescent="0.3">
      <c r="A470" s="895" t="s">
        <v>196</v>
      </c>
      <c r="B470" s="896"/>
      <c r="C470" s="896"/>
      <c r="D470" s="896"/>
      <c r="E470" s="897"/>
    </row>
    <row r="471" spans="1:5" ht="15.75" thickBot="1" x14ac:dyDescent="0.3">
      <c r="A471" s="1029" t="s">
        <v>114</v>
      </c>
      <c r="B471" s="1030"/>
      <c r="C471" s="1030"/>
      <c r="D471" s="1030"/>
      <c r="E471" s="1031"/>
    </row>
    <row r="472" spans="1:5" x14ac:dyDescent="0.25">
      <c r="A472" s="893"/>
      <c r="B472" s="145">
        <v>2018</v>
      </c>
      <c r="C472" s="145">
        <v>2019</v>
      </c>
      <c r="D472" s="145">
        <v>2020</v>
      </c>
      <c r="E472" s="145">
        <v>2021</v>
      </c>
    </row>
    <row r="473" spans="1:5" ht="15.75" thickBot="1" x14ac:dyDescent="0.3">
      <c r="A473" s="894"/>
      <c r="B473" s="146" t="s">
        <v>41</v>
      </c>
      <c r="C473" s="146" t="s">
        <v>42</v>
      </c>
      <c r="D473" s="146" t="s">
        <v>42</v>
      </c>
      <c r="E473" s="146" t="s">
        <v>42</v>
      </c>
    </row>
    <row r="474" spans="1:5" ht="15.75" thickBot="1" x14ac:dyDescent="0.3">
      <c r="A474" s="144" t="s">
        <v>108</v>
      </c>
      <c r="B474" s="1014" t="s">
        <v>364</v>
      </c>
      <c r="C474" s="1015"/>
      <c r="D474" s="1015"/>
      <c r="E474" s="1016"/>
    </row>
    <row r="475" spans="1:5" ht="15.75" thickBot="1" x14ac:dyDescent="0.3">
      <c r="A475" s="133" t="s">
        <v>72</v>
      </c>
      <c r="B475" s="945" t="s">
        <v>364</v>
      </c>
      <c r="C475" s="946"/>
      <c r="D475" s="946"/>
      <c r="E475" s="947"/>
    </row>
    <row r="476" spans="1:5" ht="15.75" thickBot="1" x14ac:dyDescent="0.3">
      <c r="A476" s="133" t="s">
        <v>74</v>
      </c>
      <c r="B476" s="1002" t="s">
        <v>364</v>
      </c>
      <c r="C476" s="1003"/>
      <c r="D476" s="1003"/>
      <c r="E476" s="1004"/>
    </row>
    <row r="477" spans="1:5" x14ac:dyDescent="0.25">
      <c r="A477" s="893"/>
      <c r="B477" s="145">
        <v>2018</v>
      </c>
      <c r="C477" s="145">
        <v>2019</v>
      </c>
      <c r="D477" s="145">
        <v>2020</v>
      </c>
      <c r="E477" s="145">
        <v>2021</v>
      </c>
    </row>
    <row r="478" spans="1:5" ht="15.75" thickBot="1" x14ac:dyDescent="0.3">
      <c r="A478" s="894"/>
      <c r="B478" s="146" t="s">
        <v>41</v>
      </c>
      <c r="C478" s="146" t="s">
        <v>42</v>
      </c>
      <c r="D478" s="146" t="s">
        <v>42</v>
      </c>
      <c r="E478" s="146" t="s">
        <v>42</v>
      </c>
    </row>
    <row r="479" spans="1:5" ht="15.75" thickBot="1" x14ac:dyDescent="0.3">
      <c r="A479" s="133" t="s">
        <v>76</v>
      </c>
      <c r="B479" s="147"/>
      <c r="C479" s="183"/>
      <c r="D479" s="183"/>
      <c r="E479" s="183"/>
    </row>
    <row r="480" spans="1:5" ht="15.75" thickBot="1" x14ac:dyDescent="0.3">
      <c r="A480" s="133" t="s">
        <v>77</v>
      </c>
      <c r="B480" s="147"/>
      <c r="C480" s="147"/>
      <c r="D480" s="147"/>
      <c r="E480" s="147"/>
    </row>
    <row r="481" spans="1:5" ht="15.75" thickBot="1" x14ac:dyDescent="0.3">
      <c r="A481" s="133" t="s">
        <v>78</v>
      </c>
      <c r="B481" s="147" t="e">
        <f>B480/B479</f>
        <v>#DIV/0!</v>
      </c>
      <c r="C481" s="147" t="e">
        <f t="shared" ref="C481:E481" si="58">C480/C479</f>
        <v>#DIV/0!</v>
      </c>
      <c r="D481" s="147" t="e">
        <f t="shared" si="58"/>
        <v>#DIV/0!</v>
      </c>
      <c r="E481" s="147" t="e">
        <f t="shared" si="58"/>
        <v>#DIV/0!</v>
      </c>
    </row>
    <row r="482" spans="1:5" ht="15.75" thickBot="1" x14ac:dyDescent="0.3">
      <c r="A482" s="133" t="s">
        <v>79</v>
      </c>
      <c r="B482" s="148"/>
      <c r="C482" s="149" t="e">
        <f>C479/B479-1</f>
        <v>#DIV/0!</v>
      </c>
      <c r="D482" s="149" t="e">
        <f t="shared" ref="D482:E484" si="59">D479/C479-1</f>
        <v>#DIV/0!</v>
      </c>
      <c r="E482" s="149" t="e">
        <f t="shared" si="59"/>
        <v>#DIV/0!</v>
      </c>
    </row>
    <row r="483" spans="1:5" ht="15.75" thickBot="1" x14ac:dyDescent="0.3">
      <c r="A483" s="133" t="s">
        <v>81</v>
      </c>
      <c r="B483" s="148"/>
      <c r="C483" s="149" t="e">
        <f>C480/B480-1</f>
        <v>#DIV/0!</v>
      </c>
      <c r="D483" s="149" t="e">
        <f t="shared" si="59"/>
        <v>#DIV/0!</v>
      </c>
      <c r="E483" s="149" t="e">
        <f t="shared" si="59"/>
        <v>#DIV/0!</v>
      </c>
    </row>
    <row r="484" spans="1:5" ht="23.25" thickBot="1" x14ac:dyDescent="0.3">
      <c r="A484" s="133" t="s">
        <v>82</v>
      </c>
      <c r="B484" s="148"/>
      <c r="C484" s="149" t="e">
        <f>C481/B481-1</f>
        <v>#DIV/0!</v>
      </c>
      <c r="D484" s="149" t="e">
        <f t="shared" si="59"/>
        <v>#DIV/0!</v>
      </c>
      <c r="E484" s="149" t="e">
        <f t="shared" si="59"/>
        <v>#DIV/0!</v>
      </c>
    </row>
    <row r="485" spans="1:5" x14ac:dyDescent="0.25">
      <c r="A485" s="893"/>
      <c r="B485" s="145">
        <v>2018</v>
      </c>
      <c r="C485" s="145">
        <v>2019</v>
      </c>
      <c r="D485" s="145">
        <v>2020</v>
      </c>
      <c r="E485" s="145">
        <v>2021</v>
      </c>
    </row>
    <row r="486" spans="1:5" ht="15.75" thickBot="1" x14ac:dyDescent="0.3">
      <c r="A486" s="894"/>
      <c r="B486" s="146" t="s">
        <v>41</v>
      </c>
      <c r="C486" s="146" t="s">
        <v>42</v>
      </c>
      <c r="D486" s="146" t="s">
        <v>42</v>
      </c>
      <c r="E486" s="146" t="s">
        <v>42</v>
      </c>
    </row>
    <row r="487" spans="1:5" ht="15.75" thickBot="1" x14ac:dyDescent="0.3">
      <c r="A487" s="1005" t="s">
        <v>374</v>
      </c>
      <c r="B487" s="1006"/>
      <c r="C487" s="1006"/>
      <c r="D487" s="1006"/>
      <c r="E487" s="1007"/>
    </row>
    <row r="488" spans="1:5" x14ac:dyDescent="0.25">
      <c r="A488" s="893"/>
      <c r="B488" s="145">
        <v>2018</v>
      </c>
      <c r="C488" s="145">
        <v>2019</v>
      </c>
      <c r="D488" s="145">
        <v>2020</v>
      </c>
      <c r="E488" s="145">
        <v>2021</v>
      </c>
    </row>
    <row r="489" spans="1:5" ht="15.75" thickBot="1" x14ac:dyDescent="0.3">
      <c r="A489" s="894"/>
      <c r="B489" s="146" t="s">
        <v>41</v>
      </c>
      <c r="C489" s="146" t="s">
        <v>42</v>
      </c>
      <c r="D489" s="146" t="s">
        <v>42</v>
      </c>
      <c r="E489" s="146" t="s">
        <v>42</v>
      </c>
    </row>
    <row r="490" spans="1:5" ht="15.75" thickBot="1" x14ac:dyDescent="0.3">
      <c r="A490" s="151" t="s">
        <v>84</v>
      </c>
      <c r="B490" s="142"/>
      <c r="C490" s="142"/>
      <c r="D490" s="142"/>
      <c r="E490" s="142"/>
    </row>
    <row r="491" spans="1:5" ht="24.75" thickBot="1" x14ac:dyDescent="0.3">
      <c r="A491" s="151" t="s">
        <v>85</v>
      </c>
      <c r="B491" s="142"/>
      <c r="C491" s="142"/>
      <c r="D491" s="142"/>
      <c r="E491" s="142"/>
    </row>
    <row r="492" spans="1:5" ht="15.75" thickBot="1" x14ac:dyDescent="0.3">
      <c r="A492" s="151" t="s">
        <v>86</v>
      </c>
      <c r="B492" s="158"/>
      <c r="C492" s="142"/>
      <c r="D492" s="142"/>
      <c r="E492" s="142"/>
    </row>
    <row r="493" spans="1:5" ht="15.75" thickBot="1" x14ac:dyDescent="0.3">
      <c r="A493" s="151" t="s">
        <v>87</v>
      </c>
      <c r="B493" s="158"/>
      <c r="C493" s="142"/>
      <c r="D493" s="142"/>
      <c r="E493" s="142"/>
    </row>
    <row r="494" spans="1:5" ht="24.75" thickBot="1" x14ac:dyDescent="0.3">
      <c r="A494" s="151" t="s">
        <v>88</v>
      </c>
      <c r="B494" s="158"/>
      <c r="C494" s="142"/>
      <c r="D494" s="142"/>
      <c r="E494" s="142"/>
    </row>
    <row r="495" spans="1:5" ht="15.75" thickBot="1" x14ac:dyDescent="0.3">
      <c r="A495" s="151" t="s">
        <v>89</v>
      </c>
      <c r="B495" s="158"/>
      <c r="C495" s="142"/>
      <c r="D495" s="142"/>
      <c r="E495" s="142"/>
    </row>
    <row r="496" spans="1:5" ht="24.75" thickBot="1" x14ac:dyDescent="0.3">
      <c r="A496" s="151" t="s">
        <v>90</v>
      </c>
      <c r="B496" s="158"/>
      <c r="C496" s="142"/>
      <c r="D496" s="142"/>
      <c r="E496" s="142"/>
    </row>
    <row r="497" spans="1:5" ht="36.75" thickBot="1" x14ac:dyDescent="0.3">
      <c r="A497" s="289" t="s">
        <v>120</v>
      </c>
      <c r="B497" s="290">
        <f>B496+B495+B494+B493+B492+B491+B490</f>
        <v>0</v>
      </c>
      <c r="C497" s="290">
        <f>C496+C495+C494+C493+C492+C491+C490</f>
        <v>0</v>
      </c>
      <c r="D497" s="290">
        <f>D496+D495+D494+D493+D492+D491+D490</f>
        <v>0</v>
      </c>
      <c r="E497" s="290">
        <f>E496+E495+E494+E493+E492+E491+E490</f>
        <v>0</v>
      </c>
    </row>
    <row r="498" spans="1:5" ht="15.75" thickBot="1" x14ac:dyDescent="0.3">
      <c r="A498" s="154" t="s">
        <v>92</v>
      </c>
      <c r="B498" s="160">
        <f>IF(B497-B480=0,0,"Error")</f>
        <v>0</v>
      </c>
      <c r="C498" s="160">
        <f>IF(C497-C480=0,0,"Error")</f>
        <v>0</v>
      </c>
      <c r="D498" s="160">
        <f>IF(D497-D480=0,0,"Error")</f>
        <v>0</v>
      </c>
      <c r="E498" s="160">
        <f>IF(E497-E480=0,0,"Error")</f>
        <v>0</v>
      </c>
    </row>
    <row r="499" spans="1:5" ht="23.25" thickBot="1" x14ac:dyDescent="0.3">
      <c r="A499" s="190" t="s">
        <v>667</v>
      </c>
      <c r="B499" s="1014" t="s">
        <v>364</v>
      </c>
      <c r="C499" s="1015"/>
      <c r="D499" s="1015"/>
      <c r="E499" s="1016"/>
    </row>
    <row r="500" spans="1:5" ht="15.75" thickBot="1" x14ac:dyDescent="0.3">
      <c r="A500" s="133" t="s">
        <v>72</v>
      </c>
      <c r="B500" s="945" t="s">
        <v>364</v>
      </c>
      <c r="C500" s="946"/>
      <c r="D500" s="946"/>
      <c r="E500" s="947"/>
    </row>
    <row r="501" spans="1:5" ht="15.75" thickBot="1" x14ac:dyDescent="0.3">
      <c r="A501" s="133" t="s">
        <v>74</v>
      </c>
      <c r="B501" s="1002" t="s">
        <v>364</v>
      </c>
      <c r="C501" s="1003"/>
      <c r="D501" s="1003"/>
      <c r="E501" s="1004"/>
    </row>
    <row r="502" spans="1:5" x14ac:dyDescent="0.25">
      <c r="A502" s="893"/>
      <c r="B502" s="145">
        <v>2018</v>
      </c>
      <c r="C502" s="145">
        <v>2019</v>
      </c>
      <c r="D502" s="145">
        <v>2020</v>
      </c>
      <c r="E502" s="145">
        <v>2021</v>
      </c>
    </row>
    <row r="503" spans="1:5" ht="15.75" thickBot="1" x14ac:dyDescent="0.3">
      <c r="A503" s="894"/>
      <c r="B503" s="146" t="s">
        <v>41</v>
      </c>
      <c r="C503" s="146" t="s">
        <v>42</v>
      </c>
      <c r="D503" s="146" t="s">
        <v>42</v>
      </c>
      <c r="E503" s="146" t="s">
        <v>42</v>
      </c>
    </row>
    <row r="504" spans="1:5" ht="15.75" thickBot="1" x14ac:dyDescent="0.3">
      <c r="A504" s="133" t="s">
        <v>76</v>
      </c>
      <c r="B504" s="147"/>
      <c r="C504" s="147"/>
      <c r="D504" s="147"/>
      <c r="E504" s="147"/>
    </row>
    <row r="505" spans="1:5" ht="15.75" thickBot="1" x14ac:dyDescent="0.3">
      <c r="A505" s="133" t="s">
        <v>77</v>
      </c>
      <c r="B505" s="147"/>
      <c r="C505" s="147"/>
      <c r="D505" s="147"/>
      <c r="E505" s="147"/>
    </row>
    <row r="506" spans="1:5" ht="15.75" thickBot="1" x14ac:dyDescent="0.3">
      <c r="A506" s="133" t="s">
        <v>78</v>
      </c>
      <c r="B506" s="147" t="e">
        <f>B505/B504</f>
        <v>#DIV/0!</v>
      </c>
      <c r="C506" s="147" t="e">
        <f t="shared" ref="C506:E506" si="60">C505/C504</f>
        <v>#DIV/0!</v>
      </c>
      <c r="D506" s="147" t="e">
        <f t="shared" si="60"/>
        <v>#DIV/0!</v>
      </c>
      <c r="E506" s="147" t="e">
        <f t="shared" si="60"/>
        <v>#DIV/0!</v>
      </c>
    </row>
    <row r="507" spans="1:5" ht="15.75" thickBot="1" x14ac:dyDescent="0.3">
      <c r="A507" s="133" t="s">
        <v>79</v>
      </c>
      <c r="B507" s="148"/>
      <c r="C507" s="149" t="e">
        <f>C504/B504-1</f>
        <v>#DIV/0!</v>
      </c>
      <c r="D507" s="149" t="e">
        <f t="shared" ref="D507:E509" si="61">D504/C504-1</f>
        <v>#DIV/0!</v>
      </c>
      <c r="E507" s="149" t="e">
        <f t="shared" si="61"/>
        <v>#DIV/0!</v>
      </c>
    </row>
    <row r="508" spans="1:5" ht="15.75" thickBot="1" x14ac:dyDescent="0.3">
      <c r="A508" s="133" t="s">
        <v>81</v>
      </c>
      <c r="B508" s="148"/>
      <c r="C508" s="149" t="e">
        <f>C505/B505-1</f>
        <v>#DIV/0!</v>
      </c>
      <c r="D508" s="149" t="e">
        <f t="shared" si="61"/>
        <v>#DIV/0!</v>
      </c>
      <c r="E508" s="149" t="e">
        <f t="shared" si="61"/>
        <v>#DIV/0!</v>
      </c>
    </row>
    <row r="509" spans="1:5" ht="23.25" thickBot="1" x14ac:dyDescent="0.3">
      <c r="A509" s="133" t="s">
        <v>82</v>
      </c>
      <c r="B509" s="148"/>
      <c r="C509" s="149" t="e">
        <f>C506/B506-1</f>
        <v>#DIV/0!</v>
      </c>
      <c r="D509" s="149" t="e">
        <f t="shared" si="61"/>
        <v>#DIV/0!</v>
      </c>
      <c r="E509" s="149" t="e">
        <f t="shared" si="61"/>
        <v>#DIV/0!</v>
      </c>
    </row>
    <row r="510" spans="1:5" ht="15.75" thickBot="1" x14ac:dyDescent="0.3">
      <c r="A510" s="1005" t="s">
        <v>366</v>
      </c>
      <c r="B510" s="1006"/>
      <c r="C510" s="1006"/>
      <c r="D510" s="1006"/>
      <c r="E510" s="1007"/>
    </row>
    <row r="511" spans="1:5" x14ac:dyDescent="0.25">
      <c r="A511" s="893"/>
      <c r="B511" s="145">
        <v>2018</v>
      </c>
      <c r="C511" s="145">
        <v>2019</v>
      </c>
      <c r="D511" s="145">
        <v>2020</v>
      </c>
      <c r="E511" s="145">
        <v>2021</v>
      </c>
    </row>
    <row r="512" spans="1:5" ht="15.75" thickBot="1" x14ac:dyDescent="0.3">
      <c r="A512" s="894"/>
      <c r="B512" s="146" t="s">
        <v>41</v>
      </c>
      <c r="C512" s="146" t="s">
        <v>42</v>
      </c>
      <c r="D512" s="146" t="s">
        <v>42</v>
      </c>
      <c r="E512" s="146" t="s">
        <v>42</v>
      </c>
    </row>
    <row r="513" spans="1:5" ht="15.75" thickBot="1" x14ac:dyDescent="0.3">
      <c r="A513" s="151" t="s">
        <v>84</v>
      </c>
      <c r="B513" s="142"/>
      <c r="C513" s="142"/>
      <c r="D513" s="142"/>
      <c r="E513" s="142"/>
    </row>
    <row r="514" spans="1:5" ht="24.75" thickBot="1" x14ac:dyDescent="0.3">
      <c r="A514" s="151" t="s">
        <v>85</v>
      </c>
      <c r="B514" s="142"/>
      <c r="C514" s="142"/>
      <c r="D514" s="142"/>
      <c r="E514" s="142"/>
    </row>
    <row r="515" spans="1:5" ht="15.75" thickBot="1" x14ac:dyDescent="0.3">
      <c r="A515" s="151" t="s">
        <v>86</v>
      </c>
      <c r="B515" s="158"/>
      <c r="C515" s="142"/>
      <c r="D515" s="142"/>
      <c r="E515" s="142"/>
    </row>
    <row r="516" spans="1:5" ht="15.75" thickBot="1" x14ac:dyDescent="0.3">
      <c r="A516" s="151" t="s">
        <v>87</v>
      </c>
      <c r="B516" s="158"/>
      <c r="C516" s="142"/>
      <c r="D516" s="142"/>
      <c r="E516" s="142"/>
    </row>
    <row r="517" spans="1:5" ht="24.75" thickBot="1" x14ac:dyDescent="0.3">
      <c r="A517" s="151" t="s">
        <v>88</v>
      </c>
      <c r="B517" s="158"/>
      <c r="C517" s="142"/>
      <c r="D517" s="142"/>
      <c r="E517" s="142"/>
    </row>
    <row r="518" spans="1:5" ht="15.75" thickBot="1" x14ac:dyDescent="0.3">
      <c r="A518" s="151" t="s">
        <v>89</v>
      </c>
      <c r="B518" s="158"/>
      <c r="C518" s="142"/>
      <c r="D518" s="142"/>
      <c r="E518" s="142"/>
    </row>
    <row r="519" spans="1:5" ht="24.75" thickBot="1" x14ac:dyDescent="0.3">
      <c r="A519" s="151" t="s">
        <v>90</v>
      </c>
      <c r="B519" s="158"/>
      <c r="C519" s="142"/>
      <c r="D519" s="142"/>
      <c r="E519" s="142"/>
    </row>
    <row r="520" spans="1:5" ht="36.75" thickBot="1" x14ac:dyDescent="0.3">
      <c r="A520" s="289" t="s">
        <v>120</v>
      </c>
      <c r="B520" s="291">
        <f>B519+B517+B518+B516+B515+B514+B513</f>
        <v>0</v>
      </c>
      <c r="C520" s="291">
        <f>C519+C517+C518+C516+C515+C514+C513</f>
        <v>0</v>
      </c>
      <c r="D520" s="291">
        <f>D519+D517+D518+D516+D515+D514+D513</f>
        <v>0</v>
      </c>
      <c r="E520" s="291">
        <f>E519+E517+E518+E516+E515+E514+E513</f>
        <v>0</v>
      </c>
    </row>
    <row r="521" spans="1:5" ht="15.75" thickBot="1" x14ac:dyDescent="0.3">
      <c r="A521" s="154" t="s">
        <v>92</v>
      </c>
      <c r="B521" s="160">
        <f>IF(B520-B505=0,0,"Error")</f>
        <v>0</v>
      </c>
      <c r="C521" s="160">
        <f>IF(C520-C505=0,0,"Error")</f>
        <v>0</v>
      </c>
      <c r="D521" s="160">
        <f>IF(D520-D505=0,0,"Error")</f>
        <v>0</v>
      </c>
      <c r="E521" s="160">
        <f>IF(E520-E505=0,0,"Error")</f>
        <v>0</v>
      </c>
    </row>
    <row r="522" spans="1:5" ht="15.75" thickBot="1" x14ac:dyDescent="0.3">
      <c r="A522" s="1011" t="s">
        <v>104</v>
      </c>
      <c r="B522" s="1012"/>
      <c r="C522" s="1012"/>
      <c r="D522" s="1012"/>
      <c r="E522" s="1013"/>
    </row>
    <row r="523" spans="1:5" ht="15.75" thickBot="1" x14ac:dyDescent="0.3">
      <c r="A523" s="1011" t="s">
        <v>105</v>
      </c>
      <c r="B523" s="1012"/>
      <c r="C523" s="1012"/>
      <c r="D523" s="1012"/>
      <c r="E523" s="1013"/>
    </row>
    <row r="524" spans="1:5" ht="15.75" thickBot="1" x14ac:dyDescent="0.3">
      <c r="A524" s="161" t="s">
        <v>257</v>
      </c>
      <c r="B524" s="1026" t="s">
        <v>107</v>
      </c>
      <c r="C524" s="1027"/>
      <c r="D524" s="1027"/>
      <c r="E524" s="1028"/>
    </row>
    <row r="525" spans="1:5" ht="15.75" thickBot="1" x14ac:dyDescent="0.3">
      <c r="A525" s="144" t="s">
        <v>108</v>
      </c>
      <c r="B525" s="1014" t="s">
        <v>364</v>
      </c>
      <c r="C525" s="1015"/>
      <c r="D525" s="1015"/>
      <c r="E525" s="1016"/>
    </row>
    <row r="526" spans="1:5" ht="15.75" thickBot="1" x14ac:dyDescent="0.3">
      <c r="A526" s="133" t="s">
        <v>72</v>
      </c>
      <c r="B526" s="945" t="s">
        <v>364</v>
      </c>
      <c r="C526" s="946"/>
      <c r="D526" s="946"/>
      <c r="E526" s="947"/>
    </row>
    <row r="527" spans="1:5" ht="15.75" thickBot="1" x14ac:dyDescent="0.3">
      <c r="A527" s="133" t="s">
        <v>74</v>
      </c>
      <c r="B527" s="1002" t="s">
        <v>364</v>
      </c>
      <c r="C527" s="1003"/>
      <c r="D527" s="1003"/>
      <c r="E527" s="1004"/>
    </row>
    <row r="528" spans="1:5" x14ac:dyDescent="0.25">
      <c r="A528" s="893"/>
      <c r="B528" s="145">
        <v>2018</v>
      </c>
      <c r="C528" s="145">
        <v>2019</v>
      </c>
      <c r="D528" s="145">
        <v>2020</v>
      </c>
      <c r="E528" s="145">
        <v>2021</v>
      </c>
    </row>
    <row r="529" spans="1:5" ht="15.75" thickBot="1" x14ac:dyDescent="0.3">
      <c r="A529" s="894"/>
      <c r="B529" s="146" t="s">
        <v>41</v>
      </c>
      <c r="C529" s="146" t="s">
        <v>42</v>
      </c>
      <c r="D529" s="146" t="s">
        <v>42</v>
      </c>
      <c r="E529" s="146" t="s">
        <v>42</v>
      </c>
    </row>
    <row r="530" spans="1:5" ht="15.75" thickBot="1" x14ac:dyDescent="0.3">
      <c r="A530" s="133" t="s">
        <v>76</v>
      </c>
      <c r="B530" s="147"/>
      <c r="C530" s="147"/>
      <c r="D530" s="147"/>
      <c r="E530" s="147"/>
    </row>
    <row r="531" spans="1:5" ht="15.75" thickBot="1" x14ac:dyDescent="0.3">
      <c r="A531" s="133" t="s">
        <v>77</v>
      </c>
      <c r="B531" s="147"/>
      <c r="C531" s="147"/>
      <c r="D531" s="147"/>
      <c r="E531" s="147"/>
    </row>
    <row r="532" spans="1:5" ht="15.75" thickBot="1" x14ac:dyDescent="0.3">
      <c r="A532" s="133" t="s">
        <v>78</v>
      </c>
      <c r="B532" s="147" t="e">
        <f>B531/B530</f>
        <v>#DIV/0!</v>
      </c>
      <c r="C532" s="147" t="e">
        <f t="shared" ref="C532:E532" si="62">C531/C530</f>
        <v>#DIV/0!</v>
      </c>
      <c r="D532" s="147" t="e">
        <f t="shared" si="62"/>
        <v>#DIV/0!</v>
      </c>
      <c r="E532" s="147" t="e">
        <f t="shared" si="62"/>
        <v>#DIV/0!</v>
      </c>
    </row>
    <row r="533" spans="1:5" ht="15.75" thickBot="1" x14ac:dyDescent="0.3">
      <c r="A533" s="133" t="s">
        <v>79</v>
      </c>
      <c r="B533" s="148" t="s">
        <v>80</v>
      </c>
      <c r="C533" s="149" t="e">
        <f>C530/B530-1</f>
        <v>#DIV/0!</v>
      </c>
      <c r="D533" s="149" t="e">
        <f t="shared" ref="D533:E535" si="63">D530/C530-1</f>
        <v>#DIV/0!</v>
      </c>
      <c r="E533" s="149" t="e">
        <f t="shared" si="63"/>
        <v>#DIV/0!</v>
      </c>
    </row>
    <row r="534" spans="1:5" ht="15.75" thickBot="1" x14ac:dyDescent="0.3">
      <c r="A534" s="133" t="s">
        <v>81</v>
      </c>
      <c r="B534" s="148" t="s">
        <v>80</v>
      </c>
      <c r="C534" s="149" t="e">
        <f>C531/B531-1</f>
        <v>#DIV/0!</v>
      </c>
      <c r="D534" s="149" t="e">
        <f t="shared" si="63"/>
        <v>#DIV/0!</v>
      </c>
      <c r="E534" s="149" t="e">
        <f t="shared" si="63"/>
        <v>#DIV/0!</v>
      </c>
    </row>
    <row r="535" spans="1:5" ht="23.25" thickBot="1" x14ac:dyDescent="0.3">
      <c r="A535" s="133" t="s">
        <v>82</v>
      </c>
      <c r="B535" s="148" t="s">
        <v>80</v>
      </c>
      <c r="C535" s="149" t="e">
        <f>C532/B532-1</f>
        <v>#DIV/0!</v>
      </c>
      <c r="D535" s="149" t="e">
        <f t="shared" si="63"/>
        <v>#DIV/0!</v>
      </c>
      <c r="E535" s="149" t="e">
        <f t="shared" si="63"/>
        <v>#DIV/0!</v>
      </c>
    </row>
    <row r="536" spans="1:5" ht="15.75" thickBot="1" x14ac:dyDescent="0.3">
      <c r="A536" s="1005" t="s">
        <v>83</v>
      </c>
      <c r="B536" s="1006"/>
      <c r="C536" s="1006"/>
      <c r="D536" s="1006"/>
      <c r="E536" s="1007"/>
    </row>
    <row r="537" spans="1:5" x14ac:dyDescent="0.25">
      <c r="A537" s="893"/>
      <c r="B537" s="145">
        <v>2018</v>
      </c>
      <c r="C537" s="145">
        <v>2019</v>
      </c>
      <c r="D537" s="145">
        <v>2020</v>
      </c>
      <c r="E537" s="145">
        <v>2021</v>
      </c>
    </row>
    <row r="538" spans="1:5" ht="15.75" thickBot="1" x14ac:dyDescent="0.3">
      <c r="A538" s="894"/>
      <c r="B538" s="146" t="s">
        <v>41</v>
      </c>
      <c r="C538" s="146" t="s">
        <v>42</v>
      </c>
      <c r="D538" s="146" t="s">
        <v>42</v>
      </c>
      <c r="E538" s="146" t="s">
        <v>42</v>
      </c>
    </row>
    <row r="539" spans="1:5" ht="15.75" thickBot="1" x14ac:dyDescent="0.3">
      <c r="A539" s="151" t="s">
        <v>169</v>
      </c>
      <c r="B539" s="142"/>
      <c r="C539" s="142"/>
      <c r="D539" s="142"/>
      <c r="E539" s="142"/>
    </row>
    <row r="540" spans="1:5" ht="15.75" thickBot="1" x14ac:dyDescent="0.3">
      <c r="A540" s="151" t="s">
        <v>112</v>
      </c>
      <c r="B540" s="158"/>
      <c r="C540" s="142"/>
      <c r="D540" s="142"/>
      <c r="E540" s="142"/>
    </row>
    <row r="541" spans="1:5" ht="15.75" thickBot="1" x14ac:dyDescent="0.3">
      <c r="A541" s="153" t="s">
        <v>91</v>
      </c>
      <c r="B541" s="158">
        <f>B540+B539</f>
        <v>0</v>
      </c>
      <c r="C541" s="158">
        <f t="shared" ref="C541:E541" si="64">C540+C539</f>
        <v>0</v>
      </c>
      <c r="D541" s="158">
        <f t="shared" si="64"/>
        <v>0</v>
      </c>
      <c r="E541" s="158">
        <f t="shared" si="64"/>
        <v>0</v>
      </c>
    </row>
    <row r="542" spans="1:5" ht="15.75" thickBot="1" x14ac:dyDescent="0.3">
      <c r="A542" s="161" t="s">
        <v>257</v>
      </c>
      <c r="B542" s="1026" t="s">
        <v>107</v>
      </c>
      <c r="C542" s="1027"/>
      <c r="D542" s="1027"/>
      <c r="E542" s="1028"/>
    </row>
    <row r="543" spans="1:5" ht="23.25" thickBot="1" x14ac:dyDescent="0.3">
      <c r="A543" s="144" t="s">
        <v>365</v>
      </c>
      <c r="B543" s="1014" t="s">
        <v>364</v>
      </c>
      <c r="C543" s="1015"/>
      <c r="D543" s="1015"/>
      <c r="E543" s="1016"/>
    </row>
    <row r="544" spans="1:5" ht="15.75" thickBot="1" x14ac:dyDescent="0.3">
      <c r="A544" s="133" t="s">
        <v>72</v>
      </c>
      <c r="B544" s="945" t="s">
        <v>364</v>
      </c>
      <c r="C544" s="946"/>
      <c r="D544" s="946"/>
      <c r="E544" s="947"/>
    </row>
    <row r="545" spans="1:5" ht="15.75" thickBot="1" x14ac:dyDescent="0.3">
      <c r="A545" s="133" t="s">
        <v>74</v>
      </c>
      <c r="B545" s="1002" t="s">
        <v>364</v>
      </c>
      <c r="C545" s="1003"/>
      <c r="D545" s="1003"/>
      <c r="E545" s="1004"/>
    </row>
    <row r="546" spans="1:5" x14ac:dyDescent="0.25">
      <c r="A546" s="893"/>
      <c r="B546" s="145">
        <v>2018</v>
      </c>
      <c r="C546" s="145">
        <v>2019</v>
      </c>
      <c r="D546" s="145">
        <v>2020</v>
      </c>
      <c r="E546" s="145">
        <v>2021</v>
      </c>
    </row>
    <row r="547" spans="1:5" ht="15.75" thickBot="1" x14ac:dyDescent="0.3">
      <c r="A547" s="894"/>
      <c r="B547" s="146" t="s">
        <v>41</v>
      </c>
      <c r="C547" s="146" t="s">
        <v>42</v>
      </c>
      <c r="D547" s="146" t="s">
        <v>42</v>
      </c>
      <c r="E547" s="146" t="s">
        <v>42</v>
      </c>
    </row>
    <row r="548" spans="1:5" ht="15.75" thickBot="1" x14ac:dyDescent="0.3">
      <c r="A548" s="133" t="s">
        <v>76</v>
      </c>
      <c r="B548" s="147"/>
      <c r="C548" s="147"/>
      <c r="D548" s="147"/>
      <c r="E548" s="147"/>
    </row>
    <row r="549" spans="1:5" ht="15.75" thickBot="1" x14ac:dyDescent="0.3">
      <c r="A549" s="133" t="s">
        <v>77</v>
      </c>
      <c r="B549" s="147"/>
      <c r="C549" s="147"/>
      <c r="D549" s="147"/>
      <c r="E549" s="147"/>
    </row>
    <row r="550" spans="1:5" ht="15.75" thickBot="1" x14ac:dyDescent="0.3">
      <c r="A550" s="133" t="s">
        <v>78</v>
      </c>
      <c r="B550" s="147" t="e">
        <f>B549/B548</f>
        <v>#DIV/0!</v>
      </c>
      <c r="C550" s="147" t="e">
        <f t="shared" ref="C550:E550" si="65">C549/C548</f>
        <v>#DIV/0!</v>
      </c>
      <c r="D550" s="147" t="e">
        <f t="shared" si="65"/>
        <v>#DIV/0!</v>
      </c>
      <c r="E550" s="147" t="e">
        <f t="shared" si="65"/>
        <v>#DIV/0!</v>
      </c>
    </row>
    <row r="551" spans="1:5" ht="15.75" thickBot="1" x14ac:dyDescent="0.3">
      <c r="A551" s="133" t="s">
        <v>79</v>
      </c>
      <c r="B551" s="148" t="s">
        <v>80</v>
      </c>
      <c r="C551" s="149" t="e">
        <f>C548/B548-1</f>
        <v>#DIV/0!</v>
      </c>
      <c r="D551" s="149" t="e">
        <f t="shared" ref="D551:E553" si="66">D548/C548-1</f>
        <v>#DIV/0!</v>
      </c>
      <c r="E551" s="149" t="e">
        <f t="shared" si="66"/>
        <v>#DIV/0!</v>
      </c>
    </row>
    <row r="552" spans="1:5" ht="15.75" thickBot="1" x14ac:dyDescent="0.3">
      <c r="A552" s="133" t="s">
        <v>81</v>
      </c>
      <c r="B552" s="148" t="s">
        <v>80</v>
      </c>
      <c r="C552" s="149" t="e">
        <f>C549/B549-1</f>
        <v>#DIV/0!</v>
      </c>
      <c r="D552" s="149" t="e">
        <f t="shared" si="66"/>
        <v>#DIV/0!</v>
      </c>
      <c r="E552" s="149" t="e">
        <f t="shared" si="66"/>
        <v>#DIV/0!</v>
      </c>
    </row>
    <row r="553" spans="1:5" ht="23.25" thickBot="1" x14ac:dyDescent="0.3">
      <c r="A553" s="133" t="s">
        <v>82</v>
      </c>
      <c r="B553" s="148" t="s">
        <v>80</v>
      </c>
      <c r="C553" s="149" t="e">
        <f>C550/B550-1</f>
        <v>#DIV/0!</v>
      </c>
      <c r="D553" s="149" t="e">
        <f t="shared" si="66"/>
        <v>#DIV/0!</v>
      </c>
      <c r="E553" s="149" t="e">
        <f t="shared" si="66"/>
        <v>#DIV/0!</v>
      </c>
    </row>
    <row r="554" spans="1:5" ht="15.75" thickBot="1" x14ac:dyDescent="0.3">
      <c r="A554" s="1005" t="s">
        <v>366</v>
      </c>
      <c r="B554" s="1006"/>
      <c r="C554" s="1006"/>
      <c r="D554" s="1006"/>
      <c r="E554" s="1007"/>
    </row>
    <row r="555" spans="1:5" x14ac:dyDescent="0.25">
      <c r="A555" s="893"/>
      <c r="B555" s="145">
        <v>2018</v>
      </c>
      <c r="C555" s="145">
        <v>2019</v>
      </c>
      <c r="D555" s="145">
        <v>2020</v>
      </c>
      <c r="E555" s="145">
        <v>2021</v>
      </c>
    </row>
    <row r="556" spans="1:5" ht="15.75" thickBot="1" x14ac:dyDescent="0.3">
      <c r="A556" s="894"/>
      <c r="B556" s="146" t="s">
        <v>41</v>
      </c>
      <c r="C556" s="146" t="s">
        <v>42</v>
      </c>
      <c r="D556" s="146" t="s">
        <v>42</v>
      </c>
      <c r="E556" s="146" t="s">
        <v>42</v>
      </c>
    </row>
    <row r="557" spans="1:5" ht="15.75" thickBot="1" x14ac:dyDescent="0.3">
      <c r="A557" s="151" t="s">
        <v>169</v>
      </c>
      <c r="B557" s="142"/>
      <c r="C557" s="142"/>
      <c r="D557" s="142"/>
      <c r="E557" s="142"/>
    </row>
    <row r="558" spans="1:5" ht="15.75" thickBot="1" x14ac:dyDescent="0.3">
      <c r="A558" s="151" t="s">
        <v>112</v>
      </c>
      <c r="B558" s="158"/>
      <c r="C558" s="142"/>
      <c r="D558" s="142"/>
      <c r="E558" s="142"/>
    </row>
    <row r="559" spans="1:5" ht="24.75" thickBot="1" x14ac:dyDescent="0.3">
      <c r="A559" s="153" t="s">
        <v>176</v>
      </c>
      <c r="B559" s="158">
        <f>B558+B557</f>
        <v>0</v>
      </c>
      <c r="C559" s="158">
        <f t="shared" ref="C559:E559" si="67">C558+C557</f>
        <v>0</v>
      </c>
      <c r="D559" s="158">
        <f t="shared" si="67"/>
        <v>0</v>
      </c>
      <c r="E559" s="158">
        <f t="shared" si="67"/>
        <v>0</v>
      </c>
    </row>
    <row r="560" spans="1:5" ht="15.75" thickBot="1" x14ac:dyDescent="0.3">
      <c r="A560" s="1011" t="s">
        <v>104</v>
      </c>
      <c r="B560" s="1012"/>
      <c r="C560" s="1012"/>
      <c r="D560" s="1012"/>
      <c r="E560" s="1013"/>
    </row>
    <row r="561" spans="1:5" ht="15.75" thickBot="1" x14ac:dyDescent="0.3">
      <c r="A561" s="1011" t="s">
        <v>170</v>
      </c>
      <c r="B561" s="1012"/>
      <c r="C561" s="1012"/>
      <c r="D561" s="1012"/>
      <c r="E561" s="1013"/>
    </row>
    <row r="562" spans="1:5" ht="15.75" thickBot="1" x14ac:dyDescent="0.3">
      <c r="A562" s="161" t="s">
        <v>257</v>
      </c>
      <c r="B562" s="1026" t="s">
        <v>107</v>
      </c>
      <c r="C562" s="1027"/>
      <c r="D562" s="1027"/>
      <c r="E562" s="1028"/>
    </row>
    <row r="563" spans="1:5" ht="15.75" thickBot="1" x14ac:dyDescent="0.3">
      <c r="A563" s="144" t="s">
        <v>108</v>
      </c>
      <c r="B563" s="1014" t="s">
        <v>364</v>
      </c>
      <c r="C563" s="1015"/>
      <c r="D563" s="1015"/>
      <c r="E563" s="1016"/>
    </row>
    <row r="564" spans="1:5" ht="15.75" thickBot="1" x14ac:dyDescent="0.3">
      <c r="A564" s="133" t="s">
        <v>72</v>
      </c>
      <c r="B564" s="945" t="s">
        <v>364</v>
      </c>
      <c r="C564" s="946"/>
      <c r="D564" s="946"/>
      <c r="E564" s="947"/>
    </row>
    <row r="565" spans="1:5" ht="15.75" thickBot="1" x14ac:dyDescent="0.3">
      <c r="A565" s="133" t="s">
        <v>74</v>
      </c>
      <c r="B565" s="1002" t="s">
        <v>364</v>
      </c>
      <c r="C565" s="1003"/>
      <c r="D565" s="1003"/>
      <c r="E565" s="1004"/>
    </row>
    <row r="566" spans="1:5" x14ac:dyDescent="0.25">
      <c r="A566" s="893"/>
      <c r="B566" s="145">
        <v>2018</v>
      </c>
      <c r="C566" s="145">
        <v>2019</v>
      </c>
      <c r="D566" s="145">
        <v>2020</v>
      </c>
      <c r="E566" s="145">
        <v>2021</v>
      </c>
    </row>
    <row r="567" spans="1:5" ht="15.75" thickBot="1" x14ac:dyDescent="0.3">
      <c r="A567" s="894"/>
      <c r="B567" s="146" t="s">
        <v>41</v>
      </c>
      <c r="C567" s="146" t="s">
        <v>42</v>
      </c>
      <c r="D567" s="146" t="s">
        <v>42</v>
      </c>
      <c r="E567" s="146" t="s">
        <v>42</v>
      </c>
    </row>
    <row r="568" spans="1:5" ht="15.75" thickBot="1" x14ac:dyDescent="0.3">
      <c r="A568" s="133" t="s">
        <v>76</v>
      </c>
      <c r="B568" s="147"/>
      <c r="C568" s="147"/>
      <c r="D568" s="147"/>
      <c r="E568" s="147"/>
    </row>
    <row r="569" spans="1:5" ht="15.75" thickBot="1" x14ac:dyDescent="0.3">
      <c r="A569" s="133" t="s">
        <v>77</v>
      </c>
      <c r="B569" s="147"/>
      <c r="C569" s="147"/>
      <c r="D569" s="147"/>
      <c r="E569" s="147"/>
    </row>
    <row r="570" spans="1:5" ht="15.75" thickBot="1" x14ac:dyDescent="0.3">
      <c r="A570" s="133" t="s">
        <v>78</v>
      </c>
      <c r="B570" s="147" t="e">
        <f>B569/B568</f>
        <v>#DIV/0!</v>
      </c>
      <c r="C570" s="147" t="e">
        <f t="shared" ref="C570:E570" si="68">C569/C568</f>
        <v>#DIV/0!</v>
      </c>
      <c r="D570" s="147" t="e">
        <f t="shared" si="68"/>
        <v>#DIV/0!</v>
      </c>
      <c r="E570" s="147" t="e">
        <f t="shared" si="68"/>
        <v>#DIV/0!</v>
      </c>
    </row>
    <row r="571" spans="1:5" ht="15.75" thickBot="1" x14ac:dyDescent="0.3">
      <c r="A571" s="133" t="s">
        <v>79</v>
      </c>
      <c r="B571" s="148" t="s">
        <v>80</v>
      </c>
      <c r="C571" s="149" t="e">
        <f>C568/B568-1</f>
        <v>#DIV/0!</v>
      </c>
      <c r="D571" s="149" t="e">
        <f t="shared" ref="D571:E573" si="69">D568/C568-1</f>
        <v>#DIV/0!</v>
      </c>
      <c r="E571" s="149" t="e">
        <f t="shared" si="69"/>
        <v>#DIV/0!</v>
      </c>
    </row>
    <row r="572" spans="1:5" ht="15.75" thickBot="1" x14ac:dyDescent="0.3">
      <c r="A572" s="133" t="s">
        <v>81</v>
      </c>
      <c r="B572" s="148" t="s">
        <v>80</v>
      </c>
      <c r="C572" s="149" t="e">
        <f>C569/B569-1</f>
        <v>#DIV/0!</v>
      </c>
      <c r="D572" s="149" t="e">
        <f t="shared" si="69"/>
        <v>#DIV/0!</v>
      </c>
      <c r="E572" s="149" t="e">
        <f t="shared" si="69"/>
        <v>#DIV/0!</v>
      </c>
    </row>
    <row r="573" spans="1:5" ht="23.25" thickBot="1" x14ac:dyDescent="0.3">
      <c r="A573" s="133" t="s">
        <v>82</v>
      </c>
      <c r="B573" s="148" t="s">
        <v>80</v>
      </c>
      <c r="C573" s="149" t="e">
        <f>C570/B570-1</f>
        <v>#DIV/0!</v>
      </c>
      <c r="D573" s="149" t="e">
        <f t="shared" si="69"/>
        <v>#DIV/0!</v>
      </c>
      <c r="E573" s="149" t="e">
        <f t="shared" si="69"/>
        <v>#DIV/0!</v>
      </c>
    </row>
    <row r="574" spans="1:5" ht="15.75" thickBot="1" x14ac:dyDescent="0.3">
      <c r="A574" s="1005" t="s">
        <v>83</v>
      </c>
      <c r="B574" s="1006"/>
      <c r="C574" s="1006"/>
      <c r="D574" s="1006"/>
      <c r="E574" s="1007"/>
    </row>
    <row r="575" spans="1:5" x14ac:dyDescent="0.25">
      <c r="A575" s="893"/>
      <c r="B575" s="145">
        <v>2018</v>
      </c>
      <c r="C575" s="145">
        <v>2019</v>
      </c>
      <c r="D575" s="145">
        <v>2020</v>
      </c>
      <c r="E575" s="145">
        <v>2021</v>
      </c>
    </row>
    <row r="576" spans="1:5" ht="15.75" thickBot="1" x14ac:dyDescent="0.3">
      <c r="A576" s="894"/>
      <c r="B576" s="146" t="s">
        <v>41</v>
      </c>
      <c r="C576" s="146" t="s">
        <v>42</v>
      </c>
      <c r="D576" s="146" t="s">
        <v>42</v>
      </c>
      <c r="E576" s="146" t="s">
        <v>42</v>
      </c>
    </row>
    <row r="577" spans="1:5" ht="15.75" thickBot="1" x14ac:dyDescent="0.3">
      <c r="A577" s="151" t="s">
        <v>169</v>
      </c>
      <c r="B577" s="142"/>
      <c r="C577" s="142"/>
      <c r="D577" s="142"/>
      <c r="E577" s="142"/>
    </row>
    <row r="578" spans="1:5" ht="15.75" thickBot="1" x14ac:dyDescent="0.3">
      <c r="A578" s="151" t="s">
        <v>112</v>
      </c>
      <c r="B578" s="158"/>
      <c r="C578" s="142"/>
      <c r="D578" s="142"/>
      <c r="E578" s="142"/>
    </row>
    <row r="579" spans="1:5" ht="15.75" thickBot="1" x14ac:dyDescent="0.3">
      <c r="A579" s="153" t="s">
        <v>91</v>
      </c>
      <c r="B579" s="158">
        <f>B578+B577</f>
        <v>0</v>
      </c>
      <c r="C579" s="158">
        <f t="shared" ref="C579:E579" si="70">C578+C577</f>
        <v>0</v>
      </c>
      <c r="D579" s="158">
        <f t="shared" si="70"/>
        <v>0</v>
      </c>
      <c r="E579" s="158">
        <f t="shared" si="70"/>
        <v>0</v>
      </c>
    </row>
    <row r="580" spans="1:5" ht="15.75" thickBot="1" x14ac:dyDescent="0.3">
      <c r="A580" s="161" t="s">
        <v>257</v>
      </c>
      <c r="B580" s="1026" t="s">
        <v>107</v>
      </c>
      <c r="C580" s="1027"/>
      <c r="D580" s="1027"/>
      <c r="E580" s="1028"/>
    </row>
    <row r="581" spans="1:5" ht="23.25" thickBot="1" x14ac:dyDescent="0.3">
      <c r="A581" s="144" t="s">
        <v>365</v>
      </c>
      <c r="B581" s="1014" t="s">
        <v>364</v>
      </c>
      <c r="C581" s="1015"/>
      <c r="D581" s="1015"/>
      <c r="E581" s="1016"/>
    </row>
    <row r="582" spans="1:5" ht="15.75" thickBot="1" x14ac:dyDescent="0.3">
      <c r="A582" s="133" t="s">
        <v>72</v>
      </c>
      <c r="B582" s="945" t="s">
        <v>364</v>
      </c>
      <c r="C582" s="946"/>
      <c r="D582" s="946"/>
      <c r="E582" s="947"/>
    </row>
    <row r="583" spans="1:5" ht="15.75" thickBot="1" x14ac:dyDescent="0.3">
      <c r="A583" s="133" t="s">
        <v>74</v>
      </c>
      <c r="B583" s="1002" t="s">
        <v>364</v>
      </c>
      <c r="C583" s="1003"/>
      <c r="D583" s="1003"/>
      <c r="E583" s="1004"/>
    </row>
    <row r="584" spans="1:5" x14ac:dyDescent="0.25">
      <c r="A584" s="893"/>
      <c r="B584" s="145">
        <v>2018</v>
      </c>
      <c r="C584" s="145">
        <v>2019</v>
      </c>
      <c r="D584" s="145">
        <v>2020</v>
      </c>
      <c r="E584" s="145">
        <v>2021</v>
      </c>
    </row>
    <row r="585" spans="1:5" ht="15.75" thickBot="1" x14ac:dyDescent="0.3">
      <c r="A585" s="894"/>
      <c r="B585" s="146" t="s">
        <v>41</v>
      </c>
      <c r="C585" s="146" t="s">
        <v>42</v>
      </c>
      <c r="D585" s="146" t="s">
        <v>42</v>
      </c>
      <c r="E585" s="146" t="s">
        <v>42</v>
      </c>
    </row>
    <row r="586" spans="1:5" ht="15.75" thickBot="1" x14ac:dyDescent="0.3">
      <c r="A586" s="133" t="s">
        <v>76</v>
      </c>
      <c r="B586" s="147"/>
      <c r="C586" s="147"/>
      <c r="D586" s="147"/>
      <c r="E586" s="147"/>
    </row>
    <row r="587" spans="1:5" ht="15.75" thickBot="1" x14ac:dyDescent="0.3">
      <c r="A587" s="133" t="s">
        <v>77</v>
      </c>
      <c r="B587" s="147"/>
      <c r="C587" s="147"/>
      <c r="D587" s="147"/>
      <c r="E587" s="147"/>
    </row>
    <row r="588" spans="1:5" ht="15.75" thickBot="1" x14ac:dyDescent="0.3">
      <c r="A588" s="133" t="s">
        <v>78</v>
      </c>
      <c r="B588" s="147" t="e">
        <f>B587/B586</f>
        <v>#DIV/0!</v>
      </c>
      <c r="C588" s="147" t="e">
        <f t="shared" ref="C588:E588" si="71">C587/C586</f>
        <v>#DIV/0!</v>
      </c>
      <c r="D588" s="147" t="e">
        <f t="shared" si="71"/>
        <v>#DIV/0!</v>
      </c>
      <c r="E588" s="147" t="e">
        <f t="shared" si="71"/>
        <v>#DIV/0!</v>
      </c>
    </row>
    <row r="589" spans="1:5" ht="15.75" thickBot="1" x14ac:dyDescent="0.3">
      <c r="A589" s="133" t="s">
        <v>79</v>
      </c>
      <c r="B589" s="148" t="s">
        <v>80</v>
      </c>
      <c r="C589" s="149" t="e">
        <f>C586/B586-1</f>
        <v>#DIV/0!</v>
      </c>
      <c r="D589" s="149" t="e">
        <f t="shared" ref="D589:E591" si="72">D586/C586-1</f>
        <v>#DIV/0!</v>
      </c>
      <c r="E589" s="149" t="e">
        <f t="shared" si="72"/>
        <v>#DIV/0!</v>
      </c>
    </row>
    <row r="590" spans="1:5" ht="15.75" thickBot="1" x14ac:dyDescent="0.3">
      <c r="A590" s="133" t="s">
        <v>81</v>
      </c>
      <c r="B590" s="148" t="s">
        <v>80</v>
      </c>
      <c r="C590" s="149" t="e">
        <f>C587/B587-1</f>
        <v>#DIV/0!</v>
      </c>
      <c r="D590" s="149" t="e">
        <f t="shared" si="72"/>
        <v>#DIV/0!</v>
      </c>
      <c r="E590" s="149" t="e">
        <f t="shared" si="72"/>
        <v>#DIV/0!</v>
      </c>
    </row>
    <row r="591" spans="1:5" ht="23.25" thickBot="1" x14ac:dyDescent="0.3">
      <c r="A591" s="133" t="s">
        <v>82</v>
      </c>
      <c r="B591" s="148" t="s">
        <v>80</v>
      </c>
      <c r="C591" s="149" t="e">
        <f>C588/B588-1</f>
        <v>#DIV/0!</v>
      </c>
      <c r="D591" s="149" t="e">
        <f t="shared" si="72"/>
        <v>#DIV/0!</v>
      </c>
      <c r="E591" s="149" t="e">
        <f t="shared" si="72"/>
        <v>#DIV/0!</v>
      </c>
    </row>
    <row r="592" spans="1:5" ht="15.75" thickBot="1" x14ac:dyDescent="0.3">
      <c r="A592" s="1005" t="s">
        <v>366</v>
      </c>
      <c r="B592" s="1006"/>
      <c r="C592" s="1006"/>
      <c r="D592" s="1006"/>
      <c r="E592" s="1007"/>
    </row>
    <row r="593" spans="1:5" x14ac:dyDescent="0.25">
      <c r="A593" s="893"/>
      <c r="B593" s="145">
        <v>2018</v>
      </c>
      <c r="C593" s="145">
        <v>2019</v>
      </c>
      <c r="D593" s="145">
        <v>2020</v>
      </c>
      <c r="E593" s="145">
        <v>2021</v>
      </c>
    </row>
    <row r="594" spans="1:5" ht="15.75" thickBot="1" x14ac:dyDescent="0.3">
      <c r="A594" s="894"/>
      <c r="B594" s="146" t="s">
        <v>41</v>
      </c>
      <c r="C594" s="146" t="s">
        <v>42</v>
      </c>
      <c r="D594" s="146" t="s">
        <v>42</v>
      </c>
      <c r="E594" s="146" t="s">
        <v>42</v>
      </c>
    </row>
    <row r="595" spans="1:5" ht="15.75" thickBot="1" x14ac:dyDescent="0.3">
      <c r="A595" s="151" t="s">
        <v>169</v>
      </c>
      <c r="B595" s="142"/>
      <c r="C595" s="142"/>
      <c r="D595" s="142"/>
      <c r="E595" s="142"/>
    </row>
    <row r="596" spans="1:5" ht="15.75" thickBot="1" x14ac:dyDescent="0.3">
      <c r="A596" s="151" t="s">
        <v>112</v>
      </c>
      <c r="B596" s="158"/>
      <c r="C596" s="142"/>
      <c r="D596" s="142"/>
      <c r="E596" s="142"/>
    </row>
    <row r="597" spans="1:5" ht="24.75" thickBot="1" x14ac:dyDescent="0.3">
      <c r="A597" s="153" t="s">
        <v>176</v>
      </c>
      <c r="B597" s="158">
        <f>B596+B595</f>
        <v>0</v>
      </c>
      <c r="C597" s="158">
        <f t="shared" ref="C597:E597" si="73">C596+C595</f>
        <v>0</v>
      </c>
      <c r="D597" s="158">
        <f t="shared" si="73"/>
        <v>0</v>
      </c>
      <c r="E597" s="158">
        <f t="shared" si="73"/>
        <v>0</v>
      </c>
    </row>
    <row r="598" spans="1:5" ht="15.75" thickBot="1" x14ac:dyDescent="0.3">
      <c r="A598" s="292"/>
      <c r="B598" s="293"/>
      <c r="C598" s="293"/>
      <c r="D598" s="293"/>
      <c r="E598" s="293"/>
    </row>
    <row r="599" spans="1:5" ht="36.75" thickBot="1" x14ac:dyDescent="0.3">
      <c r="A599" s="134" t="s">
        <v>121</v>
      </c>
      <c r="B599" s="178">
        <f>B587+B569+B549+B531+B505+B480+B454+B436+B416+B395+B369+B346</f>
        <v>144300</v>
      </c>
      <c r="C599" s="178">
        <f>C587+C569+C549+C531+C505+C480+C454+C436+C416+C395+C369+C346</f>
        <v>148500</v>
      </c>
      <c r="D599" s="178">
        <f>D587+D569+D549+D531+D505+D480+D454+D436+D416+D395+D369+D346</f>
        <v>149200</v>
      </c>
      <c r="E599" s="178">
        <f>E587+E569+E549+E531+E505+E480+E454+E436+E416+E395+E369+E346</f>
        <v>158500</v>
      </c>
    </row>
    <row r="600" spans="1:5" ht="36.75" thickBot="1" x14ac:dyDescent="0.3">
      <c r="A600" s="134" t="s">
        <v>122</v>
      </c>
      <c r="B600" s="178">
        <f>B602+B604+B606+B608+B610+B612+B614+B616+B618</f>
        <v>144300</v>
      </c>
      <c r="C600" s="178">
        <f>C602+C604+C606+C608+C610+C612+C614+C616+C618</f>
        <v>148500</v>
      </c>
      <c r="D600" s="178">
        <f>D602+D604+D606+D608+D610+D612+D614+D616+D618</f>
        <v>149200</v>
      </c>
      <c r="E600" s="178">
        <f>E602+E604+E606+E608+E610+E612+E614+E616+E618</f>
        <v>158500</v>
      </c>
    </row>
    <row r="601" spans="1:5" ht="36.75" thickBot="1" x14ac:dyDescent="0.3">
      <c r="A601" s="294" t="s">
        <v>123</v>
      </c>
      <c r="B601" s="176"/>
      <c r="C601" s="175">
        <f>C600/B600-1</f>
        <v>2.9106029106028997E-2</v>
      </c>
      <c r="D601" s="175">
        <f t="shared" ref="D601:E601" si="74">D600/C600-1</f>
        <v>4.7138047138046701E-3</v>
      </c>
      <c r="E601" s="175">
        <f t="shared" si="74"/>
        <v>6.2332439678284279E-2</v>
      </c>
    </row>
    <row r="602" spans="1:5" ht="15.75" thickBot="1" x14ac:dyDescent="0.3">
      <c r="A602" s="151" t="s">
        <v>84</v>
      </c>
      <c r="B602" s="142">
        <f>B513+B490+B377+B354</f>
        <v>90000</v>
      </c>
      <c r="C602" s="142">
        <f>C513+C490+C377+C354</f>
        <v>90000</v>
      </c>
      <c r="D602" s="142">
        <f t="shared" ref="D602:E602" si="75">D513+D490+D377+D354</f>
        <v>90000</v>
      </c>
      <c r="E602" s="142">
        <f t="shared" si="75"/>
        <v>90000</v>
      </c>
    </row>
    <row r="603" spans="1:5" ht="15.75" thickBot="1" x14ac:dyDescent="0.3">
      <c r="A603" s="295" t="s">
        <v>124</v>
      </c>
      <c r="B603" s="158"/>
      <c r="C603" s="171">
        <f>C602/B602-1</f>
        <v>0</v>
      </c>
      <c r="D603" s="171">
        <f t="shared" ref="D603:E603" si="76">D602/C602-1</f>
        <v>0</v>
      </c>
      <c r="E603" s="171">
        <f t="shared" si="76"/>
        <v>0</v>
      </c>
    </row>
    <row r="604" spans="1:5" ht="24.75" thickBot="1" x14ac:dyDescent="0.3">
      <c r="A604" s="151" t="s">
        <v>85</v>
      </c>
      <c r="B604" s="142">
        <f>B514+B491+B378+B355</f>
        <v>14000</v>
      </c>
      <c r="C604" s="142">
        <f>C514+C491+C378+C355</f>
        <v>14000</v>
      </c>
      <c r="D604" s="142">
        <f>D514+D491+D378+D355</f>
        <v>14000</v>
      </c>
      <c r="E604" s="142">
        <f>E514+E491+E378+E355</f>
        <v>14000</v>
      </c>
    </row>
    <row r="605" spans="1:5" ht="24.75" thickBot="1" x14ac:dyDescent="0.3">
      <c r="A605" s="295" t="s">
        <v>125</v>
      </c>
      <c r="B605" s="158"/>
      <c r="C605" s="171">
        <f>C604/B604-1</f>
        <v>0</v>
      </c>
      <c r="D605" s="171">
        <f t="shared" ref="D605:E605" si="77">D604/C604-1</f>
        <v>0</v>
      </c>
      <c r="E605" s="171">
        <f t="shared" si="77"/>
        <v>0</v>
      </c>
    </row>
    <row r="606" spans="1:5" ht="15.75" thickBot="1" x14ac:dyDescent="0.3">
      <c r="A606" s="151" t="s">
        <v>86</v>
      </c>
      <c r="B606" s="142">
        <f>B515+B492+B379+B356</f>
        <v>27800</v>
      </c>
      <c r="C606" s="142">
        <f>C515+C492+C379+C356</f>
        <v>30000</v>
      </c>
      <c r="D606" s="142">
        <f>D515+D492+D379+D356</f>
        <v>30500</v>
      </c>
      <c r="E606" s="142">
        <f>E515+E492+E379+E356</f>
        <v>35000</v>
      </c>
    </row>
    <row r="607" spans="1:5" ht="24.75" thickBot="1" x14ac:dyDescent="0.3">
      <c r="A607" s="295" t="s">
        <v>126</v>
      </c>
      <c r="B607" s="158"/>
      <c r="C607" s="171">
        <f>C606/B606-1</f>
        <v>7.9136690647481966E-2</v>
      </c>
      <c r="D607" s="171">
        <f t="shared" ref="D607:E607" si="78">D606/C606-1</f>
        <v>1.6666666666666607E-2</v>
      </c>
      <c r="E607" s="171">
        <f t="shared" si="78"/>
        <v>0.14754098360655732</v>
      </c>
    </row>
    <row r="608" spans="1:5" ht="15.75" thickBot="1" x14ac:dyDescent="0.3">
      <c r="A608" s="151" t="s">
        <v>87</v>
      </c>
      <c r="B608" s="142">
        <f>B516+B493+B380+B357</f>
        <v>0</v>
      </c>
      <c r="C608" s="142">
        <f>C516+C493+C380+C357</f>
        <v>0</v>
      </c>
      <c r="D608" s="142">
        <f>D516+D493+D380+D357</f>
        <v>0</v>
      </c>
      <c r="E608" s="142">
        <f>E516+E493+E380+E357</f>
        <v>0</v>
      </c>
    </row>
    <row r="609" spans="1:5" ht="24.75" thickBot="1" x14ac:dyDescent="0.3">
      <c r="A609" s="295" t="s">
        <v>228</v>
      </c>
      <c r="B609" s="158"/>
      <c r="C609" s="171" t="e">
        <f>C608/B608-1</f>
        <v>#DIV/0!</v>
      </c>
      <c r="D609" s="171" t="e">
        <f t="shared" ref="D609:E609" si="79">D608/C608-1</f>
        <v>#DIV/0!</v>
      </c>
      <c r="E609" s="171" t="e">
        <f t="shared" si="79"/>
        <v>#DIV/0!</v>
      </c>
    </row>
    <row r="610" spans="1:5" ht="24.75" thickBot="1" x14ac:dyDescent="0.3">
      <c r="A610" s="151" t="s">
        <v>88</v>
      </c>
      <c r="B610" s="142">
        <f>B517+B494+B381+B358</f>
        <v>0</v>
      </c>
      <c r="C610" s="142">
        <f>C517+C494+C381+C358</f>
        <v>0</v>
      </c>
      <c r="D610" s="142">
        <f>D517+D494+D381+D358</f>
        <v>0</v>
      </c>
      <c r="E610" s="142">
        <f>E517+E494+E381+E358</f>
        <v>0</v>
      </c>
    </row>
    <row r="611" spans="1:5" ht="24.75" thickBot="1" x14ac:dyDescent="0.3">
      <c r="A611" s="295" t="s">
        <v>229</v>
      </c>
      <c r="B611" s="158"/>
      <c r="C611" s="171" t="e">
        <f>C610/B610-1</f>
        <v>#DIV/0!</v>
      </c>
      <c r="D611" s="171" t="e">
        <f t="shared" ref="D611:E611" si="80">D610/C610-1</f>
        <v>#DIV/0!</v>
      </c>
      <c r="E611" s="171" t="e">
        <f t="shared" si="80"/>
        <v>#DIV/0!</v>
      </c>
    </row>
    <row r="612" spans="1:5" ht="15.75" thickBot="1" x14ac:dyDescent="0.3">
      <c r="A612" s="151" t="s">
        <v>89</v>
      </c>
      <c r="B612" s="142">
        <f>B518+B495+B382+B359</f>
        <v>6500</v>
      </c>
      <c r="C612" s="142">
        <f>C518+C495+C382+C359</f>
        <v>8500</v>
      </c>
      <c r="D612" s="142">
        <f>D518+D495+D382+D359</f>
        <v>9000</v>
      </c>
      <c r="E612" s="142">
        <f>E518+E495+E382+E359</f>
        <v>9500</v>
      </c>
    </row>
    <row r="613" spans="1:5" ht="24.75" thickBot="1" x14ac:dyDescent="0.3">
      <c r="A613" s="295" t="s">
        <v>230</v>
      </c>
      <c r="B613" s="158"/>
      <c r="C613" s="171">
        <f>C612/B612-1</f>
        <v>0.30769230769230771</v>
      </c>
      <c r="D613" s="171">
        <f t="shared" ref="D613:E613" si="81">D612/C612-1</f>
        <v>5.8823529411764719E-2</v>
      </c>
      <c r="E613" s="171">
        <f t="shared" si="81"/>
        <v>5.555555555555558E-2</v>
      </c>
    </row>
    <row r="614" spans="1:5" ht="24.75" thickBot="1" x14ac:dyDescent="0.3">
      <c r="A614" s="151" t="s">
        <v>90</v>
      </c>
      <c r="B614" s="142">
        <f>B519+B496+B383+B360</f>
        <v>0</v>
      </c>
      <c r="C614" s="142">
        <f>C519+C496+C383+C360</f>
        <v>0</v>
      </c>
      <c r="D614" s="142">
        <f>D519+D496+D383+D360</f>
        <v>0</v>
      </c>
      <c r="E614" s="142">
        <f>E519+E496+E383+E360</f>
        <v>0</v>
      </c>
    </row>
    <row r="615" spans="1:5" ht="24.75" thickBot="1" x14ac:dyDescent="0.3">
      <c r="A615" s="295" t="s">
        <v>231</v>
      </c>
      <c r="B615" s="158"/>
      <c r="C615" s="171" t="e">
        <f>C614/B614-1</f>
        <v>#DIV/0!</v>
      </c>
      <c r="D615" s="171" t="e">
        <f t="shared" ref="D615:E615" si="82">D614/C614-1</f>
        <v>#DIV/0!</v>
      </c>
      <c r="E615" s="171" t="e">
        <f t="shared" si="82"/>
        <v>#DIV/0!</v>
      </c>
    </row>
    <row r="616" spans="1:5" ht="15.75" thickBot="1" x14ac:dyDescent="0.3">
      <c r="A616" s="151" t="s">
        <v>127</v>
      </c>
      <c r="B616" s="142">
        <f>B403+B424+B444+B462+B539+B557+B577+B595</f>
        <v>0</v>
      </c>
      <c r="C616" s="142">
        <f>C403+C424+C444+C462+C539+C557+C577+C595</f>
        <v>0</v>
      </c>
      <c r="D616" s="142">
        <f>D403+D424+D444+D462+D539+D557+D577+D595</f>
        <v>0</v>
      </c>
      <c r="E616" s="142">
        <f>E403+E424+E444+E462+E539+E557+E577+E595</f>
        <v>0</v>
      </c>
    </row>
    <row r="617" spans="1:5" ht="24.75" thickBot="1" x14ac:dyDescent="0.3">
      <c r="A617" s="295" t="s">
        <v>128</v>
      </c>
      <c r="B617" s="158"/>
      <c r="C617" s="171" t="e">
        <f>C616/B616-1</f>
        <v>#DIV/0!</v>
      </c>
      <c r="D617" s="171" t="e">
        <f t="shared" ref="D617:E617" si="83">D616/C616-1</f>
        <v>#DIV/0!</v>
      </c>
      <c r="E617" s="171" t="e">
        <f t="shared" si="83"/>
        <v>#DIV/0!</v>
      </c>
    </row>
    <row r="618" spans="1:5" ht="15.75" thickBot="1" x14ac:dyDescent="0.3">
      <c r="A618" s="151" t="s">
        <v>232</v>
      </c>
      <c r="B618" s="142">
        <f>B404+B425+B445+B463+B540+B558+B578+B596</f>
        <v>6000</v>
      </c>
      <c r="C618" s="142">
        <f>C404+C425+C445+C463+C540+C558+C578+C596</f>
        <v>6000</v>
      </c>
      <c r="D618" s="142">
        <f>D404+D425+D445+D463+D540+D558+D578+D596</f>
        <v>5700</v>
      </c>
      <c r="E618" s="142">
        <f>E404+E425+E445+E463+E540+E558+E578+E596</f>
        <v>10000</v>
      </c>
    </row>
    <row r="619" spans="1:5" ht="24.75" thickBot="1" x14ac:dyDescent="0.3">
      <c r="A619" s="295" t="s">
        <v>233</v>
      </c>
      <c r="B619" s="158"/>
      <c r="C619" s="171">
        <f>C618/B618-1</f>
        <v>0</v>
      </c>
      <c r="D619" s="171">
        <f t="shared" ref="D619:E619" si="84">D618/C618-1</f>
        <v>-5.0000000000000044E-2</v>
      </c>
      <c r="E619" s="171">
        <f t="shared" si="84"/>
        <v>0.7543859649122806</v>
      </c>
    </row>
    <row r="620" spans="1:5" ht="15.75" thickBot="1" x14ac:dyDescent="0.3">
      <c r="A620" s="154" t="s">
        <v>92</v>
      </c>
      <c r="B620" s="160">
        <f>IF(B600-B599=0,0,"Error")</f>
        <v>0</v>
      </c>
      <c r="C620" s="160">
        <f t="shared" ref="C620:E620" si="85">IF(C600-C599=0,0,"Error")</f>
        <v>0</v>
      </c>
      <c r="D620" s="160">
        <f t="shared" si="85"/>
        <v>0</v>
      </c>
      <c r="E620" s="160">
        <f t="shared" si="85"/>
        <v>0</v>
      </c>
    </row>
    <row r="621" spans="1:5" ht="36.75" thickBot="1" x14ac:dyDescent="0.3">
      <c r="A621" s="165" t="s">
        <v>129</v>
      </c>
      <c r="B621" s="142">
        <v>104</v>
      </c>
      <c r="C621" s="142">
        <v>104</v>
      </c>
      <c r="D621" s="142">
        <v>104</v>
      </c>
      <c r="E621" s="142">
        <v>104</v>
      </c>
    </row>
    <row r="622" spans="1:5" ht="36.75" thickBot="1" x14ac:dyDescent="0.3">
      <c r="A622" s="165" t="s">
        <v>130</v>
      </c>
      <c r="B622" s="142">
        <v>4</v>
      </c>
      <c r="C622" s="142">
        <v>5</v>
      </c>
      <c r="D622" s="142">
        <v>5</v>
      </c>
      <c r="E622" s="142">
        <v>5</v>
      </c>
    </row>
    <row r="623" spans="1:5" ht="47.25" customHeight="1" thickBot="1" x14ac:dyDescent="0.3">
      <c r="A623" s="128" t="s">
        <v>38</v>
      </c>
      <c r="B623" s="1023" t="s">
        <v>673</v>
      </c>
      <c r="C623" s="1024"/>
      <c r="D623" s="1024"/>
      <c r="E623" s="1025"/>
    </row>
    <row r="624" spans="1:5" x14ac:dyDescent="0.25">
      <c r="A624" s="893" t="s">
        <v>138</v>
      </c>
      <c r="B624" s="129">
        <v>2018</v>
      </c>
      <c r="C624" s="129">
        <v>2019</v>
      </c>
      <c r="D624" s="129">
        <v>2020</v>
      </c>
      <c r="E624" s="129">
        <v>2021</v>
      </c>
    </row>
    <row r="625" spans="1:5" ht="15.75" thickBot="1" x14ac:dyDescent="0.3">
      <c r="A625" s="894"/>
      <c r="B625" s="130" t="s">
        <v>41</v>
      </c>
      <c r="C625" s="130" t="s">
        <v>42</v>
      </c>
      <c r="D625" s="130" t="s">
        <v>42</v>
      </c>
      <c r="E625" s="130" t="s">
        <v>42</v>
      </c>
    </row>
    <row r="626" spans="1:5" ht="45.75" thickBot="1" x14ac:dyDescent="0.3">
      <c r="A626" s="297" t="s">
        <v>461</v>
      </c>
      <c r="B626" s="298">
        <v>1</v>
      </c>
      <c r="C626" s="298">
        <v>1</v>
      </c>
      <c r="D626" s="298">
        <v>1</v>
      </c>
      <c r="E626" s="298">
        <v>1</v>
      </c>
    </row>
    <row r="627" spans="1:5" ht="15.75" thickBot="1" x14ac:dyDescent="0.3">
      <c r="A627" s="133" t="s">
        <v>370</v>
      </c>
      <c r="B627" s="132" t="s">
        <v>60</v>
      </c>
      <c r="C627" s="132" t="s">
        <v>61</v>
      </c>
      <c r="D627" s="132" t="s">
        <v>61</v>
      </c>
      <c r="E627" s="132" t="s">
        <v>61</v>
      </c>
    </row>
    <row r="628" spans="1:5" ht="23.25" thickBot="1" x14ac:dyDescent="0.3">
      <c r="A628" s="133" t="s">
        <v>343</v>
      </c>
      <c r="B628" s="132" t="s">
        <v>60</v>
      </c>
      <c r="C628" s="132" t="s">
        <v>61</v>
      </c>
      <c r="D628" s="132" t="s">
        <v>61</v>
      </c>
      <c r="E628" s="132" t="s">
        <v>61</v>
      </c>
    </row>
    <row r="629" spans="1:5" ht="41.25" customHeight="1" thickBot="1" x14ac:dyDescent="0.3">
      <c r="A629" s="134" t="s">
        <v>45</v>
      </c>
      <c r="B629" s="884" t="s">
        <v>462</v>
      </c>
      <c r="C629" s="885"/>
      <c r="D629" s="885"/>
      <c r="E629" s="886"/>
    </row>
    <row r="630" spans="1:5" ht="15.75" thickBot="1" x14ac:dyDescent="0.3">
      <c r="A630" s="1017" t="s">
        <v>463</v>
      </c>
      <c r="B630" s="1018"/>
      <c r="C630" s="1018"/>
      <c r="D630" s="1018"/>
      <c r="E630" s="1019"/>
    </row>
    <row r="631" spans="1:5" ht="15.75" thickBot="1" x14ac:dyDescent="0.3">
      <c r="A631" s="297" t="s">
        <v>464</v>
      </c>
      <c r="B631" s="298">
        <v>1</v>
      </c>
      <c r="C631" s="298">
        <v>1</v>
      </c>
      <c r="D631" s="298">
        <v>1</v>
      </c>
      <c r="E631" s="298">
        <v>1</v>
      </c>
    </row>
    <row r="632" spans="1:5" ht="15.75" thickBot="1" x14ac:dyDescent="0.3">
      <c r="A632" s="133" t="s">
        <v>370</v>
      </c>
      <c r="B632" s="132" t="s">
        <v>60</v>
      </c>
      <c r="C632" s="132" t="s">
        <v>61</v>
      </c>
      <c r="D632" s="132" t="s">
        <v>61</v>
      </c>
      <c r="E632" s="132" t="s">
        <v>61</v>
      </c>
    </row>
    <row r="633" spans="1:5" ht="23.25" thickBot="1" x14ac:dyDescent="0.3">
      <c r="A633" s="133" t="s">
        <v>343</v>
      </c>
      <c r="B633" s="132" t="s">
        <v>60</v>
      </c>
      <c r="C633" s="132" t="s">
        <v>61</v>
      </c>
      <c r="D633" s="132" t="s">
        <v>61</v>
      </c>
      <c r="E633" s="132" t="s">
        <v>61</v>
      </c>
    </row>
    <row r="634" spans="1:5" ht="15.75" thickBot="1" x14ac:dyDescent="0.3">
      <c r="A634" s="1020" t="s">
        <v>68</v>
      </c>
      <c r="B634" s="1021"/>
      <c r="C634" s="1021"/>
      <c r="D634" s="1021"/>
      <c r="E634" s="1022"/>
    </row>
    <row r="635" spans="1:5" ht="15.75" thickBot="1" x14ac:dyDescent="0.3">
      <c r="A635" s="1011" t="s">
        <v>69</v>
      </c>
      <c r="B635" s="1012"/>
      <c r="C635" s="1012"/>
      <c r="D635" s="1012"/>
      <c r="E635" s="1013"/>
    </row>
    <row r="636" spans="1:5" ht="15.75" thickBot="1" x14ac:dyDescent="0.3">
      <c r="A636" s="144" t="s">
        <v>70</v>
      </c>
      <c r="B636" s="999" t="s">
        <v>465</v>
      </c>
      <c r="C636" s="1000"/>
      <c r="D636" s="1000"/>
      <c r="E636" s="1001"/>
    </row>
    <row r="637" spans="1:5" ht="25.5" customHeight="1" thickBot="1" x14ac:dyDescent="0.3">
      <c r="A637" s="133" t="s">
        <v>72</v>
      </c>
      <c r="B637" s="945" t="s">
        <v>466</v>
      </c>
      <c r="C637" s="946"/>
      <c r="D637" s="946"/>
      <c r="E637" s="947"/>
    </row>
    <row r="638" spans="1:5" ht="15.75" thickBot="1" x14ac:dyDescent="0.3">
      <c r="A638" s="133" t="s">
        <v>74</v>
      </c>
      <c r="B638" s="1002" t="s">
        <v>467</v>
      </c>
      <c r="C638" s="1003"/>
      <c r="D638" s="1003"/>
      <c r="E638" s="1004"/>
    </row>
    <row r="639" spans="1:5" x14ac:dyDescent="0.25">
      <c r="A639" s="893"/>
      <c r="B639" s="145">
        <v>2018</v>
      </c>
      <c r="C639" s="145">
        <v>2019</v>
      </c>
      <c r="D639" s="145">
        <v>2020</v>
      </c>
      <c r="E639" s="145">
        <v>2021</v>
      </c>
    </row>
    <row r="640" spans="1:5" ht="15.75" thickBot="1" x14ac:dyDescent="0.3">
      <c r="A640" s="894"/>
      <c r="B640" s="146" t="s">
        <v>41</v>
      </c>
      <c r="C640" s="146" t="s">
        <v>42</v>
      </c>
      <c r="D640" s="146" t="s">
        <v>42</v>
      </c>
      <c r="E640" s="146" t="s">
        <v>42</v>
      </c>
    </row>
    <row r="641" spans="1:5" ht="15.75" thickBot="1" x14ac:dyDescent="0.3">
      <c r="A641" s="299" t="s">
        <v>76</v>
      </c>
      <c r="B641" s="300">
        <v>4585</v>
      </c>
      <c r="C641" s="300">
        <v>4585</v>
      </c>
      <c r="D641" s="300">
        <v>4585</v>
      </c>
      <c r="E641" s="300">
        <v>4585</v>
      </c>
    </row>
    <row r="642" spans="1:5" ht="15.75" thickBot="1" x14ac:dyDescent="0.3">
      <c r="A642" s="133" t="s">
        <v>77</v>
      </c>
      <c r="B642" s="147">
        <v>116000</v>
      </c>
      <c r="C642" s="147">
        <f>C657</f>
        <v>117000</v>
      </c>
      <c r="D642" s="147">
        <f t="shared" ref="D642:E642" si="86">D657</f>
        <v>117000</v>
      </c>
      <c r="E642" s="147">
        <f t="shared" si="86"/>
        <v>117000</v>
      </c>
    </row>
    <row r="643" spans="1:5" ht="15.75" thickBot="1" x14ac:dyDescent="0.3">
      <c r="A643" s="133" t="s">
        <v>78</v>
      </c>
      <c r="B643" s="147">
        <f>B642/B641</f>
        <v>25.299890948745912</v>
      </c>
      <c r="C643" s="147">
        <f t="shared" ref="C643:E643" si="87">C642/C641</f>
        <v>25.517993456924756</v>
      </c>
      <c r="D643" s="147">
        <f t="shared" si="87"/>
        <v>25.517993456924756</v>
      </c>
      <c r="E643" s="147">
        <f t="shared" si="87"/>
        <v>25.517993456924756</v>
      </c>
    </row>
    <row r="644" spans="1:5" ht="15.75" thickBot="1" x14ac:dyDescent="0.3">
      <c r="A644" s="133" t="s">
        <v>79</v>
      </c>
      <c r="B644" s="148" t="s">
        <v>80</v>
      </c>
      <c r="C644" s="149">
        <f>C641/B641-1</f>
        <v>0</v>
      </c>
      <c r="D644" s="149">
        <f t="shared" ref="D644:E646" si="88">D641/C641-1</f>
        <v>0</v>
      </c>
      <c r="E644" s="149">
        <f t="shared" si="88"/>
        <v>0</v>
      </c>
    </row>
    <row r="645" spans="1:5" ht="15.75" thickBot="1" x14ac:dyDescent="0.3">
      <c r="A645" s="133" t="s">
        <v>81</v>
      </c>
      <c r="B645" s="148" t="s">
        <v>80</v>
      </c>
      <c r="C645" s="149">
        <f>C642/B642-1</f>
        <v>8.6206896551723755E-3</v>
      </c>
      <c r="D645" s="149">
        <f t="shared" si="88"/>
        <v>0</v>
      </c>
      <c r="E645" s="149">
        <f t="shared" si="88"/>
        <v>0</v>
      </c>
    </row>
    <row r="646" spans="1:5" ht="23.25" thickBot="1" x14ac:dyDescent="0.3">
      <c r="A646" s="133" t="s">
        <v>82</v>
      </c>
      <c r="B646" s="148" t="s">
        <v>80</v>
      </c>
      <c r="C646" s="149">
        <f>C643/B643-1</f>
        <v>8.6206896551723755E-3</v>
      </c>
      <c r="D646" s="149">
        <f t="shared" si="88"/>
        <v>0</v>
      </c>
      <c r="E646" s="149">
        <f t="shared" si="88"/>
        <v>0</v>
      </c>
    </row>
    <row r="647" spans="1:5" ht="15.75" thickBot="1" x14ac:dyDescent="0.3">
      <c r="A647" s="1005" t="s">
        <v>83</v>
      </c>
      <c r="B647" s="1006"/>
      <c r="C647" s="1006"/>
      <c r="D647" s="1006"/>
      <c r="E647" s="1007"/>
    </row>
    <row r="648" spans="1:5" x14ac:dyDescent="0.25">
      <c r="A648" s="893"/>
      <c r="B648" s="145">
        <v>2018</v>
      </c>
      <c r="C648" s="145">
        <v>2019</v>
      </c>
      <c r="D648" s="145">
        <v>2020</v>
      </c>
      <c r="E648" s="145">
        <v>2021</v>
      </c>
    </row>
    <row r="649" spans="1:5" ht="15.75" thickBot="1" x14ac:dyDescent="0.3">
      <c r="A649" s="894"/>
      <c r="B649" s="146" t="s">
        <v>41</v>
      </c>
      <c r="C649" s="146" t="s">
        <v>42</v>
      </c>
      <c r="D649" s="146" t="s">
        <v>42</v>
      </c>
      <c r="E649" s="146" t="s">
        <v>42</v>
      </c>
    </row>
    <row r="650" spans="1:5" ht="15.75" thickBot="1" x14ac:dyDescent="0.3">
      <c r="A650" s="301" t="s">
        <v>84</v>
      </c>
      <c r="B650" s="302">
        <v>90000</v>
      </c>
      <c r="C650" s="302">
        <v>90000</v>
      </c>
      <c r="D650" s="302">
        <v>90000</v>
      </c>
      <c r="E650" s="302">
        <v>90000</v>
      </c>
    </row>
    <row r="651" spans="1:5" ht="24.75" thickBot="1" x14ac:dyDescent="0.3">
      <c r="A651" s="301" t="s">
        <v>85</v>
      </c>
      <c r="B651" s="302">
        <v>13000</v>
      </c>
      <c r="C651" s="302">
        <v>13000</v>
      </c>
      <c r="D651" s="302">
        <v>13000</v>
      </c>
      <c r="E651" s="302">
        <v>13000</v>
      </c>
    </row>
    <row r="652" spans="1:5" ht="15.75" thickBot="1" x14ac:dyDescent="0.3">
      <c r="A652" s="301" t="s">
        <v>86</v>
      </c>
      <c r="B652" s="302">
        <v>13000</v>
      </c>
      <c r="C652" s="302">
        <v>14000</v>
      </c>
      <c r="D652" s="302">
        <v>14000</v>
      </c>
      <c r="E652" s="302">
        <v>14000</v>
      </c>
    </row>
    <row r="653" spans="1:5" ht="15.75" thickBot="1" x14ac:dyDescent="0.3">
      <c r="A653" s="151" t="s">
        <v>87</v>
      </c>
      <c r="B653" s="158"/>
      <c r="C653" s="142"/>
      <c r="D653" s="142"/>
      <c r="E653" s="142"/>
    </row>
    <row r="654" spans="1:5" ht="24.75" thickBot="1" x14ac:dyDescent="0.3">
      <c r="A654" s="151" t="s">
        <v>88</v>
      </c>
      <c r="B654" s="158"/>
      <c r="C654" s="142"/>
      <c r="D654" s="142"/>
      <c r="E654" s="142"/>
    </row>
    <row r="655" spans="1:5" ht="15.75" thickBot="1" x14ac:dyDescent="0.3">
      <c r="A655" s="151" t="s">
        <v>89</v>
      </c>
      <c r="B655" s="158"/>
      <c r="C655" s="142"/>
      <c r="D655" s="142"/>
      <c r="E655" s="142"/>
    </row>
    <row r="656" spans="1:5" ht="24.75" thickBot="1" x14ac:dyDescent="0.3">
      <c r="A656" s="151" t="s">
        <v>90</v>
      </c>
      <c r="B656" s="158"/>
      <c r="C656" s="142"/>
      <c r="D656" s="142"/>
      <c r="E656" s="142"/>
    </row>
    <row r="657" spans="1:5" ht="15.75" thickBot="1" x14ac:dyDescent="0.3">
      <c r="A657" s="153" t="s">
        <v>91</v>
      </c>
      <c r="B657" s="158">
        <f>B656+B655+B654+B653+B652+B651+B650</f>
        <v>116000</v>
      </c>
      <c r="C657" s="158">
        <f>C656+C655+C654+C653+C652+C651+C650</f>
        <v>117000</v>
      </c>
      <c r="D657" s="158">
        <f>D656+D655+D654+D653+D652+D651+D650</f>
        <v>117000</v>
      </c>
      <c r="E657" s="158">
        <f>E656+E655+E654+E653+E652+E651+E650</f>
        <v>117000</v>
      </c>
    </row>
    <row r="658" spans="1:5" ht="15.75" thickBot="1" x14ac:dyDescent="0.3">
      <c r="A658" s="154" t="s">
        <v>92</v>
      </c>
      <c r="B658" s="160">
        <f>IF(B657-B642=0,0,"Error")</f>
        <v>0</v>
      </c>
      <c r="C658" s="160">
        <f>IF(C657-C642=0,0,"Error")</f>
        <v>0</v>
      </c>
      <c r="D658" s="160">
        <f>IF(D657-D642=0,0,"Error")</f>
        <v>0</v>
      </c>
      <c r="E658" s="160">
        <f>IF(E657-E642=0,0,"Error")</f>
        <v>0</v>
      </c>
    </row>
    <row r="659" spans="1:5" ht="23.25" thickBot="1" x14ac:dyDescent="0.3">
      <c r="A659" s="190" t="s">
        <v>667</v>
      </c>
      <c r="B659" s="1014" t="s">
        <v>364</v>
      </c>
      <c r="C659" s="1015"/>
      <c r="D659" s="1015"/>
      <c r="E659" s="1016"/>
    </row>
    <row r="660" spans="1:5" ht="15.75" thickBot="1" x14ac:dyDescent="0.3">
      <c r="A660" s="133" t="s">
        <v>72</v>
      </c>
      <c r="B660" s="945" t="s">
        <v>364</v>
      </c>
      <c r="C660" s="946"/>
      <c r="D660" s="946"/>
      <c r="E660" s="947"/>
    </row>
    <row r="661" spans="1:5" ht="15.75" thickBot="1" x14ac:dyDescent="0.3">
      <c r="A661" s="133" t="s">
        <v>74</v>
      </c>
      <c r="B661" s="1002" t="s">
        <v>364</v>
      </c>
      <c r="C661" s="1003"/>
      <c r="D661" s="1003"/>
      <c r="E661" s="1004"/>
    </row>
    <row r="662" spans="1:5" ht="15.75" thickBot="1" x14ac:dyDescent="0.3">
      <c r="A662" s="133" t="s">
        <v>76</v>
      </c>
      <c r="B662" s="147"/>
      <c r="C662" s="147"/>
      <c r="D662" s="147"/>
      <c r="E662" s="147"/>
    </row>
    <row r="663" spans="1:5" x14ac:dyDescent="0.25">
      <c r="A663" s="893"/>
      <c r="B663" s="145">
        <v>2018</v>
      </c>
      <c r="C663" s="145">
        <v>2019</v>
      </c>
      <c r="D663" s="145">
        <v>2020</v>
      </c>
      <c r="E663" s="145">
        <v>2021</v>
      </c>
    </row>
    <row r="664" spans="1:5" ht="15.75" thickBot="1" x14ac:dyDescent="0.3">
      <c r="A664" s="894"/>
      <c r="B664" s="146" t="s">
        <v>41</v>
      </c>
      <c r="C664" s="146" t="s">
        <v>42</v>
      </c>
      <c r="D664" s="146" t="s">
        <v>42</v>
      </c>
      <c r="E664" s="146" t="s">
        <v>42</v>
      </c>
    </row>
    <row r="665" spans="1:5" ht="15.75" thickBot="1" x14ac:dyDescent="0.3">
      <c r="A665" s="133" t="s">
        <v>77</v>
      </c>
      <c r="B665" s="147"/>
      <c r="C665" s="147"/>
      <c r="D665" s="147"/>
      <c r="E665" s="147"/>
    </row>
    <row r="666" spans="1:5" ht="15.75" thickBot="1" x14ac:dyDescent="0.3">
      <c r="A666" s="133" t="s">
        <v>78</v>
      </c>
      <c r="B666" s="147" t="e">
        <f>B665/B662</f>
        <v>#DIV/0!</v>
      </c>
      <c r="C666" s="147" t="e">
        <f>C665/C662</f>
        <v>#DIV/0!</v>
      </c>
      <c r="D666" s="147" t="e">
        <f>D665/D662</f>
        <v>#DIV/0!</v>
      </c>
      <c r="E666" s="147" t="e">
        <f>E665/E662</f>
        <v>#DIV/0!</v>
      </c>
    </row>
    <row r="667" spans="1:5" ht="15.75" thickBot="1" x14ac:dyDescent="0.3">
      <c r="A667" s="133" t="s">
        <v>79</v>
      </c>
      <c r="B667" s="148"/>
      <c r="C667" s="149" t="e">
        <f>C662/B662-1</f>
        <v>#DIV/0!</v>
      </c>
      <c r="D667" s="149" t="e">
        <f>D662/C662-1</f>
        <v>#DIV/0!</v>
      </c>
      <c r="E667" s="149" t="e">
        <f>E662/D662-1</f>
        <v>#DIV/0!</v>
      </c>
    </row>
    <row r="668" spans="1:5" ht="15.75" thickBot="1" x14ac:dyDescent="0.3">
      <c r="A668" s="133" t="s">
        <v>81</v>
      </c>
      <c r="B668" s="148"/>
      <c r="C668" s="149" t="e">
        <f>C665/B665-1</f>
        <v>#DIV/0!</v>
      </c>
      <c r="D668" s="149" t="e">
        <f t="shared" ref="D668:E669" si="89">D665/C665-1</f>
        <v>#DIV/0!</v>
      </c>
      <c r="E668" s="149" t="e">
        <f t="shared" si="89"/>
        <v>#DIV/0!</v>
      </c>
    </row>
    <row r="669" spans="1:5" ht="23.25" thickBot="1" x14ac:dyDescent="0.3">
      <c r="A669" s="133" t="s">
        <v>82</v>
      </c>
      <c r="B669" s="148"/>
      <c r="C669" s="149" t="e">
        <f>C666/B666-1</f>
        <v>#DIV/0!</v>
      </c>
      <c r="D669" s="149" t="e">
        <f t="shared" si="89"/>
        <v>#DIV/0!</v>
      </c>
      <c r="E669" s="149" t="e">
        <f t="shared" si="89"/>
        <v>#DIV/0!</v>
      </c>
    </row>
    <row r="670" spans="1:5" ht="15.75" thickBot="1" x14ac:dyDescent="0.3">
      <c r="A670" s="1005" t="s">
        <v>437</v>
      </c>
      <c r="B670" s="1006"/>
      <c r="C670" s="1006"/>
      <c r="D670" s="1006"/>
      <c r="E670" s="1007"/>
    </row>
    <row r="671" spans="1:5" x14ac:dyDescent="0.25">
      <c r="A671" s="893"/>
      <c r="B671" s="145">
        <v>2018</v>
      </c>
      <c r="C671" s="145">
        <v>2019</v>
      </c>
      <c r="D671" s="145">
        <v>2020</v>
      </c>
      <c r="E671" s="145">
        <v>2021</v>
      </c>
    </row>
    <row r="672" spans="1:5" ht="15.75" thickBot="1" x14ac:dyDescent="0.3">
      <c r="A672" s="894"/>
      <c r="B672" s="146" t="s">
        <v>41</v>
      </c>
      <c r="C672" s="146" t="s">
        <v>42</v>
      </c>
      <c r="D672" s="146" t="s">
        <v>42</v>
      </c>
      <c r="E672" s="146" t="s">
        <v>42</v>
      </c>
    </row>
    <row r="673" spans="1:5" ht="15.75" thickBot="1" x14ac:dyDescent="0.3">
      <c r="A673" s="151" t="s">
        <v>84</v>
      </c>
      <c r="B673" s="142"/>
      <c r="C673" s="142"/>
      <c r="D673" s="142"/>
      <c r="E673" s="142"/>
    </row>
    <row r="674" spans="1:5" ht="24.75" thickBot="1" x14ac:dyDescent="0.3">
      <c r="A674" s="151" t="s">
        <v>85</v>
      </c>
      <c r="B674" s="142"/>
      <c r="C674" s="142"/>
      <c r="D674" s="142"/>
      <c r="E674" s="142"/>
    </row>
    <row r="675" spans="1:5" ht="15.75" thickBot="1" x14ac:dyDescent="0.3">
      <c r="A675" s="151" t="s">
        <v>86</v>
      </c>
      <c r="B675" s="158"/>
      <c r="C675" s="142"/>
      <c r="D675" s="142"/>
      <c r="E675" s="142"/>
    </row>
    <row r="676" spans="1:5" ht="15.75" thickBot="1" x14ac:dyDescent="0.3">
      <c r="A676" s="151" t="s">
        <v>87</v>
      </c>
      <c r="B676" s="158"/>
      <c r="C676" s="142"/>
      <c r="D676" s="142"/>
      <c r="E676" s="142"/>
    </row>
    <row r="677" spans="1:5" ht="24.75" thickBot="1" x14ac:dyDescent="0.3">
      <c r="A677" s="151" t="s">
        <v>88</v>
      </c>
      <c r="B677" s="158"/>
      <c r="C677" s="142"/>
      <c r="D677" s="142"/>
      <c r="E677" s="142"/>
    </row>
    <row r="678" spans="1:5" ht="15.75" thickBot="1" x14ac:dyDescent="0.3">
      <c r="A678" s="151" t="s">
        <v>89</v>
      </c>
      <c r="B678" s="158"/>
      <c r="C678" s="142"/>
      <c r="D678" s="142"/>
      <c r="E678" s="142"/>
    </row>
    <row r="679" spans="1:5" ht="24.75" thickBot="1" x14ac:dyDescent="0.3">
      <c r="A679" s="151" t="s">
        <v>90</v>
      </c>
      <c r="B679" s="158"/>
      <c r="C679" s="142"/>
      <c r="D679" s="142"/>
      <c r="E679" s="142"/>
    </row>
    <row r="680" spans="1:5" ht="24.75" thickBot="1" x14ac:dyDescent="0.3">
      <c r="A680" s="159" t="s">
        <v>176</v>
      </c>
      <c r="B680" s="158">
        <f>B679+B678+B677+B676+B675+B674+B673</f>
        <v>0</v>
      </c>
      <c r="C680" s="158">
        <f>C679+C678+C677+C676+C675+C674+C673</f>
        <v>0</v>
      </c>
      <c r="D680" s="158">
        <f>D679+D678+D677+D676+D675+D674+D673</f>
        <v>0</v>
      </c>
      <c r="E680" s="158">
        <f>E679+E678+E677+E676+E675+E674+E673</f>
        <v>0</v>
      </c>
    </row>
    <row r="681" spans="1:5" ht="15.75" thickBot="1" x14ac:dyDescent="0.3">
      <c r="A681" s="154" t="s">
        <v>92</v>
      </c>
      <c r="B681" s="160">
        <f>IF(B680-B665=0,0,"Error")</f>
        <v>0</v>
      </c>
      <c r="C681" s="160">
        <f>IF(C680-C665=0,0,"Error")</f>
        <v>0</v>
      </c>
      <c r="D681" s="160">
        <f>IF(D680-D665=0,0,"Error")</f>
        <v>0</v>
      </c>
      <c r="E681" s="160">
        <f>IF(E680-E665=0,0,"Error")</f>
        <v>0</v>
      </c>
    </row>
    <row r="682" spans="1:5" ht="15.75" thickBot="1" x14ac:dyDescent="0.3">
      <c r="A682" s="1011" t="s">
        <v>104</v>
      </c>
      <c r="B682" s="1012"/>
      <c r="C682" s="1012"/>
      <c r="D682" s="1012"/>
      <c r="E682" s="1013"/>
    </row>
    <row r="683" spans="1:5" ht="15.75" thickBot="1" x14ac:dyDescent="0.3">
      <c r="A683" s="1011" t="s">
        <v>105</v>
      </c>
      <c r="B683" s="1012"/>
      <c r="C683" s="1012"/>
      <c r="D683" s="1012"/>
      <c r="E683" s="1013"/>
    </row>
    <row r="684" spans="1:5" ht="23.25" thickBot="1" x14ac:dyDescent="0.3">
      <c r="A684" s="161" t="s">
        <v>106</v>
      </c>
      <c r="B684" s="996" t="s">
        <v>468</v>
      </c>
      <c r="C684" s="997"/>
      <c r="D684" s="997"/>
      <c r="E684" s="998"/>
    </row>
    <row r="685" spans="1:5" ht="15.75" thickBot="1" x14ac:dyDescent="0.3">
      <c r="A685" s="144" t="s">
        <v>108</v>
      </c>
      <c r="B685" s="999" t="s">
        <v>469</v>
      </c>
      <c r="C685" s="1000"/>
      <c r="D685" s="1000"/>
      <c r="E685" s="1001"/>
    </row>
    <row r="686" spans="1:5" ht="15.75" thickBot="1" x14ac:dyDescent="0.3">
      <c r="A686" s="133" t="s">
        <v>72</v>
      </c>
      <c r="B686" s="999" t="s">
        <v>470</v>
      </c>
      <c r="C686" s="1000"/>
      <c r="D686" s="1000"/>
      <c r="E686" s="1001"/>
    </row>
    <row r="687" spans="1:5" ht="15.75" thickBot="1" x14ac:dyDescent="0.3">
      <c r="A687" s="133" t="s">
        <v>74</v>
      </c>
      <c r="B687" s="1002" t="s">
        <v>467</v>
      </c>
      <c r="C687" s="1003"/>
      <c r="D687" s="1003"/>
      <c r="E687" s="1004"/>
    </row>
    <row r="688" spans="1:5" x14ac:dyDescent="0.25">
      <c r="A688" s="893"/>
      <c r="B688" s="145">
        <v>2018</v>
      </c>
      <c r="C688" s="145">
        <v>2019</v>
      </c>
      <c r="D688" s="145">
        <v>2020</v>
      </c>
      <c r="E688" s="145">
        <v>2021</v>
      </c>
    </row>
    <row r="689" spans="1:5" ht="15.75" thickBot="1" x14ac:dyDescent="0.3">
      <c r="A689" s="894"/>
      <c r="B689" s="146" t="s">
        <v>41</v>
      </c>
      <c r="C689" s="146" t="s">
        <v>42</v>
      </c>
      <c r="D689" s="146" t="s">
        <v>42</v>
      </c>
      <c r="E689" s="146" t="s">
        <v>42</v>
      </c>
    </row>
    <row r="690" spans="1:5" ht="15.75" thickBot="1" x14ac:dyDescent="0.3">
      <c r="A690" s="299" t="s">
        <v>76</v>
      </c>
      <c r="B690" s="300">
        <v>1</v>
      </c>
      <c r="C690" s="300">
        <v>2</v>
      </c>
      <c r="D690" s="300">
        <v>2</v>
      </c>
      <c r="E690" s="300">
        <v>2</v>
      </c>
    </row>
    <row r="691" spans="1:5" ht="15.75" thickBot="1" x14ac:dyDescent="0.3">
      <c r="A691" s="299" t="s">
        <v>77</v>
      </c>
      <c r="B691" s="300">
        <f>B701</f>
        <v>3000</v>
      </c>
      <c r="C691" s="300">
        <f t="shared" ref="C691:E691" si="90">C701</f>
        <v>6000</v>
      </c>
      <c r="D691" s="300">
        <f t="shared" si="90"/>
        <v>6000</v>
      </c>
      <c r="E691" s="300">
        <f t="shared" si="90"/>
        <v>5000</v>
      </c>
    </row>
    <row r="692" spans="1:5" ht="15.75" thickBot="1" x14ac:dyDescent="0.3">
      <c r="A692" s="299" t="s">
        <v>78</v>
      </c>
      <c r="B692" s="300">
        <f>B691/B690</f>
        <v>3000</v>
      </c>
      <c r="C692" s="300">
        <f t="shared" ref="C692:E692" si="91">C691/C690</f>
        <v>3000</v>
      </c>
      <c r="D692" s="300">
        <f t="shared" si="91"/>
        <v>3000</v>
      </c>
      <c r="E692" s="300">
        <f t="shared" si="91"/>
        <v>2500</v>
      </c>
    </row>
    <row r="693" spans="1:5" ht="15.75" thickBot="1" x14ac:dyDescent="0.3">
      <c r="A693" s="133" t="s">
        <v>79</v>
      </c>
      <c r="B693" s="148" t="s">
        <v>80</v>
      </c>
      <c r="C693" s="149">
        <f>C690/B690-1</f>
        <v>1</v>
      </c>
      <c r="D693" s="149">
        <f t="shared" ref="D693:E695" si="92">D690/C690-1</f>
        <v>0</v>
      </c>
      <c r="E693" s="149">
        <f t="shared" si="92"/>
        <v>0</v>
      </c>
    </row>
    <row r="694" spans="1:5" ht="15.75" thickBot="1" x14ac:dyDescent="0.3">
      <c r="A694" s="133" t="s">
        <v>81</v>
      </c>
      <c r="B694" s="148" t="s">
        <v>80</v>
      </c>
      <c r="C694" s="149">
        <f>C691/B691-1</f>
        <v>1</v>
      </c>
      <c r="D694" s="149">
        <f t="shared" si="92"/>
        <v>0</v>
      </c>
      <c r="E694" s="149">
        <f t="shared" si="92"/>
        <v>-0.16666666666666663</v>
      </c>
    </row>
    <row r="695" spans="1:5" ht="23.25" thickBot="1" x14ac:dyDescent="0.3">
      <c r="A695" s="133" t="s">
        <v>82</v>
      </c>
      <c r="B695" s="148" t="s">
        <v>80</v>
      </c>
      <c r="C695" s="149">
        <f>C692/B692-1</f>
        <v>0</v>
      </c>
      <c r="D695" s="149">
        <f t="shared" si="92"/>
        <v>0</v>
      </c>
      <c r="E695" s="149">
        <f t="shared" si="92"/>
        <v>-0.16666666666666663</v>
      </c>
    </row>
    <row r="696" spans="1:5" ht="15.75" thickBot="1" x14ac:dyDescent="0.3">
      <c r="A696" s="1005" t="s">
        <v>83</v>
      </c>
      <c r="B696" s="1006"/>
      <c r="C696" s="1006"/>
      <c r="D696" s="1006"/>
      <c r="E696" s="1007"/>
    </row>
    <row r="697" spans="1:5" x14ac:dyDescent="0.25">
      <c r="A697" s="893"/>
      <c r="B697" s="145">
        <v>2018</v>
      </c>
      <c r="C697" s="145">
        <v>2019</v>
      </c>
      <c r="D697" s="145">
        <v>2020</v>
      </c>
      <c r="E697" s="145">
        <v>2021</v>
      </c>
    </row>
    <row r="698" spans="1:5" ht="15.75" thickBot="1" x14ac:dyDescent="0.3">
      <c r="A698" s="894"/>
      <c r="B698" s="146" t="s">
        <v>41</v>
      </c>
      <c r="C698" s="146" t="s">
        <v>42</v>
      </c>
      <c r="D698" s="146" t="s">
        <v>42</v>
      </c>
      <c r="E698" s="146" t="s">
        <v>42</v>
      </c>
    </row>
    <row r="699" spans="1:5" ht="15.75" thickBot="1" x14ac:dyDescent="0.3">
      <c r="A699" s="151" t="s">
        <v>169</v>
      </c>
      <c r="B699" s="142"/>
      <c r="C699" s="142"/>
      <c r="D699" s="142"/>
      <c r="E699" s="142"/>
    </row>
    <row r="700" spans="1:5" ht="15.75" thickBot="1" x14ac:dyDescent="0.3">
      <c r="A700" s="301" t="s">
        <v>112</v>
      </c>
      <c r="B700" s="303">
        <v>3000</v>
      </c>
      <c r="C700" s="303">
        <v>6000</v>
      </c>
      <c r="D700" s="303">
        <v>6000</v>
      </c>
      <c r="E700" s="303">
        <v>5000</v>
      </c>
    </row>
    <row r="701" spans="1:5" ht="15.75" thickBot="1" x14ac:dyDescent="0.3">
      <c r="A701" s="153" t="s">
        <v>91</v>
      </c>
      <c r="B701" s="158">
        <f>B700+B699</f>
        <v>3000</v>
      </c>
      <c r="C701" s="158">
        <f t="shared" ref="C701:E701" si="93">C700+C699</f>
        <v>6000</v>
      </c>
      <c r="D701" s="158">
        <f t="shared" si="93"/>
        <v>6000</v>
      </c>
      <c r="E701" s="158">
        <f t="shared" si="93"/>
        <v>5000</v>
      </c>
    </row>
    <row r="702" spans="1:5" x14ac:dyDescent="0.25">
      <c r="A702" s="902" t="s">
        <v>113</v>
      </c>
      <c r="B702" s="905"/>
      <c r="C702" s="906"/>
      <c r="D702" s="906"/>
      <c r="E702" s="907"/>
    </row>
    <row r="703" spans="1:5" x14ac:dyDescent="0.25">
      <c r="A703" s="903"/>
      <c r="B703" s="908"/>
      <c r="C703" s="909"/>
      <c r="D703" s="909"/>
      <c r="E703" s="910"/>
    </row>
    <row r="704" spans="1:5" ht="15.75" thickBot="1" x14ac:dyDescent="0.3">
      <c r="A704" s="904"/>
      <c r="B704" s="911"/>
      <c r="C704" s="912"/>
      <c r="D704" s="912"/>
      <c r="E704" s="913"/>
    </row>
    <row r="705" spans="1:5" ht="15.75" thickBot="1" x14ac:dyDescent="0.3">
      <c r="A705" s="161" t="s">
        <v>257</v>
      </c>
      <c r="B705" s="996" t="s">
        <v>167</v>
      </c>
      <c r="C705" s="997"/>
      <c r="D705" s="997"/>
      <c r="E705" s="998"/>
    </row>
    <row r="706" spans="1:5" ht="23.25" thickBot="1" x14ac:dyDescent="0.3">
      <c r="A706" s="144" t="s">
        <v>460</v>
      </c>
      <c r="B706" s="999" t="s">
        <v>471</v>
      </c>
      <c r="C706" s="1000"/>
      <c r="D706" s="1000"/>
      <c r="E706" s="1001"/>
    </row>
    <row r="707" spans="1:5" ht="15.75" thickBot="1" x14ac:dyDescent="0.3">
      <c r="A707" s="133" t="s">
        <v>72</v>
      </c>
      <c r="B707" s="945" t="s">
        <v>472</v>
      </c>
      <c r="C707" s="946"/>
      <c r="D707" s="946"/>
      <c r="E707" s="947"/>
    </row>
    <row r="708" spans="1:5" ht="15.75" thickBot="1" x14ac:dyDescent="0.3">
      <c r="A708" s="133" t="s">
        <v>74</v>
      </c>
      <c r="B708" s="1002" t="s">
        <v>473</v>
      </c>
      <c r="C708" s="1003"/>
      <c r="D708" s="1003"/>
      <c r="E708" s="1004"/>
    </row>
    <row r="709" spans="1:5" x14ac:dyDescent="0.25">
      <c r="A709" s="893"/>
      <c r="B709" s="145">
        <v>2018</v>
      </c>
      <c r="C709" s="145">
        <v>2019</v>
      </c>
      <c r="D709" s="145">
        <v>2020</v>
      </c>
      <c r="E709" s="145">
        <v>2021</v>
      </c>
    </row>
    <row r="710" spans="1:5" ht="15.75" thickBot="1" x14ac:dyDescent="0.3">
      <c r="A710" s="894"/>
      <c r="B710" s="146" t="s">
        <v>41</v>
      </c>
      <c r="C710" s="146" t="s">
        <v>42</v>
      </c>
      <c r="D710" s="146" t="s">
        <v>42</v>
      </c>
      <c r="E710" s="146" t="s">
        <v>42</v>
      </c>
    </row>
    <row r="711" spans="1:5" ht="15.75" thickBot="1" x14ac:dyDescent="0.3">
      <c r="A711" s="133" t="s">
        <v>76</v>
      </c>
      <c r="B711" s="304">
        <v>45</v>
      </c>
      <c r="C711" s="304">
        <v>6</v>
      </c>
      <c r="D711" s="304">
        <v>6</v>
      </c>
      <c r="E711" s="304">
        <v>6</v>
      </c>
    </row>
    <row r="712" spans="1:5" ht="15.75" thickBot="1" x14ac:dyDescent="0.3">
      <c r="A712" s="133" t="s">
        <v>77</v>
      </c>
      <c r="B712" s="147">
        <f>B722</f>
        <v>3500</v>
      </c>
      <c r="C712" s="147">
        <f t="shared" ref="C712:E712" si="94">C722</f>
        <v>1000</v>
      </c>
      <c r="D712" s="147">
        <f t="shared" si="94"/>
        <v>1000</v>
      </c>
      <c r="E712" s="147">
        <f t="shared" si="94"/>
        <v>500</v>
      </c>
    </row>
    <row r="713" spans="1:5" ht="15.75" thickBot="1" x14ac:dyDescent="0.3">
      <c r="A713" s="133" t="s">
        <v>78</v>
      </c>
      <c r="B713" s="147">
        <f>B712/B711</f>
        <v>77.777777777777771</v>
      </c>
      <c r="C713" s="147">
        <f t="shared" ref="C713:E713" si="95">C712/C711</f>
        <v>166.66666666666666</v>
      </c>
      <c r="D713" s="147">
        <f t="shared" si="95"/>
        <v>166.66666666666666</v>
      </c>
      <c r="E713" s="147">
        <f t="shared" si="95"/>
        <v>83.333333333333329</v>
      </c>
    </row>
    <row r="714" spans="1:5" ht="15.75" thickBot="1" x14ac:dyDescent="0.3">
      <c r="A714" s="133" t="s">
        <v>79</v>
      </c>
      <c r="B714" s="148" t="s">
        <v>80</v>
      </c>
      <c r="C714" s="149">
        <f>C711/B711-1</f>
        <v>-0.8666666666666667</v>
      </c>
      <c r="D714" s="149">
        <f t="shared" ref="D714:E716" si="96">D711/C711-1</f>
        <v>0</v>
      </c>
      <c r="E714" s="149">
        <f t="shared" si="96"/>
        <v>0</v>
      </c>
    </row>
    <row r="715" spans="1:5" ht="15.75" thickBot="1" x14ac:dyDescent="0.3">
      <c r="A715" s="133" t="s">
        <v>81</v>
      </c>
      <c r="B715" s="148" t="s">
        <v>80</v>
      </c>
      <c r="C715" s="149">
        <f>C712/B712-1</f>
        <v>-0.7142857142857143</v>
      </c>
      <c r="D715" s="149">
        <f t="shared" si="96"/>
        <v>0</v>
      </c>
      <c r="E715" s="149">
        <f t="shared" si="96"/>
        <v>-0.5</v>
      </c>
    </row>
    <row r="716" spans="1:5" ht="23.25" thickBot="1" x14ac:dyDescent="0.3">
      <c r="A716" s="133" t="s">
        <v>82</v>
      </c>
      <c r="B716" s="148" t="s">
        <v>80</v>
      </c>
      <c r="C716" s="149">
        <f>C713/B713-1</f>
        <v>1.1428571428571428</v>
      </c>
      <c r="D716" s="149">
        <f t="shared" si="96"/>
        <v>0</v>
      </c>
      <c r="E716" s="149">
        <f t="shared" si="96"/>
        <v>-0.5</v>
      </c>
    </row>
    <row r="717" spans="1:5" ht="15.75" thickBot="1" x14ac:dyDescent="0.3">
      <c r="A717" s="1005" t="s">
        <v>366</v>
      </c>
      <c r="B717" s="1006"/>
      <c r="C717" s="1006"/>
      <c r="D717" s="1006"/>
      <c r="E717" s="1007"/>
    </row>
    <row r="718" spans="1:5" x14ac:dyDescent="0.25">
      <c r="A718" s="893"/>
      <c r="B718" s="145">
        <v>2018</v>
      </c>
      <c r="C718" s="145">
        <v>2019</v>
      </c>
      <c r="D718" s="145">
        <v>2020</v>
      </c>
      <c r="E718" s="145">
        <v>2021</v>
      </c>
    </row>
    <row r="719" spans="1:5" ht="15.75" thickBot="1" x14ac:dyDescent="0.3">
      <c r="A719" s="894"/>
      <c r="B719" s="146" t="s">
        <v>41</v>
      </c>
      <c r="C719" s="146" t="s">
        <v>42</v>
      </c>
      <c r="D719" s="146" t="s">
        <v>42</v>
      </c>
      <c r="E719" s="146" t="s">
        <v>42</v>
      </c>
    </row>
    <row r="720" spans="1:5" ht="15.75" thickBot="1" x14ac:dyDescent="0.3">
      <c r="A720" s="151" t="s">
        <v>169</v>
      </c>
      <c r="B720" s="142"/>
      <c r="C720" s="142"/>
      <c r="D720" s="142"/>
      <c r="E720" s="142"/>
    </row>
    <row r="721" spans="1:5" ht="15.75" thickBot="1" x14ac:dyDescent="0.3">
      <c r="A721" s="151" t="s">
        <v>112</v>
      </c>
      <c r="B721" s="303">
        <v>3500</v>
      </c>
      <c r="C721" s="305">
        <v>1000</v>
      </c>
      <c r="D721" s="305">
        <v>1000</v>
      </c>
      <c r="E721" s="305">
        <v>500</v>
      </c>
    </row>
    <row r="722" spans="1:5" ht="15.75" thickBot="1" x14ac:dyDescent="0.3">
      <c r="A722" s="153" t="s">
        <v>98</v>
      </c>
      <c r="B722" s="158">
        <f>B721+B720</f>
        <v>3500</v>
      </c>
      <c r="C722" s="158">
        <f t="shared" ref="C722:E722" si="97">C721+C720</f>
        <v>1000</v>
      </c>
      <c r="D722" s="158">
        <f t="shared" si="97"/>
        <v>1000</v>
      </c>
      <c r="E722" s="158">
        <f t="shared" si="97"/>
        <v>500</v>
      </c>
    </row>
    <row r="723" spans="1:5" x14ac:dyDescent="0.25">
      <c r="A723" s="902" t="s">
        <v>113</v>
      </c>
      <c r="B723" s="905"/>
      <c r="C723" s="906"/>
      <c r="D723" s="906"/>
      <c r="E723" s="907"/>
    </row>
    <row r="724" spans="1:5" x14ac:dyDescent="0.25">
      <c r="A724" s="903"/>
      <c r="B724" s="908"/>
      <c r="C724" s="909"/>
      <c r="D724" s="909"/>
      <c r="E724" s="910"/>
    </row>
    <row r="725" spans="1:5" ht="15.75" thickBot="1" x14ac:dyDescent="0.3">
      <c r="A725" s="904"/>
      <c r="B725" s="911"/>
      <c r="C725" s="912"/>
      <c r="D725" s="912"/>
      <c r="E725" s="913"/>
    </row>
    <row r="726" spans="1:5" ht="15.75" thickBot="1" x14ac:dyDescent="0.3">
      <c r="A726" s="161" t="s">
        <v>257</v>
      </c>
      <c r="B726" s="996" t="s">
        <v>474</v>
      </c>
      <c r="C726" s="997"/>
      <c r="D726" s="997"/>
      <c r="E726" s="998"/>
    </row>
    <row r="727" spans="1:5" ht="23.25" thickBot="1" x14ac:dyDescent="0.3">
      <c r="A727" s="144" t="s">
        <v>414</v>
      </c>
      <c r="B727" s="999" t="s">
        <v>475</v>
      </c>
      <c r="C727" s="1000"/>
      <c r="D727" s="1000"/>
      <c r="E727" s="1001"/>
    </row>
    <row r="728" spans="1:5" ht="15.75" thickBot="1" x14ac:dyDescent="0.3">
      <c r="A728" s="133" t="s">
        <v>72</v>
      </c>
      <c r="B728" s="945" t="s">
        <v>476</v>
      </c>
      <c r="C728" s="946"/>
      <c r="D728" s="946"/>
      <c r="E728" s="947"/>
    </row>
    <row r="729" spans="1:5" ht="15.75" thickBot="1" x14ac:dyDescent="0.3">
      <c r="A729" s="133" t="s">
        <v>74</v>
      </c>
      <c r="B729" s="1002" t="s">
        <v>270</v>
      </c>
      <c r="C729" s="1003"/>
      <c r="D729" s="1003"/>
      <c r="E729" s="1004"/>
    </row>
    <row r="730" spans="1:5" x14ac:dyDescent="0.25">
      <c r="A730" s="893"/>
      <c r="B730" s="145">
        <v>2018</v>
      </c>
      <c r="C730" s="145">
        <v>2019</v>
      </c>
      <c r="D730" s="145">
        <v>2020</v>
      </c>
      <c r="E730" s="145">
        <v>2021</v>
      </c>
    </row>
    <row r="731" spans="1:5" ht="15.75" thickBot="1" x14ac:dyDescent="0.3">
      <c r="A731" s="894"/>
      <c r="B731" s="146" t="s">
        <v>41</v>
      </c>
      <c r="C731" s="146" t="s">
        <v>42</v>
      </c>
      <c r="D731" s="146" t="s">
        <v>42</v>
      </c>
      <c r="E731" s="146" t="s">
        <v>42</v>
      </c>
    </row>
    <row r="732" spans="1:5" ht="15.75" thickBot="1" x14ac:dyDescent="0.3">
      <c r="A732" s="133" t="s">
        <v>76</v>
      </c>
      <c r="B732" s="304">
        <v>550</v>
      </c>
      <c r="C732" s="304">
        <v>550</v>
      </c>
      <c r="D732" s="304">
        <v>0</v>
      </c>
      <c r="E732" s="304">
        <v>0</v>
      </c>
    </row>
    <row r="733" spans="1:5" ht="15.75" thickBot="1" x14ac:dyDescent="0.3">
      <c r="A733" s="133" t="s">
        <v>77</v>
      </c>
      <c r="B733" s="147">
        <f>B743</f>
        <v>2000</v>
      </c>
      <c r="C733" s="147">
        <f t="shared" ref="C733:E733" si="98">C743</f>
        <v>1000</v>
      </c>
      <c r="D733" s="147">
        <f t="shared" si="98"/>
        <v>0</v>
      </c>
      <c r="E733" s="147">
        <f t="shared" si="98"/>
        <v>0</v>
      </c>
    </row>
    <row r="734" spans="1:5" ht="15.75" thickBot="1" x14ac:dyDescent="0.3">
      <c r="A734" s="133" t="s">
        <v>78</v>
      </c>
      <c r="B734" s="147">
        <f>B733/B732</f>
        <v>3.6363636363636362</v>
      </c>
      <c r="C734" s="147">
        <f t="shared" ref="C734:E734" si="99">C733/C732</f>
        <v>1.8181818181818181</v>
      </c>
      <c r="D734" s="147" t="e">
        <f t="shared" si="99"/>
        <v>#DIV/0!</v>
      </c>
      <c r="E734" s="147" t="e">
        <f t="shared" si="99"/>
        <v>#DIV/0!</v>
      </c>
    </row>
    <row r="735" spans="1:5" ht="15.75" thickBot="1" x14ac:dyDescent="0.3">
      <c r="A735" s="133" t="s">
        <v>79</v>
      </c>
      <c r="B735" s="148" t="s">
        <v>80</v>
      </c>
      <c r="C735" s="149">
        <f>C732/B732-1</f>
        <v>0</v>
      </c>
      <c r="D735" s="149">
        <f t="shared" ref="D735:E737" si="100">D732/C732-1</f>
        <v>-1</v>
      </c>
      <c r="E735" s="149" t="e">
        <f t="shared" si="100"/>
        <v>#DIV/0!</v>
      </c>
    </row>
    <row r="736" spans="1:5" ht="15.75" thickBot="1" x14ac:dyDescent="0.3">
      <c r="A736" s="133" t="s">
        <v>81</v>
      </c>
      <c r="B736" s="148" t="s">
        <v>80</v>
      </c>
      <c r="C736" s="149">
        <f>C733/B733-1</f>
        <v>-0.5</v>
      </c>
      <c r="D736" s="149">
        <f t="shared" si="100"/>
        <v>-1</v>
      </c>
      <c r="E736" s="149" t="e">
        <f t="shared" si="100"/>
        <v>#DIV/0!</v>
      </c>
    </row>
    <row r="737" spans="1:5" ht="23.25" thickBot="1" x14ac:dyDescent="0.3">
      <c r="A737" s="133" t="s">
        <v>82</v>
      </c>
      <c r="B737" s="148" t="s">
        <v>80</v>
      </c>
      <c r="C737" s="149">
        <f>C734/B734-1</f>
        <v>-0.5</v>
      </c>
      <c r="D737" s="149" t="e">
        <f t="shared" si="100"/>
        <v>#DIV/0!</v>
      </c>
      <c r="E737" s="149" t="e">
        <f t="shared" si="100"/>
        <v>#DIV/0!</v>
      </c>
    </row>
    <row r="738" spans="1:5" ht="15.75" thickBot="1" x14ac:dyDescent="0.3">
      <c r="A738" s="1005" t="s">
        <v>366</v>
      </c>
      <c r="B738" s="1006"/>
      <c r="C738" s="1006"/>
      <c r="D738" s="1006"/>
      <c r="E738" s="1007"/>
    </row>
    <row r="739" spans="1:5" x14ac:dyDescent="0.25">
      <c r="A739" s="893"/>
      <c r="B739" s="145">
        <v>2018</v>
      </c>
      <c r="C739" s="145">
        <v>2019</v>
      </c>
      <c r="D739" s="145">
        <v>2020</v>
      </c>
      <c r="E739" s="145">
        <v>2021</v>
      </c>
    </row>
    <row r="740" spans="1:5" ht="15.75" thickBot="1" x14ac:dyDescent="0.3">
      <c r="A740" s="894"/>
      <c r="B740" s="146" t="s">
        <v>41</v>
      </c>
      <c r="C740" s="146" t="s">
        <v>42</v>
      </c>
      <c r="D740" s="146" t="s">
        <v>42</v>
      </c>
      <c r="E740" s="146" t="s">
        <v>42</v>
      </c>
    </row>
    <row r="741" spans="1:5" ht="15.75" thickBot="1" x14ac:dyDescent="0.3">
      <c r="A741" s="151" t="s">
        <v>169</v>
      </c>
      <c r="B741" s="142"/>
      <c r="C741" s="142"/>
      <c r="D741" s="142"/>
      <c r="E741" s="142"/>
    </row>
    <row r="742" spans="1:5" ht="15.75" thickBot="1" x14ac:dyDescent="0.3">
      <c r="A742" s="151" t="s">
        <v>112</v>
      </c>
      <c r="B742" s="303">
        <v>2000</v>
      </c>
      <c r="C742" s="305">
        <v>1000</v>
      </c>
      <c r="D742" s="305">
        <v>0</v>
      </c>
      <c r="E742" s="305">
        <v>0</v>
      </c>
    </row>
    <row r="743" spans="1:5" ht="15.75" thickBot="1" x14ac:dyDescent="0.3">
      <c r="A743" s="153" t="s">
        <v>103</v>
      </c>
      <c r="B743" s="158">
        <f>B742+B741</f>
        <v>2000</v>
      </c>
      <c r="C743" s="158">
        <f t="shared" ref="C743:E743" si="101">C742+C741</f>
        <v>1000</v>
      </c>
      <c r="D743" s="158">
        <f t="shared" si="101"/>
        <v>0</v>
      </c>
      <c r="E743" s="158">
        <f t="shared" si="101"/>
        <v>0</v>
      </c>
    </row>
    <row r="744" spans="1:5" x14ac:dyDescent="0.25">
      <c r="A744" s="902" t="s">
        <v>113</v>
      </c>
      <c r="B744" s="905"/>
      <c r="C744" s="906"/>
      <c r="D744" s="906"/>
      <c r="E744" s="907"/>
    </row>
    <row r="745" spans="1:5" x14ac:dyDescent="0.25">
      <c r="A745" s="903"/>
      <c r="B745" s="908"/>
      <c r="C745" s="909"/>
      <c r="D745" s="909"/>
      <c r="E745" s="910"/>
    </row>
    <row r="746" spans="1:5" ht="15.75" thickBot="1" x14ac:dyDescent="0.3">
      <c r="A746" s="904"/>
      <c r="B746" s="911"/>
      <c r="C746" s="912"/>
      <c r="D746" s="912"/>
      <c r="E746" s="913"/>
    </row>
    <row r="747" spans="1:5" ht="15.75" thickBot="1" x14ac:dyDescent="0.3">
      <c r="A747" s="161" t="s">
        <v>257</v>
      </c>
      <c r="B747" s="996" t="s">
        <v>477</v>
      </c>
      <c r="C747" s="997"/>
      <c r="D747" s="997"/>
      <c r="E747" s="998"/>
    </row>
    <row r="748" spans="1:5" ht="23.25" thickBot="1" x14ac:dyDescent="0.3">
      <c r="A748" s="144" t="s">
        <v>478</v>
      </c>
      <c r="B748" s="999" t="s">
        <v>479</v>
      </c>
      <c r="C748" s="1000"/>
      <c r="D748" s="1000"/>
      <c r="E748" s="1001"/>
    </row>
    <row r="749" spans="1:5" ht="15.75" thickBot="1" x14ac:dyDescent="0.3">
      <c r="A749" s="133" t="s">
        <v>72</v>
      </c>
      <c r="B749" s="1008" t="s">
        <v>480</v>
      </c>
      <c r="C749" s="1009"/>
      <c r="D749" s="1009"/>
      <c r="E749" s="1010"/>
    </row>
    <row r="750" spans="1:5" ht="15.75" thickBot="1" x14ac:dyDescent="0.3">
      <c r="A750" s="133" t="s">
        <v>74</v>
      </c>
      <c r="B750" s="1002" t="s">
        <v>473</v>
      </c>
      <c r="C750" s="1003"/>
      <c r="D750" s="1003"/>
      <c r="E750" s="1004"/>
    </row>
    <row r="751" spans="1:5" x14ac:dyDescent="0.25">
      <c r="A751" s="893"/>
      <c r="B751" s="145">
        <v>2018</v>
      </c>
      <c r="C751" s="145">
        <v>2019</v>
      </c>
      <c r="D751" s="145">
        <v>2020</v>
      </c>
      <c r="E751" s="145">
        <v>2021</v>
      </c>
    </row>
    <row r="752" spans="1:5" ht="15.75" thickBot="1" x14ac:dyDescent="0.3">
      <c r="A752" s="894"/>
      <c r="B752" s="146" t="s">
        <v>41</v>
      </c>
      <c r="C752" s="146" t="s">
        <v>42</v>
      </c>
      <c r="D752" s="146" t="s">
        <v>42</v>
      </c>
      <c r="E752" s="146" t="s">
        <v>42</v>
      </c>
    </row>
    <row r="753" spans="1:5" ht="15.75" thickBot="1" x14ac:dyDescent="0.3">
      <c r="A753" s="133" t="s">
        <v>76</v>
      </c>
      <c r="B753" s="304">
        <v>40</v>
      </c>
      <c r="C753" s="304">
        <v>10</v>
      </c>
      <c r="D753" s="304">
        <v>10</v>
      </c>
      <c r="E753" s="304">
        <v>10</v>
      </c>
    </row>
    <row r="754" spans="1:5" ht="15.75" thickBot="1" x14ac:dyDescent="0.3">
      <c r="A754" s="133" t="s">
        <v>77</v>
      </c>
      <c r="B754" s="147">
        <f>B764</f>
        <v>2000</v>
      </c>
      <c r="C754" s="147">
        <f t="shared" ref="C754:E754" si="102">C764</f>
        <v>500</v>
      </c>
      <c r="D754" s="147">
        <f t="shared" si="102"/>
        <v>500</v>
      </c>
      <c r="E754" s="147">
        <f t="shared" si="102"/>
        <v>500</v>
      </c>
    </row>
    <row r="755" spans="1:5" ht="15.75" thickBot="1" x14ac:dyDescent="0.3">
      <c r="A755" s="133" t="s">
        <v>78</v>
      </c>
      <c r="B755" s="147">
        <f>B754/B753</f>
        <v>50</v>
      </c>
      <c r="C755" s="147">
        <f t="shared" ref="C755:E755" si="103">C754/C753</f>
        <v>50</v>
      </c>
      <c r="D755" s="147">
        <f t="shared" si="103"/>
        <v>50</v>
      </c>
      <c r="E755" s="147">
        <f t="shared" si="103"/>
        <v>50</v>
      </c>
    </row>
    <row r="756" spans="1:5" ht="15.75" thickBot="1" x14ac:dyDescent="0.3">
      <c r="A756" s="133" t="s">
        <v>79</v>
      </c>
      <c r="B756" s="148" t="s">
        <v>80</v>
      </c>
      <c r="C756" s="149">
        <f>C753/B753-1</f>
        <v>-0.75</v>
      </c>
      <c r="D756" s="149">
        <f t="shared" ref="D756:E758" si="104">D753/C753-1</f>
        <v>0</v>
      </c>
      <c r="E756" s="149">
        <f t="shared" si="104"/>
        <v>0</v>
      </c>
    </row>
    <row r="757" spans="1:5" ht="15.75" thickBot="1" x14ac:dyDescent="0.3">
      <c r="A757" s="133" t="s">
        <v>81</v>
      </c>
      <c r="B757" s="148" t="s">
        <v>80</v>
      </c>
      <c r="C757" s="149">
        <f>C754/B754-1</f>
        <v>-0.75</v>
      </c>
      <c r="D757" s="149">
        <f t="shared" si="104"/>
        <v>0</v>
      </c>
      <c r="E757" s="149">
        <f t="shared" si="104"/>
        <v>0</v>
      </c>
    </row>
    <row r="758" spans="1:5" ht="23.25" thickBot="1" x14ac:dyDescent="0.3">
      <c r="A758" s="133" t="s">
        <v>82</v>
      </c>
      <c r="B758" s="148" t="s">
        <v>80</v>
      </c>
      <c r="C758" s="149">
        <f>C755/B755-1</f>
        <v>0</v>
      </c>
      <c r="D758" s="149">
        <f t="shared" si="104"/>
        <v>0</v>
      </c>
      <c r="E758" s="149">
        <f t="shared" si="104"/>
        <v>0</v>
      </c>
    </row>
    <row r="759" spans="1:5" ht="15.75" thickBot="1" x14ac:dyDescent="0.3">
      <c r="A759" s="1005" t="s">
        <v>366</v>
      </c>
      <c r="B759" s="1006"/>
      <c r="C759" s="1006"/>
      <c r="D759" s="1006"/>
      <c r="E759" s="1007"/>
    </row>
    <row r="760" spans="1:5" x14ac:dyDescent="0.25">
      <c r="A760" s="893"/>
      <c r="B760" s="145">
        <v>2018</v>
      </c>
      <c r="C760" s="145">
        <v>2019</v>
      </c>
      <c r="D760" s="145">
        <v>2020</v>
      </c>
      <c r="E760" s="145">
        <v>2021</v>
      </c>
    </row>
    <row r="761" spans="1:5" ht="15.75" thickBot="1" x14ac:dyDescent="0.3">
      <c r="A761" s="894"/>
      <c r="B761" s="146" t="s">
        <v>41</v>
      </c>
      <c r="C761" s="146" t="s">
        <v>42</v>
      </c>
      <c r="D761" s="146" t="s">
        <v>42</v>
      </c>
      <c r="E761" s="146" t="s">
        <v>42</v>
      </c>
    </row>
    <row r="762" spans="1:5" ht="15.75" thickBot="1" x14ac:dyDescent="0.3">
      <c r="A762" s="151" t="s">
        <v>169</v>
      </c>
      <c r="B762" s="142"/>
      <c r="C762" s="142"/>
      <c r="D762" s="142"/>
      <c r="E762" s="142"/>
    </row>
    <row r="763" spans="1:5" ht="15.75" thickBot="1" x14ac:dyDescent="0.3">
      <c r="A763" s="151" t="s">
        <v>112</v>
      </c>
      <c r="B763" s="158">
        <v>2000</v>
      </c>
      <c r="C763" s="142">
        <v>500</v>
      </c>
      <c r="D763" s="142">
        <v>500</v>
      </c>
      <c r="E763" s="142">
        <v>500</v>
      </c>
    </row>
    <row r="764" spans="1:5" ht="15.75" thickBot="1" x14ac:dyDescent="0.3">
      <c r="A764" s="153" t="s">
        <v>262</v>
      </c>
      <c r="B764" s="158">
        <f>B763+B762</f>
        <v>2000</v>
      </c>
      <c r="C764" s="158">
        <f t="shared" ref="C764:E764" si="105">C763+C762</f>
        <v>500</v>
      </c>
      <c r="D764" s="158">
        <f t="shared" si="105"/>
        <v>500</v>
      </c>
      <c r="E764" s="158">
        <f t="shared" si="105"/>
        <v>500</v>
      </c>
    </row>
    <row r="765" spans="1:5" x14ac:dyDescent="0.25">
      <c r="A765" s="902" t="s">
        <v>113</v>
      </c>
      <c r="B765" s="905"/>
      <c r="C765" s="906"/>
      <c r="D765" s="906"/>
      <c r="E765" s="907"/>
    </row>
    <row r="766" spans="1:5" x14ac:dyDescent="0.25">
      <c r="A766" s="903"/>
      <c r="B766" s="908"/>
      <c r="C766" s="909"/>
      <c r="D766" s="909"/>
      <c r="E766" s="910"/>
    </row>
    <row r="767" spans="1:5" ht="15.75" thickBot="1" x14ac:dyDescent="0.3">
      <c r="A767" s="904"/>
      <c r="B767" s="911"/>
      <c r="C767" s="912"/>
      <c r="D767" s="912"/>
      <c r="E767" s="913"/>
    </row>
    <row r="768" spans="1:5" ht="15.75" thickBot="1" x14ac:dyDescent="0.3">
      <c r="A768" s="306" t="s">
        <v>257</v>
      </c>
      <c r="B768" s="996" t="s">
        <v>481</v>
      </c>
      <c r="C768" s="997"/>
      <c r="D768" s="997"/>
      <c r="E768" s="998"/>
    </row>
    <row r="769" spans="1:5" ht="23.25" thickBot="1" x14ac:dyDescent="0.3">
      <c r="A769" s="144" t="s">
        <v>482</v>
      </c>
      <c r="B769" s="999" t="s">
        <v>483</v>
      </c>
      <c r="C769" s="1000"/>
      <c r="D769" s="1000"/>
      <c r="E769" s="1001"/>
    </row>
    <row r="770" spans="1:5" ht="15.75" thickBot="1" x14ac:dyDescent="0.3">
      <c r="A770" s="133" t="s">
        <v>72</v>
      </c>
      <c r="B770" s="945" t="s">
        <v>484</v>
      </c>
      <c r="C770" s="946"/>
      <c r="D770" s="946"/>
      <c r="E770" s="947"/>
    </row>
    <row r="771" spans="1:5" ht="15.75" thickBot="1" x14ac:dyDescent="0.3">
      <c r="A771" s="133" t="s">
        <v>74</v>
      </c>
      <c r="B771" s="1002" t="s">
        <v>473</v>
      </c>
      <c r="C771" s="1003"/>
      <c r="D771" s="1003"/>
      <c r="E771" s="1004"/>
    </row>
    <row r="772" spans="1:5" x14ac:dyDescent="0.25">
      <c r="A772" s="893"/>
      <c r="B772" s="145">
        <v>2018</v>
      </c>
      <c r="C772" s="145">
        <v>2019</v>
      </c>
      <c r="D772" s="145">
        <v>2020</v>
      </c>
      <c r="E772" s="145">
        <v>2021</v>
      </c>
    </row>
    <row r="773" spans="1:5" ht="15.75" thickBot="1" x14ac:dyDescent="0.3">
      <c r="A773" s="894"/>
      <c r="B773" s="146" t="s">
        <v>41</v>
      </c>
      <c r="C773" s="146" t="s">
        <v>42</v>
      </c>
      <c r="D773" s="146" t="s">
        <v>42</v>
      </c>
      <c r="E773" s="146" t="s">
        <v>42</v>
      </c>
    </row>
    <row r="774" spans="1:5" ht="15.75" thickBot="1" x14ac:dyDescent="0.3">
      <c r="A774" s="133" t="s">
        <v>76</v>
      </c>
      <c r="B774" s="304">
        <v>4</v>
      </c>
      <c r="C774" s="304">
        <v>10</v>
      </c>
      <c r="D774" s="304">
        <v>10</v>
      </c>
      <c r="E774" s="304">
        <v>12</v>
      </c>
    </row>
    <row r="775" spans="1:5" ht="15.75" thickBot="1" x14ac:dyDescent="0.3">
      <c r="A775" s="133" t="s">
        <v>77</v>
      </c>
      <c r="B775" s="147">
        <f>B785</f>
        <v>5500</v>
      </c>
      <c r="C775" s="147">
        <f t="shared" ref="C775:E775" si="106">C785</f>
        <v>7500</v>
      </c>
      <c r="D775" s="147">
        <f t="shared" si="106"/>
        <v>8500</v>
      </c>
      <c r="E775" s="147">
        <f t="shared" si="106"/>
        <v>10000</v>
      </c>
    </row>
    <row r="776" spans="1:5" ht="15.75" thickBot="1" x14ac:dyDescent="0.3">
      <c r="A776" s="133" t="s">
        <v>78</v>
      </c>
      <c r="B776" s="147">
        <f>B775/B774</f>
        <v>1375</v>
      </c>
      <c r="C776" s="147">
        <f t="shared" ref="C776:E776" si="107">C775/C774</f>
        <v>750</v>
      </c>
      <c r="D776" s="147">
        <f t="shared" si="107"/>
        <v>850</v>
      </c>
      <c r="E776" s="147">
        <f t="shared" si="107"/>
        <v>833.33333333333337</v>
      </c>
    </row>
    <row r="777" spans="1:5" ht="15.75" thickBot="1" x14ac:dyDescent="0.3">
      <c r="A777" s="133" t="s">
        <v>79</v>
      </c>
      <c r="B777" s="148" t="s">
        <v>80</v>
      </c>
      <c r="C777" s="149">
        <f>C774/B774-1</f>
        <v>1.5</v>
      </c>
      <c r="D777" s="149">
        <f t="shared" ref="D777:E779" si="108">D774/C774-1</f>
        <v>0</v>
      </c>
      <c r="E777" s="149">
        <f t="shared" si="108"/>
        <v>0.19999999999999996</v>
      </c>
    </row>
    <row r="778" spans="1:5" ht="15.75" thickBot="1" x14ac:dyDescent="0.3">
      <c r="A778" s="133" t="s">
        <v>81</v>
      </c>
      <c r="B778" s="148" t="s">
        <v>80</v>
      </c>
      <c r="C778" s="149">
        <f>C775/B775-1</f>
        <v>0.36363636363636354</v>
      </c>
      <c r="D778" s="149">
        <f t="shared" si="108"/>
        <v>0.1333333333333333</v>
      </c>
      <c r="E778" s="149">
        <f t="shared" si="108"/>
        <v>0.17647058823529416</v>
      </c>
    </row>
    <row r="779" spans="1:5" ht="23.25" thickBot="1" x14ac:dyDescent="0.3">
      <c r="A779" s="133" t="s">
        <v>82</v>
      </c>
      <c r="B779" s="148" t="s">
        <v>80</v>
      </c>
      <c r="C779" s="149">
        <f>C776/B776-1</f>
        <v>-0.45454545454545459</v>
      </c>
      <c r="D779" s="149">
        <f t="shared" si="108"/>
        <v>0.1333333333333333</v>
      </c>
      <c r="E779" s="149">
        <f t="shared" si="108"/>
        <v>-1.9607843137254832E-2</v>
      </c>
    </row>
    <row r="780" spans="1:5" ht="15.75" thickBot="1" x14ac:dyDescent="0.3">
      <c r="A780" s="1005" t="s">
        <v>366</v>
      </c>
      <c r="B780" s="1006"/>
      <c r="C780" s="1006"/>
      <c r="D780" s="1006"/>
      <c r="E780" s="1007"/>
    </row>
    <row r="781" spans="1:5" x14ac:dyDescent="0.25">
      <c r="A781" s="893"/>
      <c r="B781" s="145">
        <v>2018</v>
      </c>
      <c r="C781" s="145">
        <v>2019</v>
      </c>
      <c r="D781" s="145">
        <v>2020</v>
      </c>
      <c r="E781" s="145">
        <v>2021</v>
      </c>
    </row>
    <row r="782" spans="1:5" ht="15.75" thickBot="1" x14ac:dyDescent="0.3">
      <c r="A782" s="894"/>
      <c r="B782" s="146" t="s">
        <v>41</v>
      </c>
      <c r="C782" s="146" t="s">
        <v>42</v>
      </c>
      <c r="D782" s="146" t="s">
        <v>42</v>
      </c>
      <c r="E782" s="146" t="s">
        <v>42</v>
      </c>
    </row>
    <row r="783" spans="1:5" ht="15.75" thickBot="1" x14ac:dyDescent="0.3">
      <c r="A783" s="151" t="s">
        <v>169</v>
      </c>
      <c r="B783" s="142"/>
      <c r="C783" s="142"/>
      <c r="D783" s="142"/>
      <c r="E783" s="142"/>
    </row>
    <row r="784" spans="1:5" ht="15.75" thickBot="1" x14ac:dyDescent="0.3">
      <c r="A784" s="151" t="s">
        <v>112</v>
      </c>
      <c r="B784" s="158">
        <v>5500</v>
      </c>
      <c r="C784" s="142">
        <v>7500</v>
      </c>
      <c r="D784" s="142">
        <v>8500</v>
      </c>
      <c r="E784" s="142">
        <v>10000</v>
      </c>
    </row>
    <row r="785" spans="1:5" ht="15.75" thickBot="1" x14ac:dyDescent="0.3">
      <c r="A785" s="153" t="s">
        <v>266</v>
      </c>
      <c r="B785" s="158">
        <f>B784+B783</f>
        <v>5500</v>
      </c>
      <c r="C785" s="158">
        <f t="shared" ref="C785:E785" si="109">C784+C783</f>
        <v>7500</v>
      </c>
      <c r="D785" s="158">
        <f t="shared" si="109"/>
        <v>8500</v>
      </c>
      <c r="E785" s="158">
        <f t="shared" si="109"/>
        <v>10000</v>
      </c>
    </row>
    <row r="786" spans="1:5" x14ac:dyDescent="0.25">
      <c r="A786" s="902" t="s">
        <v>113</v>
      </c>
      <c r="B786" s="905"/>
      <c r="C786" s="906"/>
      <c r="D786" s="906"/>
      <c r="E786" s="907"/>
    </row>
    <row r="787" spans="1:5" x14ac:dyDescent="0.25">
      <c r="A787" s="903"/>
      <c r="B787" s="908"/>
      <c r="C787" s="909"/>
      <c r="D787" s="909"/>
      <c r="E787" s="910"/>
    </row>
    <row r="788" spans="1:5" ht="15.75" thickBot="1" x14ac:dyDescent="0.3">
      <c r="A788" s="904"/>
      <c r="B788" s="911"/>
      <c r="C788" s="912"/>
      <c r="D788" s="912"/>
      <c r="E788" s="913"/>
    </row>
  </sheetData>
  <mergeCells count="286">
    <mergeCell ref="A11:E11"/>
    <mergeCell ref="A12:E12"/>
    <mergeCell ref="B14:E14"/>
    <mergeCell ref="B15:E15"/>
    <mergeCell ref="B16:E16"/>
    <mergeCell ref="A17:E17"/>
    <mergeCell ref="B5:E5"/>
    <mergeCell ref="B6:E6"/>
    <mergeCell ref="B7:E7"/>
    <mergeCell ref="C8:E8"/>
    <mergeCell ref="C9:E9"/>
    <mergeCell ref="C10:E10"/>
    <mergeCell ref="A33:E33"/>
    <mergeCell ref="B34:E34"/>
    <mergeCell ref="B35:E35"/>
    <mergeCell ref="B36:E36"/>
    <mergeCell ref="A37:A38"/>
    <mergeCell ref="A45:E45"/>
    <mergeCell ref="A18:E20"/>
    <mergeCell ref="B21:E21"/>
    <mergeCell ref="A22:A23"/>
    <mergeCell ref="B27:E27"/>
    <mergeCell ref="A28:E28"/>
    <mergeCell ref="A32:E32"/>
    <mergeCell ref="A69:A70"/>
    <mergeCell ref="A80:E80"/>
    <mergeCell ref="A81:E81"/>
    <mergeCell ref="B82:E82"/>
    <mergeCell ref="B83:E83"/>
    <mergeCell ref="B84:E84"/>
    <mergeCell ref="A46:A47"/>
    <mergeCell ref="B57:E57"/>
    <mergeCell ref="B58:E58"/>
    <mergeCell ref="B59:E59"/>
    <mergeCell ref="A61:A62"/>
    <mergeCell ref="A68:E68"/>
    <mergeCell ref="B103:E103"/>
    <mergeCell ref="B104:E104"/>
    <mergeCell ref="B105:E105"/>
    <mergeCell ref="B106:E106"/>
    <mergeCell ref="A107:A108"/>
    <mergeCell ref="A115:E115"/>
    <mergeCell ref="B85:E85"/>
    <mergeCell ref="A86:A87"/>
    <mergeCell ref="A94:E94"/>
    <mergeCell ref="A95:A96"/>
    <mergeCell ref="A100:A102"/>
    <mergeCell ref="B100:E102"/>
    <mergeCell ref="B126:E126"/>
    <mergeCell ref="A127:A128"/>
    <mergeCell ref="A135:E135"/>
    <mergeCell ref="A136:A137"/>
    <mergeCell ref="B141:E141"/>
    <mergeCell ref="B142:E142"/>
    <mergeCell ref="A116:A117"/>
    <mergeCell ref="A121:E121"/>
    <mergeCell ref="A122:E122"/>
    <mergeCell ref="B123:E123"/>
    <mergeCell ref="B124:E124"/>
    <mergeCell ref="B125:E125"/>
    <mergeCell ref="A160:E160"/>
    <mergeCell ref="A164:E164"/>
    <mergeCell ref="A165:E165"/>
    <mergeCell ref="A166:A167"/>
    <mergeCell ref="B168:E168"/>
    <mergeCell ref="B169:E169"/>
    <mergeCell ref="B143:E143"/>
    <mergeCell ref="B144:E144"/>
    <mergeCell ref="A145:A146"/>
    <mergeCell ref="A153:E153"/>
    <mergeCell ref="A154:A155"/>
    <mergeCell ref="B159:E159"/>
    <mergeCell ref="B194:E194"/>
    <mergeCell ref="B195:E195"/>
    <mergeCell ref="A196:A197"/>
    <mergeCell ref="A204:E204"/>
    <mergeCell ref="A205:A206"/>
    <mergeCell ref="A216:E216"/>
    <mergeCell ref="B170:E170"/>
    <mergeCell ref="A171:A172"/>
    <mergeCell ref="A179:A180"/>
    <mergeCell ref="A181:E181"/>
    <mergeCell ref="A182:A183"/>
    <mergeCell ref="B193:E193"/>
    <mergeCell ref="A230:E230"/>
    <mergeCell ref="A231:A232"/>
    <mergeCell ref="B236:E236"/>
    <mergeCell ref="B237:E237"/>
    <mergeCell ref="B238:E238"/>
    <mergeCell ref="B239:E239"/>
    <mergeCell ref="A217:E217"/>
    <mergeCell ref="B218:E218"/>
    <mergeCell ref="B219:E219"/>
    <mergeCell ref="B220:E220"/>
    <mergeCell ref="B221:E221"/>
    <mergeCell ref="A222:A223"/>
    <mergeCell ref="B257:E257"/>
    <mergeCell ref="B258:E258"/>
    <mergeCell ref="B259:E259"/>
    <mergeCell ref="A260:A261"/>
    <mergeCell ref="A268:E268"/>
    <mergeCell ref="A269:A270"/>
    <mergeCell ref="A240:A241"/>
    <mergeCell ref="A248:E248"/>
    <mergeCell ref="A249:A250"/>
    <mergeCell ref="A254:E254"/>
    <mergeCell ref="A255:E255"/>
    <mergeCell ref="B256:E256"/>
    <mergeCell ref="A287:A288"/>
    <mergeCell ref="B317:E317"/>
    <mergeCell ref="A318:A319"/>
    <mergeCell ref="B323:E323"/>
    <mergeCell ref="A324:E324"/>
    <mergeCell ref="A328:E328"/>
    <mergeCell ref="B274:E274"/>
    <mergeCell ref="B275:E275"/>
    <mergeCell ref="B276:E276"/>
    <mergeCell ref="B277:E277"/>
    <mergeCell ref="A278:A279"/>
    <mergeCell ref="A286:E286"/>
    <mergeCell ref="B341:E341"/>
    <mergeCell ref="B342:E342"/>
    <mergeCell ref="A343:A344"/>
    <mergeCell ref="A351:E351"/>
    <mergeCell ref="A352:A353"/>
    <mergeCell ref="B363:E363"/>
    <mergeCell ref="A329:E329"/>
    <mergeCell ref="A333:E333"/>
    <mergeCell ref="A334:E334"/>
    <mergeCell ref="A338:E338"/>
    <mergeCell ref="A339:E339"/>
    <mergeCell ref="B340:E340"/>
    <mergeCell ref="A387:E387"/>
    <mergeCell ref="B388:E388"/>
    <mergeCell ref="B389:E389"/>
    <mergeCell ref="B390:E390"/>
    <mergeCell ref="B391:E391"/>
    <mergeCell ref="A392:A393"/>
    <mergeCell ref="B364:E364"/>
    <mergeCell ref="B365:E365"/>
    <mergeCell ref="A367:A368"/>
    <mergeCell ref="A374:E374"/>
    <mergeCell ref="A375:A376"/>
    <mergeCell ref="A386:E386"/>
    <mergeCell ref="B411:E411"/>
    <mergeCell ref="B412:E412"/>
    <mergeCell ref="A413:A414"/>
    <mergeCell ref="A421:E421"/>
    <mergeCell ref="A422:A423"/>
    <mergeCell ref="A427:E427"/>
    <mergeCell ref="A400:E400"/>
    <mergeCell ref="A401:A402"/>
    <mergeCell ref="A406:A408"/>
    <mergeCell ref="B406:E408"/>
    <mergeCell ref="B409:E409"/>
    <mergeCell ref="B410:E410"/>
    <mergeCell ref="A441:E441"/>
    <mergeCell ref="A442:A443"/>
    <mergeCell ref="B447:E447"/>
    <mergeCell ref="B448:E448"/>
    <mergeCell ref="B449:E449"/>
    <mergeCell ref="B450:E450"/>
    <mergeCell ref="A428:E428"/>
    <mergeCell ref="B429:E429"/>
    <mergeCell ref="B430:E430"/>
    <mergeCell ref="B431:E431"/>
    <mergeCell ref="B432:E432"/>
    <mergeCell ref="A433:A434"/>
    <mergeCell ref="A471:E471"/>
    <mergeCell ref="A472:A473"/>
    <mergeCell ref="B474:E474"/>
    <mergeCell ref="B475:E475"/>
    <mergeCell ref="B476:E476"/>
    <mergeCell ref="A477:A478"/>
    <mergeCell ref="A451:A452"/>
    <mergeCell ref="A459:E459"/>
    <mergeCell ref="A460:A461"/>
    <mergeCell ref="B465:E465"/>
    <mergeCell ref="A466:E466"/>
    <mergeCell ref="A470:E470"/>
    <mergeCell ref="A502:A503"/>
    <mergeCell ref="A510:E510"/>
    <mergeCell ref="A511:A512"/>
    <mergeCell ref="A522:E522"/>
    <mergeCell ref="A523:E523"/>
    <mergeCell ref="B524:E524"/>
    <mergeCell ref="A485:A486"/>
    <mergeCell ref="A487:E487"/>
    <mergeCell ref="A488:A489"/>
    <mergeCell ref="B499:E499"/>
    <mergeCell ref="B500:E500"/>
    <mergeCell ref="B501:E501"/>
    <mergeCell ref="B542:E542"/>
    <mergeCell ref="B543:E543"/>
    <mergeCell ref="B544:E544"/>
    <mergeCell ref="B545:E545"/>
    <mergeCell ref="A546:A547"/>
    <mergeCell ref="A554:E554"/>
    <mergeCell ref="B525:E525"/>
    <mergeCell ref="B526:E526"/>
    <mergeCell ref="B527:E527"/>
    <mergeCell ref="A528:A529"/>
    <mergeCell ref="A536:E536"/>
    <mergeCell ref="A537:A538"/>
    <mergeCell ref="B565:E565"/>
    <mergeCell ref="A566:A567"/>
    <mergeCell ref="A574:E574"/>
    <mergeCell ref="A575:A576"/>
    <mergeCell ref="B580:E580"/>
    <mergeCell ref="B581:E581"/>
    <mergeCell ref="A555:A556"/>
    <mergeCell ref="A560:E560"/>
    <mergeCell ref="A561:E561"/>
    <mergeCell ref="B562:E562"/>
    <mergeCell ref="B563:E563"/>
    <mergeCell ref="B564:E564"/>
    <mergeCell ref="A624:A625"/>
    <mergeCell ref="B629:E629"/>
    <mergeCell ref="A630:E630"/>
    <mergeCell ref="A634:E634"/>
    <mergeCell ref="A635:E635"/>
    <mergeCell ref="B636:E636"/>
    <mergeCell ref="B582:E582"/>
    <mergeCell ref="B583:E583"/>
    <mergeCell ref="A584:A585"/>
    <mergeCell ref="A592:E592"/>
    <mergeCell ref="A593:A594"/>
    <mergeCell ref="B623:E623"/>
    <mergeCell ref="B660:E660"/>
    <mergeCell ref="B661:E661"/>
    <mergeCell ref="A663:A664"/>
    <mergeCell ref="A670:E670"/>
    <mergeCell ref="A671:A672"/>
    <mergeCell ref="A682:E682"/>
    <mergeCell ref="B637:E637"/>
    <mergeCell ref="B638:E638"/>
    <mergeCell ref="A639:A640"/>
    <mergeCell ref="A647:E647"/>
    <mergeCell ref="A648:A649"/>
    <mergeCell ref="B659:E659"/>
    <mergeCell ref="A696:E696"/>
    <mergeCell ref="A697:A698"/>
    <mergeCell ref="A702:A704"/>
    <mergeCell ref="B702:E704"/>
    <mergeCell ref="B705:E705"/>
    <mergeCell ref="B706:E706"/>
    <mergeCell ref="A683:E683"/>
    <mergeCell ref="B684:E684"/>
    <mergeCell ref="B685:E685"/>
    <mergeCell ref="B686:E686"/>
    <mergeCell ref="B687:E687"/>
    <mergeCell ref="A688:A689"/>
    <mergeCell ref="B726:E726"/>
    <mergeCell ref="B727:E727"/>
    <mergeCell ref="B728:E728"/>
    <mergeCell ref="B729:E729"/>
    <mergeCell ref="A730:A731"/>
    <mergeCell ref="A738:E738"/>
    <mergeCell ref="B707:E707"/>
    <mergeCell ref="B708:E708"/>
    <mergeCell ref="A709:A710"/>
    <mergeCell ref="A717:E717"/>
    <mergeCell ref="A718:A719"/>
    <mergeCell ref="A723:A725"/>
    <mergeCell ref="B723:E725"/>
    <mergeCell ref="B750:E750"/>
    <mergeCell ref="A751:A752"/>
    <mergeCell ref="A759:E759"/>
    <mergeCell ref="A760:A761"/>
    <mergeCell ref="A765:A767"/>
    <mergeCell ref="B765:E767"/>
    <mergeCell ref="A739:A740"/>
    <mergeCell ref="A744:A746"/>
    <mergeCell ref="B744:E746"/>
    <mergeCell ref="B747:E747"/>
    <mergeCell ref="B748:E748"/>
    <mergeCell ref="B749:E749"/>
    <mergeCell ref="A781:A782"/>
    <mergeCell ref="A786:A788"/>
    <mergeCell ref="B786:E788"/>
    <mergeCell ref="B768:E768"/>
    <mergeCell ref="B769:E769"/>
    <mergeCell ref="B770:E770"/>
    <mergeCell ref="B771:E771"/>
    <mergeCell ref="A772:A773"/>
    <mergeCell ref="A780:E780"/>
  </mergeCells>
  <printOptions horizontalCentered="1" verticalCentered="1"/>
  <pageMargins left="0.7" right="0.7" top="0.75" bottom="0.75" header="0.3" footer="0.3"/>
  <pageSetup scale="57" orientation="portrait" r:id="rId1"/>
  <rowBreaks count="4" manualBreakCount="4">
    <brk id="79" max="16383" man="1"/>
    <brk id="134" max="16383" man="1"/>
    <brk id="203" max="16383" man="1"/>
    <brk id="2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618"/>
  <sheetViews>
    <sheetView view="pageBreakPreview" topLeftCell="A582" zoomScale="60" zoomScaleNormal="100" workbookViewId="0">
      <selection activeCell="H15" sqref="H15"/>
    </sheetView>
  </sheetViews>
  <sheetFormatPr defaultRowHeight="11.25" x14ac:dyDescent="0.2"/>
  <cols>
    <col min="1" max="1" width="25.28515625" style="166" customWidth="1"/>
    <col min="2" max="2" width="15.5703125" style="166" customWidth="1"/>
    <col min="3" max="5" width="17.42578125" style="166" customWidth="1"/>
    <col min="6" max="6" width="11" style="166" customWidth="1"/>
    <col min="7" max="9" width="12.7109375" style="166" customWidth="1"/>
    <col min="10" max="16384" width="9.140625" style="166"/>
  </cols>
  <sheetData>
    <row r="2" spans="1:5" ht="15" x14ac:dyDescent="0.25">
      <c r="A2" s="120" t="s">
        <v>0</v>
      </c>
      <c r="B2" s="121"/>
      <c r="C2" s="121"/>
      <c r="D2" s="121"/>
      <c r="E2" s="122"/>
    </row>
    <row r="3" spans="1:5" ht="15" x14ac:dyDescent="0.25">
      <c r="A3" s="122"/>
      <c r="B3" s="122"/>
      <c r="C3" s="122"/>
      <c r="D3" s="122"/>
      <c r="E3" s="122"/>
    </row>
    <row r="4" spans="1:5" ht="15.75" thickBot="1" x14ac:dyDescent="0.3">
      <c r="A4" s="122"/>
      <c r="B4" s="122"/>
      <c r="C4" s="122"/>
      <c r="D4" s="122"/>
      <c r="E4" s="122"/>
    </row>
    <row r="5" spans="1:5" ht="43.5" customHeight="1" thickBot="1" x14ac:dyDescent="0.25">
      <c r="A5" s="123" t="s">
        <v>1</v>
      </c>
      <c r="B5" s="1059" t="s">
        <v>649</v>
      </c>
      <c r="C5" s="791"/>
      <c r="D5" s="791"/>
      <c r="E5" s="792"/>
    </row>
    <row r="6" spans="1:5" ht="32.25" thickBot="1" x14ac:dyDescent="0.25">
      <c r="A6" s="124" t="s">
        <v>2</v>
      </c>
      <c r="B6" s="1060" t="s">
        <v>612</v>
      </c>
      <c r="C6" s="1061"/>
      <c r="D6" s="1061"/>
      <c r="E6" s="1062"/>
    </row>
    <row r="7" spans="1:5" ht="206.25" customHeight="1" thickBot="1" x14ac:dyDescent="0.25">
      <c r="A7" s="124" t="s">
        <v>3</v>
      </c>
      <c r="B7" s="1051" t="s">
        <v>648</v>
      </c>
      <c r="C7" s="1052"/>
      <c r="D7" s="1052"/>
      <c r="E7" s="1053"/>
    </row>
    <row r="8" spans="1:5" ht="16.5" customHeight="1" thickBot="1" x14ac:dyDescent="0.25">
      <c r="A8" s="124" t="s">
        <v>4</v>
      </c>
      <c r="B8" s="125" t="s">
        <v>5</v>
      </c>
      <c r="C8" s="791" t="s">
        <v>6</v>
      </c>
      <c r="D8" s="791"/>
      <c r="E8" s="792"/>
    </row>
    <row r="9" spans="1:5" ht="225.75" customHeight="1" thickBot="1" x14ac:dyDescent="0.25">
      <c r="A9" s="124" t="s">
        <v>647</v>
      </c>
      <c r="B9" s="197">
        <v>10220</v>
      </c>
      <c r="C9" s="1051" t="s">
        <v>646</v>
      </c>
      <c r="D9" s="1052"/>
      <c r="E9" s="1053"/>
    </row>
    <row r="10" spans="1:5" ht="39" customHeight="1" x14ac:dyDescent="0.2">
      <c r="A10" s="1063" t="s">
        <v>32</v>
      </c>
      <c r="B10" s="1063"/>
      <c r="C10" s="1063"/>
      <c r="D10" s="1063"/>
      <c r="E10" s="1063"/>
    </row>
    <row r="11" spans="1:5" ht="18" customHeight="1" x14ac:dyDescent="0.2">
      <c r="A11" s="1064" t="s">
        <v>618</v>
      </c>
      <c r="B11" s="1064"/>
      <c r="C11" s="1064"/>
      <c r="D11" s="1064"/>
      <c r="E11" s="1064"/>
    </row>
    <row r="12" spans="1:5" ht="12" thickBot="1" x14ac:dyDescent="0.25"/>
    <row r="13" spans="1:5" ht="16.5" customHeight="1" thickBot="1" x14ac:dyDescent="0.25">
      <c r="A13" s="196" t="s">
        <v>33</v>
      </c>
      <c r="B13" s="1065" t="e">
        <f>'[2]Formati 2 Sipas Tavaneve'!D5:G5</f>
        <v>#VALUE!</v>
      </c>
      <c r="C13" s="1065"/>
      <c r="D13" s="1065"/>
      <c r="E13" s="1065"/>
    </row>
    <row r="14" spans="1:5" ht="16.5" customHeight="1" thickBot="1" x14ac:dyDescent="0.25">
      <c r="A14" s="196" t="s">
        <v>5</v>
      </c>
      <c r="B14" s="1066" t="s">
        <v>645</v>
      </c>
      <c r="C14" s="1067"/>
      <c r="D14" s="1067"/>
      <c r="E14" s="1068"/>
    </row>
    <row r="15" spans="1:5" ht="16.5" customHeight="1" thickBot="1" x14ac:dyDescent="0.25">
      <c r="A15" s="196" t="s">
        <v>35</v>
      </c>
      <c r="B15" s="945" t="s">
        <v>36</v>
      </c>
      <c r="C15" s="946"/>
      <c r="D15" s="946"/>
      <c r="E15" s="947"/>
    </row>
    <row r="16" spans="1:5" ht="16.5" customHeight="1" thickBot="1" x14ac:dyDescent="0.25">
      <c r="A16" s="1069" t="s">
        <v>6</v>
      </c>
      <c r="B16" s="1070"/>
      <c r="C16" s="1070"/>
      <c r="D16" s="1070"/>
      <c r="E16" s="1071"/>
    </row>
    <row r="17" spans="1:8" ht="12" thickBot="1" x14ac:dyDescent="0.25">
      <c r="A17" s="1072" t="e">
        <f>'[2]Formati 2 Sipas Tavaneve'!C10:G10</f>
        <v>#VALUE!</v>
      </c>
      <c r="B17" s="1073"/>
      <c r="C17" s="1073"/>
      <c r="D17" s="1073"/>
      <c r="E17" s="1074"/>
    </row>
    <row r="18" spans="1:8" ht="36.75" customHeight="1" thickBot="1" x14ac:dyDescent="0.25">
      <c r="A18" s="1072"/>
      <c r="B18" s="1073"/>
      <c r="C18" s="1073"/>
      <c r="D18" s="1073"/>
      <c r="E18" s="1074"/>
    </row>
    <row r="19" spans="1:8" ht="39.75" customHeight="1" thickBot="1" x14ac:dyDescent="0.25">
      <c r="A19" s="1072"/>
      <c r="B19" s="1073"/>
      <c r="C19" s="1073"/>
      <c r="D19" s="1073"/>
      <c r="E19" s="1074"/>
    </row>
    <row r="20" spans="1:8" ht="24" customHeight="1" thickBot="1" x14ac:dyDescent="0.25">
      <c r="A20" s="195" t="s">
        <v>38</v>
      </c>
      <c r="B20" s="1039" t="e">
        <f>'[2]Formati 2 Sipas Tavaneve'!D12:G12</f>
        <v>#VALUE!</v>
      </c>
      <c r="C20" s="1015"/>
      <c r="D20" s="1015"/>
      <c r="E20" s="1016"/>
    </row>
    <row r="21" spans="1:8" ht="14.25" customHeight="1" x14ac:dyDescent="0.2">
      <c r="A21" s="893" t="s">
        <v>138</v>
      </c>
      <c r="B21" s="129">
        <v>2018</v>
      </c>
      <c r="C21" s="129">
        <v>2019</v>
      </c>
      <c r="D21" s="129">
        <v>2020</v>
      </c>
      <c r="E21" s="129">
        <v>2021</v>
      </c>
    </row>
    <row r="22" spans="1:8" ht="9.75" customHeight="1" thickBot="1" x14ac:dyDescent="0.25">
      <c r="A22" s="894"/>
      <c r="B22" s="130" t="s">
        <v>41</v>
      </c>
      <c r="C22" s="130" t="s">
        <v>42</v>
      </c>
      <c r="D22" s="130" t="s">
        <v>42</v>
      </c>
      <c r="E22" s="130" t="s">
        <v>42</v>
      </c>
    </row>
    <row r="23" spans="1:8" ht="18" customHeight="1" thickBot="1" x14ac:dyDescent="0.25">
      <c r="A23" s="131" t="str">
        <f>'[2]Formati 2 Sipas Tavaneve'!C15</f>
        <v>Raporti Të ardhura / Mbështetje Buxhetore</v>
      </c>
      <c r="B23" s="132" t="str">
        <f>'[2]Formati 2 Sipas Tavaneve'!D15</f>
        <v>61:38%</v>
      </c>
      <c r="C23" s="132" t="str">
        <f>'[2]Formati 2 Sipas Tavaneve'!E15</f>
        <v>61:39%</v>
      </c>
      <c r="D23" s="132" t="str">
        <f>'[2]Formati 2 Sipas Tavaneve'!F15</f>
        <v>61:39%</v>
      </c>
      <c r="E23" s="132" t="str">
        <f>'[2]Formati 2 Sipas Tavaneve'!G15</f>
        <v>62:38%</v>
      </c>
    </row>
    <row r="24" spans="1:8" ht="18" customHeight="1" thickBot="1" x14ac:dyDescent="0.25">
      <c r="A24" s="133" t="str">
        <f>'[2]Formati 2 Sipas Tavaneve'!C16</f>
        <v>Raporti të punësuar (kontribues)/ pensionist (përfitues)</v>
      </c>
      <c r="B24" s="132">
        <f>'[2]Formati 2 Sipas Tavaneve'!D16</f>
        <v>1.21E-2</v>
      </c>
      <c r="C24" s="132">
        <f>'[2]Formati 2 Sipas Tavaneve'!E16</f>
        <v>1.26E-2</v>
      </c>
      <c r="D24" s="132">
        <f>'[2]Formati 2 Sipas Tavaneve'!F16</f>
        <v>1.26E-2</v>
      </c>
      <c r="E24" s="132">
        <f>'[2]Formati 2 Sipas Tavaneve'!G16</f>
        <v>1.26E-2</v>
      </c>
    </row>
    <row r="25" spans="1:8" ht="15.75" customHeight="1" thickBot="1" x14ac:dyDescent="0.25">
      <c r="A25" s="179" t="s">
        <v>45</v>
      </c>
      <c r="B25" s="1038" t="e">
        <f>'[2]Formati 2 Sipas Tavaneve'!D17:G17</f>
        <v>#VALUE!</v>
      </c>
      <c r="C25" s="1039"/>
      <c r="D25" s="1039"/>
      <c r="E25" s="1040"/>
    </row>
    <row r="26" spans="1:8" ht="18.75" customHeight="1" thickBot="1" x14ac:dyDescent="0.25">
      <c r="A26" s="945" t="s">
        <v>153</v>
      </c>
      <c r="B26" s="946"/>
      <c r="C26" s="946"/>
      <c r="D26" s="946"/>
      <c r="E26" s="947"/>
      <c r="F26" s="194"/>
      <c r="H26" s="194"/>
    </row>
    <row r="27" spans="1:8" ht="24.75" customHeight="1" thickBot="1" x14ac:dyDescent="0.25">
      <c r="A27" s="131" t="str">
        <f>'[2]Formati 2 Sipas Tavaneve'!C19</f>
        <v xml:space="preserve">Numri i kontribuesve vjetor të shtuar në skemën e sigurimeve të detyrueshme (numër absolut ose % kundrejt totalit të kontribuesve)
</v>
      </c>
      <c r="B27" s="193">
        <f>'[2]Formati 2 Sipas Tavaneve'!D19</f>
        <v>1</v>
      </c>
      <c r="C27" s="192">
        <f>'[2]Formati 2 Sipas Tavaneve'!E19</f>
        <v>2.4E-2</v>
      </c>
      <c r="D27" s="192">
        <f>'[2]Formati 2 Sipas Tavaneve'!F19</f>
        <v>2.5000000000000001E-2</v>
      </c>
      <c r="E27" s="192">
        <f>'[2]Formati 2 Sipas Tavaneve'!G19</f>
        <v>2.5000000000000001E-2</v>
      </c>
    </row>
    <row r="28" spans="1:8" ht="12" thickBot="1" x14ac:dyDescent="0.25">
      <c r="A28" s="1020" t="s">
        <v>68</v>
      </c>
      <c r="B28" s="1021"/>
      <c r="C28" s="1021"/>
      <c r="D28" s="1021"/>
      <c r="E28" s="1022"/>
    </row>
    <row r="29" spans="1:8" ht="12" thickBot="1" x14ac:dyDescent="0.25">
      <c r="A29" s="1020" t="s">
        <v>644</v>
      </c>
      <c r="B29" s="1021"/>
      <c r="C29" s="1021"/>
      <c r="D29" s="1021"/>
      <c r="E29" s="1022"/>
    </row>
    <row r="30" spans="1:8" ht="32.25" customHeight="1" thickBot="1" x14ac:dyDescent="0.25">
      <c r="A30" s="144" t="s">
        <v>70</v>
      </c>
      <c r="B30" s="1038" t="e">
        <f>'[2]Formati 2 Sipas Tavaneve'!D23:G23</f>
        <v>#VALUE!</v>
      </c>
      <c r="C30" s="1039"/>
      <c r="D30" s="1039"/>
      <c r="E30" s="1040"/>
    </row>
    <row r="31" spans="1:8" ht="22.5" customHeight="1" thickBot="1" x14ac:dyDescent="0.25">
      <c r="A31" s="133" t="s">
        <v>72</v>
      </c>
      <c r="B31" s="945" t="e">
        <f>'[2]Formati 2 Sipas Tavaneve'!D24:G24</f>
        <v>#VALUE!</v>
      </c>
      <c r="C31" s="946"/>
      <c r="D31" s="946"/>
      <c r="E31" s="947"/>
    </row>
    <row r="32" spans="1:8" ht="12" thickBot="1" x14ac:dyDescent="0.25">
      <c r="A32" s="133" t="s">
        <v>74</v>
      </c>
      <c r="B32" s="1002" t="e">
        <f>'[2]Formati 2 Sipas Tavaneve'!D25:G25</f>
        <v>#VALUE!</v>
      </c>
      <c r="C32" s="1003"/>
      <c r="D32" s="1003"/>
      <c r="E32" s="1004"/>
    </row>
    <row r="33" spans="1:9" ht="12.75" customHeight="1" x14ac:dyDescent="0.2">
      <c r="A33" s="893"/>
      <c r="B33" s="145">
        <v>2018</v>
      </c>
      <c r="C33" s="145">
        <v>2019</v>
      </c>
      <c r="D33" s="145">
        <v>2020</v>
      </c>
      <c r="E33" s="145">
        <v>2021</v>
      </c>
    </row>
    <row r="34" spans="1:9" ht="13.5" customHeight="1" thickBot="1" x14ac:dyDescent="0.25">
      <c r="A34" s="894"/>
      <c r="B34" s="146" t="s">
        <v>41</v>
      </c>
      <c r="C34" s="146" t="s">
        <v>42</v>
      </c>
      <c r="D34" s="146" t="s">
        <v>42</v>
      </c>
      <c r="E34" s="146" t="s">
        <v>42</v>
      </c>
    </row>
    <row r="35" spans="1:9" ht="12" thickBot="1" x14ac:dyDescent="0.25">
      <c r="A35" s="133" t="s">
        <v>76</v>
      </c>
      <c r="B35" s="147">
        <f>'[2]Formati 2 Sipas Tavaneve'!D28</f>
        <v>1856.0124290063561</v>
      </c>
      <c r="C35" s="147">
        <f>'[2]Formati 2 Sipas Tavaneve'!E28</f>
        <v>1923.4603606560404</v>
      </c>
      <c r="D35" s="147">
        <f>'[2]Formati 2 Sipas Tavaneve'!F28</f>
        <v>2015.4559344047498</v>
      </c>
      <c r="E35" s="147">
        <f>'[2]Formati 2 Sipas Tavaneve'!G28</f>
        <v>2142.2102834007383</v>
      </c>
    </row>
    <row r="36" spans="1:9" ht="12" thickBot="1" x14ac:dyDescent="0.25">
      <c r="A36" s="133" t="s">
        <v>77</v>
      </c>
      <c r="B36" s="147">
        <f>'[2]Formati 2 Sipas Tavaneve'!D29</f>
        <v>435104</v>
      </c>
      <c r="C36" s="147">
        <f>'[2]Formati 2 Sipas Tavaneve'!E29</f>
        <v>450980</v>
      </c>
      <c r="D36" s="147">
        <f>'[2]Formati 2 Sipas Tavaneve'!F29</f>
        <v>472550</v>
      </c>
      <c r="E36" s="147">
        <f>'[2]Formati 2 Sipas Tavaneve'!G29</f>
        <v>502277</v>
      </c>
    </row>
    <row r="37" spans="1:9" ht="12" thickBot="1" x14ac:dyDescent="0.25">
      <c r="A37" s="133" t="s">
        <v>78</v>
      </c>
      <c r="B37" s="147">
        <f>B36/B35</f>
        <v>234.42946458765871</v>
      </c>
      <c r="C37" s="147">
        <f>C36/C35</f>
        <v>234.46285102864448</v>
      </c>
      <c r="D37" s="147">
        <f>D36/D35</f>
        <v>234.46307703054009</v>
      </c>
      <c r="E37" s="147">
        <f>E36/E35</f>
        <v>234.4667112710523</v>
      </c>
    </row>
    <row r="38" spans="1:9" ht="12" thickBot="1" x14ac:dyDescent="0.25">
      <c r="A38" s="133" t="s">
        <v>79</v>
      </c>
      <c r="B38" s="148" t="s">
        <v>80</v>
      </c>
      <c r="C38" s="149">
        <f t="shared" ref="C38:E40" si="0">C35/B35-1</f>
        <v>3.6340237056383007E-2</v>
      </c>
      <c r="D38" s="149">
        <f t="shared" si="0"/>
        <v>4.7828162009708519E-2</v>
      </c>
      <c r="E38" s="149">
        <f t="shared" si="0"/>
        <v>6.2891153724690341E-2</v>
      </c>
      <c r="F38" s="187"/>
      <c r="G38" s="187"/>
      <c r="H38" s="187"/>
      <c r="I38" s="187"/>
    </row>
    <row r="39" spans="1:9" ht="12" thickBot="1" x14ac:dyDescent="0.25">
      <c r="A39" s="133" t="s">
        <v>81</v>
      </c>
      <c r="B39" s="148" t="s">
        <v>80</v>
      </c>
      <c r="C39" s="149">
        <f t="shared" si="0"/>
        <v>3.6487828197396377E-2</v>
      </c>
      <c r="D39" s="149">
        <f t="shared" si="0"/>
        <v>4.7829172025366962E-2</v>
      </c>
      <c r="E39" s="149">
        <f t="shared" si="0"/>
        <v>6.2907628822346906E-2</v>
      </c>
    </row>
    <row r="40" spans="1:9" ht="12" thickBot="1" x14ac:dyDescent="0.25">
      <c r="A40" s="133" t="s">
        <v>82</v>
      </c>
      <c r="B40" s="148" t="s">
        <v>80</v>
      </c>
      <c r="C40" s="149">
        <f t="shared" si="0"/>
        <v>1.424157199885201E-4</v>
      </c>
      <c r="D40" s="149">
        <f t="shared" si="0"/>
        <v>9.6391344994728456E-7</v>
      </c>
      <c r="E40" s="149">
        <f t="shared" si="0"/>
        <v>1.5500267923851396E-5</v>
      </c>
    </row>
    <row r="41" spans="1:9" ht="15" customHeight="1" thickBot="1" x14ac:dyDescent="0.25">
      <c r="A41" s="1005" t="s">
        <v>83</v>
      </c>
      <c r="B41" s="1006"/>
      <c r="C41" s="1006"/>
      <c r="D41" s="1006"/>
      <c r="E41" s="1007"/>
    </row>
    <row r="42" spans="1:9" ht="12.75" customHeight="1" x14ac:dyDescent="0.2">
      <c r="A42" s="893"/>
      <c r="B42" s="145">
        <v>2018</v>
      </c>
      <c r="C42" s="145">
        <v>2019</v>
      </c>
      <c r="D42" s="145">
        <v>2020</v>
      </c>
      <c r="E42" s="145">
        <v>2021</v>
      </c>
    </row>
    <row r="43" spans="1:9" ht="15.75" customHeight="1" thickBot="1" x14ac:dyDescent="0.25">
      <c r="A43" s="894"/>
      <c r="B43" s="146" t="s">
        <v>41</v>
      </c>
      <c r="C43" s="146" t="s">
        <v>42</v>
      </c>
      <c r="D43" s="146" t="s">
        <v>42</v>
      </c>
      <c r="E43" s="146" t="s">
        <v>42</v>
      </c>
    </row>
    <row r="44" spans="1:9" ht="12.75" customHeight="1" thickBot="1" x14ac:dyDescent="0.25">
      <c r="A44" s="173" t="s">
        <v>84</v>
      </c>
      <c r="B44" s="142">
        <f>'[2]Formati 2 Sipas Tavaneve'!D37</f>
        <v>3367.8850496863665</v>
      </c>
      <c r="C44" s="142">
        <f>'[2]Formati 2 Sipas Tavaneve'!E37</f>
        <v>3595.312445244575</v>
      </c>
      <c r="D44" s="142">
        <f>'[2]Formati 2 Sipas Tavaneve'!F37</f>
        <v>3726.0768516139033</v>
      </c>
      <c r="E44" s="142">
        <f>'[2]Formati 2 Sipas Tavaneve'!G37</f>
        <v>3962.1988821399673</v>
      </c>
    </row>
    <row r="45" spans="1:9" ht="12.75" customHeight="1" thickBot="1" x14ac:dyDescent="0.25">
      <c r="A45" s="173" t="s">
        <v>85</v>
      </c>
      <c r="B45" s="142">
        <f>'[2]Formati 2 Sipas Tavaneve'!D40</f>
        <v>574.90166170009343</v>
      </c>
      <c r="C45" s="142">
        <f>'[2]Formati 2 Sipas Tavaneve'!E40</f>
        <v>567.52203165909327</v>
      </c>
      <c r="D45" s="142">
        <f>'[2]Formati 2 Sipas Tavaneve'!F40</f>
        <v>586.62127648035346</v>
      </c>
      <c r="E45" s="142">
        <f>'[2]Formati 2 Sipas Tavaneve'!G40</f>
        <v>625.29390552739994</v>
      </c>
    </row>
    <row r="46" spans="1:9" ht="12.75" customHeight="1" thickBot="1" x14ac:dyDescent="0.25">
      <c r="A46" s="173" t="s">
        <v>86</v>
      </c>
      <c r="B46" s="142">
        <f>'[2]Formati 2 Sipas Tavaneve'!D43</f>
        <v>3533.3504439151748</v>
      </c>
      <c r="C46" s="142">
        <f>'[2]Formati 2 Sipas Tavaneve'!E43</f>
        <v>3649.6496610417221</v>
      </c>
      <c r="D46" s="142">
        <f>'[2]Formati 2 Sipas Tavaneve'!F43</f>
        <v>3873.4691321366045</v>
      </c>
      <c r="E46" s="142">
        <f>'[2]Formati 2 Sipas Tavaneve'!G43</f>
        <v>4121.528579221469</v>
      </c>
    </row>
    <row r="47" spans="1:9" ht="12.75" customHeight="1" thickBot="1" x14ac:dyDescent="0.25">
      <c r="A47" s="173" t="s">
        <v>87</v>
      </c>
      <c r="B47" s="142"/>
      <c r="C47" s="142"/>
      <c r="D47" s="142"/>
      <c r="E47" s="142"/>
    </row>
    <row r="48" spans="1:9" ht="12.75" customHeight="1" thickBot="1" x14ac:dyDescent="0.25">
      <c r="A48" s="173" t="s">
        <v>88</v>
      </c>
      <c r="B48" s="142"/>
      <c r="C48" s="142"/>
      <c r="D48" s="142"/>
      <c r="E48" s="142"/>
    </row>
    <row r="49" spans="1:5" ht="12.75" customHeight="1" thickBot="1" x14ac:dyDescent="0.25">
      <c r="A49" s="173" t="s">
        <v>89</v>
      </c>
      <c r="B49" s="142"/>
      <c r="C49" s="142"/>
      <c r="D49" s="142"/>
      <c r="E49" s="142"/>
    </row>
    <row r="50" spans="1:5" ht="12.75" customHeight="1" thickBot="1" x14ac:dyDescent="0.25">
      <c r="A50" s="173" t="s">
        <v>90</v>
      </c>
      <c r="B50" s="142">
        <f>'[2]Formati 2 Sipas Tavaneve'!D55</f>
        <v>427627.55399235623</v>
      </c>
      <c r="C50" s="142">
        <f>'[2]Formati 2 Sipas Tavaneve'!E55</f>
        <v>443167.64067627967</v>
      </c>
      <c r="D50" s="142">
        <f>'[2]Formati 2 Sipas Tavaneve'!F55</f>
        <v>464363.53439200507</v>
      </c>
      <c r="E50" s="142">
        <f>'[2]Formati 2 Sipas Tavaneve'!G55</f>
        <v>493567.89281759324</v>
      </c>
    </row>
    <row r="51" spans="1:5" ht="12" thickBot="1" x14ac:dyDescent="0.25">
      <c r="A51" s="191" t="s">
        <v>91</v>
      </c>
      <c r="B51" s="158">
        <f>ROUND(B50+B49+B48+B47+B46+B45+B44,0)</f>
        <v>435104</v>
      </c>
      <c r="C51" s="158">
        <f>ROUND(C50+C49+C48+C47+C46+C45+C44,0)</f>
        <v>450980</v>
      </c>
      <c r="D51" s="158">
        <f>ROUND(D50+D49+D48+D47+D46+D45+D44,0)</f>
        <v>472550</v>
      </c>
      <c r="E51" s="158">
        <f>ROUND(E50+E49+E48+E47+E46+E45+E44,0)</f>
        <v>502277</v>
      </c>
    </row>
    <row r="52" spans="1:5" ht="12" thickBot="1" x14ac:dyDescent="0.25">
      <c r="A52" s="168" t="s">
        <v>92</v>
      </c>
      <c r="B52" s="160">
        <f>IF(B51-B36=0,0,"Error")</f>
        <v>0</v>
      </c>
      <c r="C52" s="160">
        <f>IF(C51-C36=0,0,"Error")</f>
        <v>0</v>
      </c>
      <c r="D52" s="160">
        <f>IF(D51-D36=0,0,"Error")</f>
        <v>0</v>
      </c>
      <c r="E52" s="160">
        <f>IF(E51-E36=0,0,"Error")</f>
        <v>0</v>
      </c>
    </row>
    <row r="53" spans="1:5" ht="27.75" customHeight="1" thickBot="1" x14ac:dyDescent="0.25">
      <c r="A53" s="190" t="s">
        <v>643</v>
      </c>
      <c r="B53" s="1038" t="e">
        <f>'[2]Formati 2 Sipas Tavaneve'!D63:G63</f>
        <v>#VALUE!</v>
      </c>
      <c r="C53" s="1039"/>
      <c r="D53" s="1039"/>
      <c r="E53" s="1040"/>
    </row>
    <row r="54" spans="1:5" ht="15" customHeight="1" thickBot="1" x14ac:dyDescent="0.25">
      <c r="A54" s="133" t="s">
        <v>72</v>
      </c>
      <c r="B54" s="945" t="e">
        <f>'[2]Formati 2 Sipas Tavaneve'!D64:G64</f>
        <v>#VALUE!</v>
      </c>
      <c r="C54" s="946"/>
      <c r="D54" s="946"/>
      <c r="E54" s="947"/>
    </row>
    <row r="55" spans="1:5" ht="12" thickBot="1" x14ac:dyDescent="0.25">
      <c r="A55" s="133" t="s">
        <v>74</v>
      </c>
      <c r="B55" s="1002" t="e">
        <f>'[2]Formati 2 Sipas Tavaneve'!D25:G25</f>
        <v>#VALUE!</v>
      </c>
      <c r="C55" s="1003"/>
      <c r="D55" s="1003"/>
      <c r="E55" s="1004"/>
    </row>
    <row r="56" spans="1:5" ht="12" thickBot="1" x14ac:dyDescent="0.25">
      <c r="A56" s="133" t="s">
        <v>76</v>
      </c>
      <c r="B56" s="147">
        <f>'[2]Formati 2 Sipas Tavaneve'!D68</f>
        <v>17482.215789412508</v>
      </c>
      <c r="C56" s="147">
        <f>'[2]Formati 2 Sipas Tavaneve'!E68</f>
        <v>18356.326578883138</v>
      </c>
      <c r="D56" s="147">
        <f>'[2]Formati 2 Sipas Tavaneve'!F68</f>
        <v>19274.142907827292</v>
      </c>
      <c r="E56" s="147">
        <f>'[2]Formati 2 Sipas Tavaneve'!G68</f>
        <v>20237.850053218659</v>
      </c>
    </row>
    <row r="57" spans="1:5" ht="12.75" customHeight="1" x14ac:dyDescent="0.2">
      <c r="A57" s="893"/>
      <c r="B57" s="145">
        <v>2018</v>
      </c>
      <c r="C57" s="145">
        <v>2019</v>
      </c>
      <c r="D57" s="145">
        <v>2020</v>
      </c>
      <c r="E57" s="145">
        <v>2021</v>
      </c>
    </row>
    <row r="58" spans="1:5" ht="12.75" customHeight="1" thickBot="1" x14ac:dyDescent="0.25">
      <c r="A58" s="894"/>
      <c r="B58" s="146" t="s">
        <v>41</v>
      </c>
      <c r="C58" s="146" t="s">
        <v>42</v>
      </c>
      <c r="D58" s="146" t="s">
        <v>42</v>
      </c>
      <c r="E58" s="146" t="s">
        <v>42</v>
      </c>
    </row>
    <row r="59" spans="1:5" ht="12" thickBot="1" x14ac:dyDescent="0.25">
      <c r="A59" s="133" t="s">
        <v>77</v>
      </c>
      <c r="B59" s="147">
        <f>'[2]Formati 2 Sipas Tavaneve'!D69</f>
        <v>3590458</v>
      </c>
      <c r="C59" s="147">
        <f>'[2]Formati 2 Sipas Tavaneve'!E69</f>
        <v>3856328</v>
      </c>
      <c r="D59" s="147">
        <f>'[2]Formati 2 Sipas Tavaneve'!F69</f>
        <v>4142810</v>
      </c>
      <c r="E59" s="147">
        <f>'[2]Formati 2 Sipas Tavaneve'!G69</f>
        <v>4450726</v>
      </c>
    </row>
    <row r="60" spans="1:5" ht="12" thickBot="1" x14ac:dyDescent="0.25">
      <c r="A60" s="133" t="s">
        <v>78</v>
      </c>
      <c r="B60" s="147">
        <f>B59/B56</f>
        <v>205.37774177198037</v>
      </c>
      <c r="C60" s="147">
        <f>C59/C56</f>
        <v>210.081684013852</v>
      </c>
      <c r="D60" s="147">
        <f>D59/D56</f>
        <v>214.94133460625071</v>
      </c>
      <c r="E60" s="147">
        <f>E59/E56</f>
        <v>219.92089022777148</v>
      </c>
    </row>
    <row r="61" spans="1:5" ht="12" thickBot="1" x14ac:dyDescent="0.25">
      <c r="A61" s="133" t="s">
        <v>79</v>
      </c>
      <c r="B61" s="148"/>
      <c r="C61" s="149">
        <f>C56/B56-1</f>
        <v>5.0000000000000266E-2</v>
      </c>
      <c r="D61" s="149">
        <f>D56/C56-1</f>
        <v>4.9999999999999822E-2</v>
      </c>
      <c r="E61" s="149">
        <f>E56/D56-1</f>
        <v>5.0000000000000044E-2</v>
      </c>
    </row>
    <row r="62" spans="1:5" ht="12" thickBot="1" x14ac:dyDescent="0.25">
      <c r="A62" s="133" t="s">
        <v>81</v>
      </c>
      <c r="B62" s="148"/>
      <c r="C62" s="149">
        <f t="shared" ref="C62:E63" si="1">C59/B59-1</f>
        <v>7.4049048895711955E-2</v>
      </c>
      <c r="D62" s="149">
        <f t="shared" si="1"/>
        <v>7.4288805309091988E-2</v>
      </c>
      <c r="E62" s="149">
        <f t="shared" si="1"/>
        <v>7.4325397495902612E-2</v>
      </c>
    </row>
    <row r="63" spans="1:5" ht="12" thickBot="1" x14ac:dyDescent="0.25">
      <c r="A63" s="133" t="s">
        <v>82</v>
      </c>
      <c r="B63" s="148"/>
      <c r="C63" s="149">
        <f t="shared" si="1"/>
        <v>2.2903856091154084E-2</v>
      </c>
      <c r="D63" s="149">
        <f t="shared" si="1"/>
        <v>2.3132195532468591E-2</v>
      </c>
      <c r="E63" s="149">
        <f t="shared" si="1"/>
        <v>2.3167045234192774E-2</v>
      </c>
    </row>
    <row r="64" spans="1:5" ht="24.75" customHeight="1" thickBot="1" x14ac:dyDescent="0.25">
      <c r="A64" s="1005" t="s">
        <v>355</v>
      </c>
      <c r="B64" s="1006"/>
      <c r="C64" s="1006"/>
      <c r="D64" s="1006"/>
      <c r="E64" s="1007"/>
    </row>
    <row r="65" spans="1:5" ht="12.75" customHeight="1" x14ac:dyDescent="0.2">
      <c r="A65" s="893"/>
      <c r="B65" s="145">
        <v>2018</v>
      </c>
      <c r="C65" s="145">
        <v>2019</v>
      </c>
      <c r="D65" s="145">
        <v>2020</v>
      </c>
      <c r="E65" s="145">
        <v>2021</v>
      </c>
    </row>
    <row r="66" spans="1:5" ht="9" customHeight="1" thickBot="1" x14ac:dyDescent="0.25">
      <c r="A66" s="894"/>
      <c r="B66" s="146" t="s">
        <v>41</v>
      </c>
      <c r="C66" s="146" t="s">
        <v>42</v>
      </c>
      <c r="D66" s="146" t="s">
        <v>42</v>
      </c>
      <c r="E66" s="146" t="s">
        <v>42</v>
      </c>
    </row>
    <row r="67" spans="1:5" ht="24.75" customHeight="1" thickBot="1" x14ac:dyDescent="0.25">
      <c r="A67" s="173" t="s">
        <v>84</v>
      </c>
      <c r="B67" s="142">
        <f>'[2]Formati 2 Sipas Tavaneve'!D77</f>
        <v>27791.653748277404</v>
      </c>
      <c r="C67" s="142">
        <f>'[2]Formati 2 Sipas Tavaneve'!E77</f>
        <v>30743.495479533325</v>
      </c>
      <c r="D67" s="142">
        <f>'[2]Formati 2 Sipas Tavaneve'!F77</f>
        <v>32666.254422915845</v>
      </c>
      <c r="E67" s="142">
        <f>'[2]Formati 2 Sipas Tavaneve'!G77</f>
        <v>35109.438360401764</v>
      </c>
    </row>
    <row r="68" spans="1:5" ht="24.75" customHeight="1" thickBot="1" x14ac:dyDescent="0.25">
      <c r="A68" s="173" t="s">
        <v>85</v>
      </c>
      <c r="B68" s="142">
        <f>'[2]Formati 2 Sipas Tavaneve'!D80</f>
        <v>4744.0656927308746</v>
      </c>
      <c r="C68" s="142">
        <f>'[2]Formati 2 Sipas Tavaneve'!E80</f>
        <v>4852.8775400102977</v>
      </c>
      <c r="D68" s="142">
        <f>'[2]Formati 2 Sipas Tavaneve'!F80</f>
        <v>5142.8675871520982</v>
      </c>
      <c r="E68" s="142">
        <f>'[2]Formati 2 Sipas Tavaneve'!G80</f>
        <v>5540.791486315301</v>
      </c>
    </row>
    <row r="69" spans="1:5" ht="24.75" customHeight="1" thickBot="1" x14ac:dyDescent="0.25">
      <c r="A69" s="173" t="s">
        <v>86</v>
      </c>
      <c r="B69" s="142">
        <f>'[2]Formati 2 Sipas Tavaneve'!D83</f>
        <v>29157.06761362221</v>
      </c>
      <c r="C69" s="142">
        <f>'[2]Formati 2 Sipas Tavaneve'!E83</f>
        <v>31208.132690810908</v>
      </c>
      <c r="D69" s="142">
        <f>'[2]Formati 2 Sipas Tavaneve'!F83</f>
        <v>33958.432208632439</v>
      </c>
      <c r="E69" s="142">
        <f>'[2]Formati 2 Sipas Tavaneve'!G83</f>
        <v>36521.274652587876</v>
      </c>
    </row>
    <row r="70" spans="1:5" ht="12" thickBot="1" x14ac:dyDescent="0.25">
      <c r="A70" s="173" t="s">
        <v>87</v>
      </c>
      <c r="B70" s="142"/>
      <c r="C70" s="142"/>
      <c r="D70" s="142"/>
      <c r="E70" s="142"/>
    </row>
    <row r="71" spans="1:5" ht="12" thickBot="1" x14ac:dyDescent="0.25">
      <c r="A71" s="173" t="s">
        <v>88</v>
      </c>
      <c r="B71" s="142"/>
      <c r="C71" s="142"/>
      <c r="D71" s="142"/>
      <c r="E71" s="142"/>
    </row>
    <row r="72" spans="1:5" ht="12" thickBot="1" x14ac:dyDescent="0.25">
      <c r="A72" s="173" t="s">
        <v>89</v>
      </c>
      <c r="B72" s="142"/>
      <c r="C72" s="142"/>
      <c r="D72" s="142"/>
      <c r="E72" s="142"/>
    </row>
    <row r="73" spans="1:5" ht="23.25" thickBot="1" x14ac:dyDescent="0.25">
      <c r="A73" s="173" t="s">
        <v>90</v>
      </c>
      <c r="B73" s="142">
        <f>'[2]Formati 2 Sipas Tavaneve'!D95</f>
        <v>3528765.6016897317</v>
      </c>
      <c r="C73" s="142">
        <f>'[2]Formati 2 Sipas Tavaneve'!E95</f>
        <v>3789523.8773552072</v>
      </c>
      <c r="D73" s="142">
        <f>'[2]Formati 2 Sipas Tavaneve'!F95</f>
        <v>4071042.5370328585</v>
      </c>
      <c r="E73" s="142">
        <f>'[2]Formati 2 Sipas Tavaneve'!G95</f>
        <v>4373554.1867079157</v>
      </c>
    </row>
    <row r="74" spans="1:5" ht="12" thickBot="1" x14ac:dyDescent="0.25">
      <c r="A74" s="180" t="s">
        <v>98</v>
      </c>
      <c r="B74" s="158">
        <f>ROUND(B73+B72+B71+B70+B69+B68+B67,0)</f>
        <v>3590458</v>
      </c>
      <c r="C74" s="158">
        <f>ROUND(C73+C72+C71+C70+C69+C68+C67,0)</f>
        <v>3856328</v>
      </c>
      <c r="D74" s="158">
        <f>ROUND(D73+D72+D71+D70+D69+D68+D67,0)</f>
        <v>4142810</v>
      </c>
      <c r="E74" s="158">
        <f>ROUND(E73+E72+E71+E70+E69+E68+E67,0)</f>
        <v>4450726</v>
      </c>
    </row>
    <row r="75" spans="1:5" ht="17.25" customHeight="1" thickBot="1" x14ac:dyDescent="0.25">
      <c r="A75" s="168" t="s">
        <v>92</v>
      </c>
      <c r="B75" s="160">
        <f>IF(B74-B59=0,0,"Error")</f>
        <v>0</v>
      </c>
      <c r="C75" s="160">
        <f>IF(C74-C59=0,0,"Error")</f>
        <v>0</v>
      </c>
      <c r="D75" s="160">
        <f>IF(D74-D59=0,0,"Error")</f>
        <v>0</v>
      </c>
      <c r="E75" s="160">
        <f>IF(E74-E59=0,0,"Error")</f>
        <v>0</v>
      </c>
    </row>
    <row r="76" spans="1:5" ht="39" customHeight="1" thickBot="1" x14ac:dyDescent="0.25">
      <c r="A76" s="156" t="s">
        <v>99</v>
      </c>
      <c r="B76" s="1038" t="e">
        <f>'[2]Formati 2 Sipas Tavaneve'!D103:G103</f>
        <v>#VALUE!</v>
      </c>
      <c r="C76" s="1039"/>
      <c r="D76" s="1039"/>
      <c r="E76" s="1040"/>
    </row>
    <row r="77" spans="1:5" ht="37.5" customHeight="1" thickBot="1" x14ac:dyDescent="0.25">
      <c r="A77" s="133" t="s">
        <v>72</v>
      </c>
      <c r="B77" s="945" t="e">
        <f>'[2]Formati 2 Sipas Tavaneve'!D104:G104</f>
        <v>#VALUE!</v>
      </c>
      <c r="C77" s="946"/>
      <c r="D77" s="946"/>
      <c r="E77" s="947"/>
    </row>
    <row r="78" spans="1:5" ht="17.25" customHeight="1" thickBot="1" x14ac:dyDescent="0.25">
      <c r="A78" s="133" t="s">
        <v>74</v>
      </c>
      <c r="B78" s="1002" t="e">
        <f>'[2]Formati 2 Sipas Tavaneve'!D105:G105</f>
        <v>#VALUE!</v>
      </c>
      <c r="C78" s="1003"/>
      <c r="D78" s="1003"/>
      <c r="E78" s="1004"/>
    </row>
    <row r="79" spans="1:5" ht="17.25" customHeight="1" thickBot="1" x14ac:dyDescent="0.25">
      <c r="A79" s="133" t="s">
        <v>76</v>
      </c>
      <c r="B79" s="147">
        <f>'[2]Formati 2 Sipas Tavaneve'!D108</f>
        <v>635604.99527987512</v>
      </c>
      <c r="C79" s="147">
        <f>'[2]Formati 2 Sipas Tavaneve'!E108</f>
        <v>641802.67867680197</v>
      </c>
      <c r="D79" s="147">
        <f>'[2]Formati 2 Sipas Tavaneve'!F108</f>
        <v>657762.1572172906</v>
      </c>
      <c r="E79" s="147">
        <f>'[2]Formati 2 Sipas Tavaneve'!G108</f>
        <v>674434.00673612067</v>
      </c>
    </row>
    <row r="80" spans="1:5" ht="17.25" customHeight="1" x14ac:dyDescent="0.2">
      <c r="A80" s="893"/>
      <c r="B80" s="145">
        <v>2018</v>
      </c>
      <c r="C80" s="145">
        <v>2019</v>
      </c>
      <c r="D80" s="145">
        <v>2020</v>
      </c>
      <c r="E80" s="145">
        <v>2021</v>
      </c>
    </row>
    <row r="81" spans="1:9" ht="17.25" customHeight="1" thickBot="1" x14ac:dyDescent="0.25">
      <c r="A81" s="894"/>
      <c r="B81" s="146" t="s">
        <v>41</v>
      </c>
      <c r="C81" s="146" t="s">
        <v>42</v>
      </c>
      <c r="D81" s="146" t="s">
        <v>42</v>
      </c>
      <c r="E81" s="146" t="s">
        <v>42</v>
      </c>
    </row>
    <row r="82" spans="1:9" ht="17.25" customHeight="1" thickBot="1" x14ac:dyDescent="0.25">
      <c r="A82" s="133" t="s">
        <v>77</v>
      </c>
      <c r="B82" s="147">
        <f>'[2]Formati 2 Sipas Tavaneve'!D109</f>
        <v>105090916</v>
      </c>
      <c r="C82" s="147">
        <f>C97</f>
        <v>111627856</v>
      </c>
      <c r="D82" s="147">
        <f>D97</f>
        <v>119070800</v>
      </c>
      <c r="E82" s="147">
        <f>E97</f>
        <v>124187205</v>
      </c>
    </row>
    <row r="83" spans="1:9" ht="17.25" customHeight="1" thickBot="1" x14ac:dyDescent="0.25">
      <c r="A83" s="133" t="s">
        <v>78</v>
      </c>
      <c r="B83" s="147">
        <f>B82/B79</f>
        <v>165.33997810027509</v>
      </c>
      <c r="C83" s="147">
        <f>C82/C79</f>
        <v>173.92862278191487</v>
      </c>
      <c r="D83" s="147">
        <f>D82/D79</f>
        <v>181.02409616226245</v>
      </c>
      <c r="E83" s="147">
        <f>E82/E79</f>
        <v>184.13544358623886</v>
      </c>
    </row>
    <row r="84" spans="1:9" ht="17.25" customHeight="1" thickBot="1" x14ac:dyDescent="0.25">
      <c r="A84" s="133" t="s">
        <v>79</v>
      </c>
      <c r="B84" s="148"/>
      <c r="C84" s="149">
        <f>C79/B79-1</f>
        <v>9.7508412346536399E-3</v>
      </c>
      <c r="D84" s="149">
        <f>D79/C79-1</f>
        <v>2.4866643706430436E-2</v>
      </c>
      <c r="E84" s="149">
        <f>E79/D79-1</f>
        <v>2.5346319084943225E-2</v>
      </c>
    </row>
    <row r="85" spans="1:9" ht="17.25" customHeight="1" thickBot="1" x14ac:dyDescent="0.25">
      <c r="A85" s="133" t="s">
        <v>81</v>
      </c>
      <c r="B85" s="148"/>
      <c r="C85" s="149">
        <f t="shared" ref="C85:E86" si="2">C82/B82-1</f>
        <v>6.2202712173524022E-2</v>
      </c>
      <c r="D85" s="149">
        <f t="shared" si="2"/>
        <v>6.6676403782224503E-2</v>
      </c>
      <c r="E85" s="149">
        <f t="shared" si="2"/>
        <v>4.2969434991618538E-2</v>
      </c>
    </row>
    <row r="86" spans="1:9" ht="17.25" customHeight="1" thickBot="1" x14ac:dyDescent="0.25">
      <c r="A86" s="133" t="s">
        <v>82</v>
      </c>
      <c r="B86" s="148"/>
      <c r="C86" s="149">
        <f t="shared" si="2"/>
        <v>5.1945359980820616E-2</v>
      </c>
      <c r="D86" s="149">
        <f t="shared" si="2"/>
        <v>4.0795317451828739E-2</v>
      </c>
      <c r="E86" s="149">
        <f t="shared" si="2"/>
        <v>1.7187476639505039E-2</v>
      </c>
    </row>
    <row r="87" spans="1:9" ht="17.25" customHeight="1" thickBot="1" x14ac:dyDescent="0.25">
      <c r="A87" s="1005" t="s">
        <v>359</v>
      </c>
      <c r="B87" s="1006"/>
      <c r="C87" s="1006"/>
      <c r="D87" s="1006"/>
      <c r="E87" s="1007"/>
    </row>
    <row r="88" spans="1:9" ht="17.25" customHeight="1" x14ac:dyDescent="0.2">
      <c r="A88" s="893"/>
      <c r="B88" s="145">
        <v>2018</v>
      </c>
      <c r="C88" s="145">
        <v>2019</v>
      </c>
      <c r="D88" s="145">
        <v>2020</v>
      </c>
      <c r="E88" s="145">
        <v>2021</v>
      </c>
    </row>
    <row r="89" spans="1:9" ht="17.25" customHeight="1" thickBot="1" x14ac:dyDescent="0.25">
      <c r="A89" s="894"/>
      <c r="B89" s="146" t="s">
        <v>41</v>
      </c>
      <c r="C89" s="146" t="s">
        <v>42</v>
      </c>
      <c r="D89" s="146" t="s">
        <v>42</v>
      </c>
      <c r="E89" s="146" t="s">
        <v>42</v>
      </c>
    </row>
    <row r="90" spans="1:9" ht="17.25" customHeight="1" thickBot="1" x14ac:dyDescent="0.25">
      <c r="A90" s="173" t="s">
        <v>84</v>
      </c>
      <c r="B90" s="142">
        <f>'[2]Formati 2 Sipas Tavaneve'!D117</f>
        <v>813447.76645431609</v>
      </c>
      <c r="C90" s="142">
        <f>'[2]Formati 2 Sipas Tavaneve'!E117</f>
        <v>887252.30516575952</v>
      </c>
      <c r="D90" s="142">
        <f>'[2]Formati 2 Sipas Tavaneve'!F117</f>
        <v>936044.50806992862</v>
      </c>
      <c r="E90" s="142">
        <f>'[2]Formati 2 Sipas Tavaneve'!G117</f>
        <v>976615.58830482478</v>
      </c>
    </row>
    <row r="91" spans="1:9" ht="17.25" customHeight="1" thickBot="1" x14ac:dyDescent="0.25">
      <c r="A91" s="173" t="s">
        <v>85</v>
      </c>
      <c r="B91" s="142">
        <f>'[2]Formati 2 Sipas Tavaneve'!D120</f>
        <v>138856.42346503655</v>
      </c>
      <c r="C91" s="142">
        <f>'[2]Formati 2 Sipas Tavaneve'!E120</f>
        <v>140053.26059711399</v>
      </c>
      <c r="D91" s="142">
        <f>'[2]Formati 2 Sipas Tavaneve'!F120</f>
        <v>147367.76669771818</v>
      </c>
      <c r="E91" s="142">
        <f>'[2]Formati 2 Sipas Tavaneve'!G120</f>
        <v>154124.46310121662</v>
      </c>
    </row>
    <row r="92" spans="1:9" ht="17.25" customHeight="1" thickBot="1" x14ac:dyDescent="0.25">
      <c r="A92" s="173" t="s">
        <v>86</v>
      </c>
      <c r="B92" s="142">
        <f>'[2]Formati 2 Sipas Tavaneve'!D123</f>
        <v>853412.74547681597</v>
      </c>
      <c r="C92" s="142">
        <f>'[2]Formati 2 Sipas Tavaneve'!E123</f>
        <v>900661.65990378102</v>
      </c>
      <c r="D92" s="142">
        <f>'[2]Formati 2 Sipas Tavaneve'!F123</f>
        <v>973071.5851296566</v>
      </c>
      <c r="E92" s="142">
        <f>'[2]Formati 2 Sipas Tavaneve'!G123</f>
        <v>1015887.6870758078</v>
      </c>
    </row>
    <row r="93" spans="1:9" ht="17.25" customHeight="1" thickBot="1" x14ac:dyDescent="0.25">
      <c r="A93" s="173" t="s">
        <v>87</v>
      </c>
      <c r="B93" s="142"/>
      <c r="C93" s="142"/>
      <c r="D93" s="142"/>
      <c r="E93" s="142"/>
    </row>
    <row r="94" spans="1:9" ht="17.25" customHeight="1" thickBot="1" x14ac:dyDescent="0.25">
      <c r="A94" s="173" t="s">
        <v>88</v>
      </c>
      <c r="B94" s="142">
        <v>32339455.23502554</v>
      </c>
      <c r="C94" s="142">
        <f>37890211.5613005+18999.5+334843</f>
        <v>38244054.061300501</v>
      </c>
      <c r="D94" s="142">
        <f>40152717.9899552+26000+359466</f>
        <v>40538183.989955202</v>
      </c>
      <c r="E94" s="142">
        <f>39490334.7137655+72000+384368</f>
        <v>39946702.713765502</v>
      </c>
      <c r="F94" s="187"/>
      <c r="G94" s="187"/>
      <c r="H94" s="187"/>
      <c r="I94" s="187"/>
    </row>
    <row r="95" spans="1:9" ht="17.25" customHeight="1" thickBot="1" x14ac:dyDescent="0.25">
      <c r="A95" s="173" t="s">
        <v>89</v>
      </c>
      <c r="B95" s="142"/>
      <c r="C95" s="142"/>
      <c r="D95" s="142"/>
      <c r="E95" s="142"/>
    </row>
    <row r="96" spans="1:9" ht="23.25" thickBot="1" x14ac:dyDescent="0.25">
      <c r="A96" s="173" t="s">
        <v>90</v>
      </c>
      <c r="B96" s="142">
        <v>70945744.092605412</v>
      </c>
      <c r="C96" s="142">
        <f>71474834.384839-18999.5</f>
        <v>71455834.884838998</v>
      </c>
      <c r="D96" s="142">
        <f>76502131.9837667-26000</f>
        <v>76476131.983766705</v>
      </c>
      <c r="E96" s="142">
        <f>82165874.9695016-72000</f>
        <v>82093874.9695016</v>
      </c>
      <c r="F96" s="187"/>
      <c r="G96" s="187"/>
      <c r="H96" s="187"/>
      <c r="I96" s="187"/>
    </row>
    <row r="97" spans="1:5" ht="14.25" customHeight="1" thickBot="1" x14ac:dyDescent="0.25">
      <c r="A97" s="180" t="s">
        <v>103</v>
      </c>
      <c r="B97" s="158">
        <f>ROUND(B96+B95+B94+B93+B92+B91+B90,0)</f>
        <v>105090916</v>
      </c>
      <c r="C97" s="158">
        <f>ROUND(C96+C95+C94+C93+C92+C91+C90,0)</f>
        <v>111627856</v>
      </c>
      <c r="D97" s="158">
        <f>ROUND(D96+D95+D94+D93+D92+D91+D90,0)</f>
        <v>119070800</v>
      </c>
      <c r="E97" s="158">
        <f>ROUND(E96+E95+E94+E93+E92+E91+E90,0)</f>
        <v>124187205</v>
      </c>
    </row>
    <row r="98" spans="1:5" ht="12" thickBot="1" x14ac:dyDescent="0.25">
      <c r="A98" s="168" t="s">
        <v>92</v>
      </c>
      <c r="B98" s="160">
        <f>IF(B97-B82=0,0,"Error")</f>
        <v>0</v>
      </c>
      <c r="C98" s="160">
        <f>IF(C97-C82=0,0,"Error")</f>
        <v>0</v>
      </c>
      <c r="D98" s="160">
        <f>IF(D97-D82=0,0,"Error")</f>
        <v>0</v>
      </c>
      <c r="E98" s="160">
        <f>IF(E97-E82=0,0,"Error")</f>
        <v>0</v>
      </c>
    </row>
    <row r="99" spans="1:5" ht="20.25" customHeight="1" thickBot="1" x14ac:dyDescent="0.25">
      <c r="A99" s="190" t="s">
        <v>642</v>
      </c>
      <c r="B99" s="1014" t="e">
        <f>'[2]Formati 2 Sipas Tavaneve'!D143:G143</f>
        <v>#VALUE!</v>
      </c>
      <c r="C99" s="1015"/>
      <c r="D99" s="1015"/>
      <c r="E99" s="1016"/>
    </row>
    <row r="100" spans="1:5" ht="24" customHeight="1" thickBot="1" x14ac:dyDescent="0.25">
      <c r="A100" s="133" t="s">
        <v>72</v>
      </c>
      <c r="B100" s="945" t="e">
        <f>'[2]Formati 2 Sipas Tavaneve'!D144:G144</f>
        <v>#VALUE!</v>
      </c>
      <c r="C100" s="946"/>
      <c r="D100" s="946"/>
      <c r="E100" s="947"/>
    </row>
    <row r="101" spans="1:5" ht="12" thickBot="1" x14ac:dyDescent="0.25">
      <c r="A101" s="133" t="s">
        <v>74</v>
      </c>
      <c r="B101" s="1002" t="e">
        <f>'[2]Formati 2 Sipas Tavaneve'!D145:G145</f>
        <v>#VALUE!</v>
      </c>
      <c r="C101" s="1003"/>
      <c r="D101" s="1003"/>
      <c r="E101" s="1004"/>
    </row>
    <row r="102" spans="1:5" ht="12" thickBot="1" x14ac:dyDescent="0.25">
      <c r="A102" s="133" t="s">
        <v>76</v>
      </c>
      <c r="B102" s="147">
        <f>'[2]Formati 2 Sipas Tavaneve'!D148</f>
        <v>68.6445885996865</v>
      </c>
      <c r="C102" s="147">
        <f>'[2]Formati 2 Sipas Tavaneve'!E148</f>
        <v>71.241977542565493</v>
      </c>
      <c r="D102" s="147">
        <f>'[2]Formati 2 Sipas Tavaneve'!F148</f>
        <v>74.303212372686161</v>
      </c>
      <c r="E102" s="147">
        <f>'[2]Formati 2 Sipas Tavaneve'!G148</f>
        <v>78.563242880389765</v>
      </c>
    </row>
    <row r="103" spans="1:5" x14ac:dyDescent="0.2">
      <c r="A103" s="893"/>
      <c r="B103" s="145">
        <v>2018</v>
      </c>
      <c r="C103" s="145">
        <v>2019</v>
      </c>
      <c r="D103" s="145">
        <v>2020</v>
      </c>
      <c r="E103" s="145">
        <v>2021</v>
      </c>
    </row>
    <row r="104" spans="1:5" ht="12" thickBot="1" x14ac:dyDescent="0.25">
      <c r="A104" s="894"/>
      <c r="B104" s="146" t="s">
        <v>41</v>
      </c>
      <c r="C104" s="146" t="s">
        <v>42</v>
      </c>
      <c r="D104" s="146" t="s">
        <v>42</v>
      </c>
      <c r="E104" s="146" t="s">
        <v>42</v>
      </c>
    </row>
    <row r="105" spans="1:5" ht="16.5" customHeight="1" thickBot="1" x14ac:dyDescent="0.25">
      <c r="A105" s="133" t="s">
        <v>77</v>
      </c>
      <c r="B105" s="147">
        <f>'[2]Formati 2 Sipas Tavaneve'!D149</f>
        <v>23807</v>
      </c>
      <c r="C105" s="147">
        <f>'[2]Formati 2 Sipas Tavaneve'!E149</f>
        <v>24711</v>
      </c>
      <c r="D105" s="147">
        <f>'[2]Formati 2 Sipas Tavaneve'!F149</f>
        <v>25773</v>
      </c>
      <c r="E105" s="147">
        <f>'[2]Formati 2 Sipas Tavaneve'!G149</f>
        <v>27251</v>
      </c>
    </row>
    <row r="106" spans="1:5" ht="16.5" customHeight="1" thickBot="1" x14ac:dyDescent="0.25">
      <c r="A106" s="133" t="s">
        <v>78</v>
      </c>
      <c r="B106" s="147">
        <f>B105/B102</f>
        <v>346.81539340027052</v>
      </c>
      <c r="C106" s="147">
        <f>C105/C102</f>
        <v>346.86010765543011</v>
      </c>
      <c r="D106" s="147">
        <f>D105/D102</f>
        <v>346.86252689492261</v>
      </c>
      <c r="E106" s="147">
        <f>E105/E102</f>
        <v>346.86704622782497</v>
      </c>
    </row>
    <row r="107" spans="1:5" ht="16.5" customHeight="1" thickBot="1" x14ac:dyDescent="0.25">
      <c r="A107" s="133" t="s">
        <v>79</v>
      </c>
      <c r="B107" s="148"/>
      <c r="C107" s="149">
        <f>C102/B102-1</f>
        <v>3.7838218508761789E-2</v>
      </c>
      <c r="D107" s="149">
        <f>D102/C102-1</f>
        <v>4.2969537563603444E-2</v>
      </c>
      <c r="E107" s="149">
        <f>E102/D102-1</f>
        <v>5.7333059657452834E-2</v>
      </c>
    </row>
    <row r="108" spans="1:5" ht="16.5" customHeight="1" thickBot="1" x14ac:dyDescent="0.25">
      <c r="A108" s="133" t="s">
        <v>81</v>
      </c>
      <c r="B108" s="147"/>
      <c r="C108" s="149">
        <f t="shared" ref="C108:E109" si="3">C105/B105-1</f>
        <v>3.7972025034653578E-2</v>
      </c>
      <c r="D108" s="149">
        <f t="shared" si="3"/>
        <v>4.2976811946096927E-2</v>
      </c>
      <c r="E108" s="149">
        <f t="shared" si="3"/>
        <v>5.7346835835952348E-2</v>
      </c>
    </row>
    <row r="109" spans="1:5" ht="16.5" customHeight="1" thickBot="1" x14ac:dyDescent="0.25">
      <c r="A109" s="133" t="s">
        <v>82</v>
      </c>
      <c r="B109" s="148"/>
      <c r="C109" s="149">
        <f t="shared" si="3"/>
        <v>1.2892811567910556E-4</v>
      </c>
      <c r="D109" s="149">
        <f t="shared" si="3"/>
        <v>6.9746835658079931E-6</v>
      </c>
      <c r="E109" s="149">
        <f t="shared" si="3"/>
        <v>1.3029175975898255E-5</v>
      </c>
    </row>
    <row r="110" spans="1:5" ht="15.75" customHeight="1" thickBot="1" x14ac:dyDescent="0.25">
      <c r="A110" s="1005" t="s">
        <v>363</v>
      </c>
      <c r="B110" s="1057"/>
      <c r="C110" s="1057"/>
      <c r="D110" s="1057"/>
      <c r="E110" s="1058"/>
    </row>
    <row r="111" spans="1:5" x14ac:dyDescent="0.2">
      <c r="A111" s="893"/>
      <c r="B111" s="145">
        <v>2018</v>
      </c>
      <c r="C111" s="145">
        <v>2019</v>
      </c>
      <c r="D111" s="145">
        <v>2020</v>
      </c>
      <c r="E111" s="145">
        <v>2021</v>
      </c>
    </row>
    <row r="112" spans="1:5" ht="12" thickBot="1" x14ac:dyDescent="0.25">
      <c r="A112" s="894"/>
      <c r="B112" s="146" t="s">
        <v>41</v>
      </c>
      <c r="C112" s="146" t="s">
        <v>42</v>
      </c>
      <c r="D112" s="146" t="s">
        <v>42</v>
      </c>
      <c r="E112" s="146" t="s">
        <v>42</v>
      </c>
    </row>
    <row r="113" spans="1:9" ht="12" thickBot="1" x14ac:dyDescent="0.25">
      <c r="A113" s="173" t="s">
        <v>84</v>
      </c>
      <c r="B113" s="142">
        <f>'[2]Formati 2 Sipas Tavaneve'!D157</f>
        <v>184.27469757990903</v>
      </c>
      <c r="C113" s="142">
        <f>'[2]Formati 2 Sipas Tavaneve'!E157</f>
        <v>197.00279341474535</v>
      </c>
      <c r="D113" s="142">
        <f>'[2]Formati 2 Sipas Tavaneve'!F157</f>
        <v>203.22124691382416</v>
      </c>
      <c r="E113" s="142">
        <f>'[2]Formati 2 Sipas Tavaneve'!G157</f>
        <v>214.96937498081519</v>
      </c>
    </row>
    <row r="114" spans="1:9" ht="23.25" thickBot="1" x14ac:dyDescent="0.25">
      <c r="A114" s="173" t="s">
        <v>85</v>
      </c>
      <c r="B114" s="142">
        <f>'[2]Formati 2 Sipas Tavaneve'!D160</f>
        <v>31.455892432503742</v>
      </c>
      <c r="C114" s="142">
        <f>'[2]Formati 2 Sipas Tavaneve'!E160</f>
        <v>31.096998456735619</v>
      </c>
      <c r="D114" s="142">
        <f>'[2]Formati 2 Sipas Tavaneve'!F160</f>
        <v>31.994484284692252</v>
      </c>
      <c r="E114" s="142">
        <f>'[2]Formati 2 Sipas Tavaneve'!G160</f>
        <v>33.925364185136232</v>
      </c>
    </row>
    <row r="115" spans="1:9" ht="16.5" customHeight="1" thickBot="1" x14ac:dyDescent="0.25">
      <c r="A115" s="173" t="s">
        <v>86</v>
      </c>
      <c r="B115" s="142">
        <f>'[2]Formati 2 Sipas Tavaneve'!D163</f>
        <v>193.32817922539851</v>
      </c>
      <c r="C115" s="142">
        <f>'[2]Formati 2 Sipas Tavaneve'!E163</f>
        <v>199.98016560741155</v>
      </c>
      <c r="D115" s="142">
        <f>'[2]Formati 2 Sipas Tavaneve'!F163</f>
        <v>211.26006206073171</v>
      </c>
      <c r="E115" s="142">
        <f>'[2]Formati 2 Sipas Tavaneve'!G163</f>
        <v>223.6138187395278</v>
      </c>
    </row>
    <row r="116" spans="1:9" ht="16.5" customHeight="1" thickBot="1" x14ac:dyDescent="0.25">
      <c r="A116" s="173" t="s">
        <v>87</v>
      </c>
      <c r="B116" s="142"/>
      <c r="C116" s="142"/>
      <c r="D116" s="142"/>
      <c r="E116" s="142"/>
    </row>
    <row r="117" spans="1:9" ht="16.5" customHeight="1" thickBot="1" x14ac:dyDescent="0.25">
      <c r="A117" s="173" t="s">
        <v>88</v>
      </c>
      <c r="B117" s="142"/>
      <c r="C117" s="142"/>
      <c r="D117" s="142"/>
      <c r="E117" s="142"/>
    </row>
    <row r="118" spans="1:9" ht="16.5" customHeight="1" thickBot="1" x14ac:dyDescent="0.25">
      <c r="A118" s="173" t="s">
        <v>89</v>
      </c>
      <c r="B118" s="142"/>
      <c r="C118" s="142"/>
      <c r="D118" s="142"/>
      <c r="E118" s="142"/>
    </row>
    <row r="119" spans="1:9" ht="16.5" customHeight="1" thickBot="1" x14ac:dyDescent="0.25">
      <c r="A119" s="173" t="s">
        <v>90</v>
      </c>
      <c r="B119" s="142">
        <f>'[2]Formati 2 Sipas Tavaneve'!D175</f>
        <v>23397.751712492674</v>
      </c>
      <c r="C119" s="142">
        <f>'[2]Formati 2 Sipas Tavaneve'!E175</f>
        <v>24283.080954403726</v>
      </c>
      <c r="D119" s="142">
        <f>'[2]Formati 2 Sipas Tavaneve'!F175</f>
        <v>25326.513713634005</v>
      </c>
      <c r="E119" s="142">
        <f>'[2]Formati 2 Sipas Tavaneve'!G175</f>
        <v>26778.560235293076</v>
      </c>
    </row>
    <row r="120" spans="1:9" ht="12" thickBot="1" x14ac:dyDescent="0.25">
      <c r="A120" s="180" t="s">
        <v>262</v>
      </c>
      <c r="B120" s="158">
        <f>ROUND(B119+B118+B117+B116+B115+B114+B113,0)</f>
        <v>23807</v>
      </c>
      <c r="C120" s="158">
        <f>ROUND(C119+C118+C117+C116+C115+C114+C113,0)</f>
        <v>24711</v>
      </c>
      <c r="D120" s="158">
        <f>ROUND(D119+D118+D117+D116+D115+D114+D113,0)</f>
        <v>25773</v>
      </c>
      <c r="E120" s="158">
        <f>ROUND(E119+E118+E117+E116+E115+E114+E113,0)</f>
        <v>27251</v>
      </c>
      <c r="F120" s="187"/>
      <c r="G120" s="187"/>
      <c r="H120" s="187"/>
      <c r="I120" s="187"/>
    </row>
    <row r="121" spans="1:9" ht="12" thickBot="1" x14ac:dyDescent="0.25">
      <c r="A121" s="168" t="s">
        <v>92</v>
      </c>
      <c r="B121" s="160">
        <f>IF(B120-B105=0,0,"Error")</f>
        <v>0</v>
      </c>
      <c r="C121" s="160">
        <f>IF(C120-C105=0,0,"Error")</f>
        <v>0</v>
      </c>
      <c r="D121" s="160">
        <f>IF(D120-D105=0,0,"Error")</f>
        <v>0</v>
      </c>
      <c r="E121" s="160">
        <f>IF(E120-E105=0,0,"Error")</f>
        <v>0</v>
      </c>
      <c r="F121" s="187"/>
      <c r="G121" s="187"/>
      <c r="H121" s="187"/>
      <c r="I121" s="187"/>
    </row>
    <row r="122" spans="1:9" ht="21" customHeight="1" thickBot="1" x14ac:dyDescent="0.25">
      <c r="A122" s="156" t="s">
        <v>264</v>
      </c>
      <c r="B122" s="1038" t="e">
        <f>'[2]Formati 2 Sipas Tavaneve'!D183:G183</f>
        <v>#VALUE!</v>
      </c>
      <c r="C122" s="1039"/>
      <c r="D122" s="1039"/>
      <c r="E122" s="1040"/>
      <c r="F122" s="187"/>
      <c r="G122" s="187"/>
      <c r="H122" s="187"/>
      <c r="I122" s="187"/>
    </row>
    <row r="123" spans="1:9" ht="24.75" customHeight="1" thickBot="1" x14ac:dyDescent="0.25">
      <c r="A123" s="133" t="s">
        <v>72</v>
      </c>
      <c r="B123" s="945" t="e">
        <f>'[2]Formati 2 Sipas Tavaneve'!D184:G184</f>
        <v>#VALUE!</v>
      </c>
      <c r="C123" s="946"/>
      <c r="D123" s="946"/>
      <c r="E123" s="947"/>
      <c r="F123" s="187"/>
      <c r="G123" s="187"/>
      <c r="H123" s="187"/>
      <c r="I123" s="187"/>
    </row>
    <row r="124" spans="1:9" ht="12" thickBot="1" x14ac:dyDescent="0.25">
      <c r="A124" s="133" t="s">
        <v>74</v>
      </c>
      <c r="B124" s="1002" t="e">
        <f>'[2]Formati 2 Sipas Tavaneve'!D185:G185</f>
        <v>#VALUE!</v>
      </c>
      <c r="C124" s="1003"/>
      <c r="D124" s="1003"/>
      <c r="E124" s="1004"/>
    </row>
    <row r="125" spans="1:9" ht="12" thickBot="1" x14ac:dyDescent="0.25">
      <c r="A125" s="133" t="s">
        <v>76</v>
      </c>
      <c r="B125" s="147">
        <f>'[2]Formati 2 Sipas Tavaneve'!D188</f>
        <v>350</v>
      </c>
      <c r="C125" s="147">
        <f>'[2]Formati 2 Sipas Tavaneve'!E188</f>
        <v>350</v>
      </c>
      <c r="D125" s="147">
        <f>'[2]Formati 2 Sipas Tavaneve'!F188</f>
        <v>350</v>
      </c>
      <c r="E125" s="147">
        <f>'[2]Formati 2 Sipas Tavaneve'!G188</f>
        <v>350</v>
      </c>
    </row>
    <row r="126" spans="1:9" x14ac:dyDescent="0.2">
      <c r="A126" s="893"/>
      <c r="B126" s="145">
        <v>2018</v>
      </c>
      <c r="C126" s="145">
        <v>2019</v>
      </c>
      <c r="D126" s="145">
        <v>2020</v>
      </c>
      <c r="E126" s="145">
        <v>2021</v>
      </c>
      <c r="F126" s="187"/>
      <c r="G126" s="187"/>
      <c r="H126" s="187"/>
      <c r="I126" s="187"/>
    </row>
    <row r="127" spans="1:9" ht="12" thickBot="1" x14ac:dyDescent="0.25">
      <c r="A127" s="894"/>
      <c r="B127" s="146" t="s">
        <v>41</v>
      </c>
      <c r="C127" s="146" t="s">
        <v>42</v>
      </c>
      <c r="D127" s="146" t="s">
        <v>42</v>
      </c>
      <c r="E127" s="146" t="s">
        <v>42</v>
      </c>
    </row>
    <row r="128" spans="1:9" ht="15.75" customHeight="1" thickBot="1" x14ac:dyDescent="0.25">
      <c r="A128" s="133" t="s">
        <v>77</v>
      </c>
      <c r="B128" s="147">
        <f>'[2]Formati 2 Sipas Tavaneve'!D189</f>
        <v>280000</v>
      </c>
      <c r="C128" s="147">
        <f>'[2]Formati 2 Sipas Tavaneve'!E189</f>
        <v>296077</v>
      </c>
      <c r="D128" s="147">
        <f>'[2]Formati 2 Sipas Tavaneve'!F189</f>
        <v>314249</v>
      </c>
      <c r="E128" s="147">
        <f>'[2]Formati 2 Sipas Tavaneve'!G189</f>
        <v>327769</v>
      </c>
      <c r="F128" s="189"/>
      <c r="G128" s="189"/>
      <c r="H128" s="189"/>
      <c r="I128" s="189"/>
    </row>
    <row r="129" spans="1:9" ht="15.75" customHeight="1" thickBot="1" x14ac:dyDescent="0.25">
      <c r="A129" s="133" t="s">
        <v>78</v>
      </c>
      <c r="B129" s="147">
        <f>B128/B125</f>
        <v>800</v>
      </c>
      <c r="C129" s="147">
        <f>C128/C125</f>
        <v>845.93428571428569</v>
      </c>
      <c r="D129" s="147">
        <f>D128/D125</f>
        <v>897.85428571428577</v>
      </c>
      <c r="E129" s="147">
        <f>E128/E125</f>
        <v>936.48285714285714</v>
      </c>
      <c r="F129" s="189"/>
      <c r="G129" s="189"/>
      <c r="H129" s="189"/>
      <c r="I129" s="189"/>
    </row>
    <row r="130" spans="1:9" ht="15.75" customHeight="1" thickBot="1" x14ac:dyDescent="0.25">
      <c r="A130" s="133" t="s">
        <v>79</v>
      </c>
      <c r="B130" s="148"/>
      <c r="C130" s="149">
        <f>C125/B125-1</f>
        <v>0</v>
      </c>
      <c r="D130" s="149">
        <f>D125/C125-1</f>
        <v>0</v>
      </c>
      <c r="E130" s="149">
        <f>E125/D125-1</f>
        <v>0</v>
      </c>
      <c r="F130" s="188"/>
      <c r="G130" s="188"/>
      <c r="H130" s="188"/>
      <c r="I130" s="188"/>
    </row>
    <row r="131" spans="1:9" ht="15.75" customHeight="1" thickBot="1" x14ac:dyDescent="0.25">
      <c r="A131" s="133" t="s">
        <v>81</v>
      </c>
      <c r="B131" s="148"/>
      <c r="C131" s="149">
        <f t="shared" ref="C131:E132" si="4">C128/B128-1</f>
        <v>5.7417857142857187E-2</v>
      </c>
      <c r="D131" s="149">
        <f t="shared" si="4"/>
        <v>6.1375925857124924E-2</v>
      </c>
      <c r="E131" s="149">
        <f t="shared" si="4"/>
        <v>4.3023207711082589E-2</v>
      </c>
      <c r="F131" s="187"/>
    </row>
    <row r="132" spans="1:9" ht="15.75" customHeight="1" thickBot="1" x14ac:dyDescent="0.25">
      <c r="A132" s="133" t="s">
        <v>82</v>
      </c>
      <c r="B132" s="148"/>
      <c r="C132" s="149">
        <f t="shared" si="4"/>
        <v>5.7417857142857187E-2</v>
      </c>
      <c r="D132" s="149">
        <f t="shared" si="4"/>
        <v>6.1375925857125146E-2</v>
      </c>
      <c r="E132" s="149">
        <f t="shared" si="4"/>
        <v>4.3023207711082589E-2</v>
      </c>
      <c r="F132" s="187"/>
      <c r="G132" s="187"/>
      <c r="H132" s="187"/>
      <c r="I132" s="187"/>
    </row>
    <row r="133" spans="1:9" ht="12" thickBot="1" x14ac:dyDescent="0.25">
      <c r="A133" s="1005" t="s">
        <v>637</v>
      </c>
      <c r="B133" s="1006"/>
      <c r="C133" s="1006"/>
      <c r="D133" s="1006"/>
      <c r="E133" s="1007"/>
      <c r="F133" s="187"/>
      <c r="G133" s="187"/>
      <c r="H133" s="187"/>
      <c r="I133" s="187"/>
    </row>
    <row r="134" spans="1:9" x14ac:dyDescent="0.2">
      <c r="A134" s="893"/>
      <c r="B134" s="145">
        <v>2018</v>
      </c>
      <c r="C134" s="145">
        <v>2019</v>
      </c>
      <c r="D134" s="145">
        <v>2020</v>
      </c>
      <c r="E134" s="145">
        <v>2021</v>
      </c>
    </row>
    <row r="135" spans="1:9" ht="12" thickBot="1" x14ac:dyDescent="0.25">
      <c r="A135" s="894"/>
      <c r="B135" s="146" t="s">
        <v>41</v>
      </c>
      <c r="C135" s="146" t="s">
        <v>42</v>
      </c>
      <c r="D135" s="146" t="s">
        <v>42</v>
      </c>
      <c r="E135" s="146" t="s">
        <v>42</v>
      </c>
      <c r="F135" s="187"/>
    </row>
    <row r="136" spans="1:9" ht="16.5" customHeight="1" thickBot="1" x14ac:dyDescent="0.25">
      <c r="A136" s="173" t="s">
        <v>84</v>
      </c>
      <c r="B136" s="142">
        <f>'[2]Formati 2 Sipas Tavaneve'!D197</f>
        <v>126135.70274636512</v>
      </c>
      <c r="C136" s="142">
        <f>'[2]Formati 2 Sipas Tavaneve'!E197</f>
        <v>136254.87884215135</v>
      </c>
      <c r="D136" s="142">
        <f>'[2]Formati 2 Sipas Tavaneve'!F197</f>
        <v>143036.09088925761</v>
      </c>
      <c r="E136" s="142">
        <f>'[2]Formati 2 Sipas Tavaneve'!G197</f>
        <v>149119.56685705445</v>
      </c>
    </row>
    <row r="137" spans="1:9" ht="16.5" customHeight="1" thickBot="1" x14ac:dyDescent="0.25">
      <c r="A137" s="173" t="s">
        <v>85</v>
      </c>
      <c r="B137" s="142">
        <f>'[2]Formati 2 Sipas Tavaneve'!D200</f>
        <v>21531.50242326333</v>
      </c>
      <c r="C137" s="142">
        <f>'[2]Formati 2 Sipas Tavaneve'!E200</f>
        <v>21507.906987677965</v>
      </c>
      <c r="D137" s="142">
        <f>'[2]Formati 2 Sipas Tavaneve'!F200</f>
        <v>22519.131397913188</v>
      </c>
      <c r="E137" s="142">
        <f>'[2]Formati 2 Sipas Tavaneve'!G200</f>
        <v>23533.285209611018</v>
      </c>
    </row>
    <row r="138" spans="1:9" ht="16.5" customHeight="1" thickBot="1" x14ac:dyDescent="0.25">
      <c r="A138" s="173" t="s">
        <v>86</v>
      </c>
      <c r="B138" s="142">
        <f>'[2]Formati 2 Sipas Tavaneve'!D203</f>
        <v>132332.79483037157</v>
      </c>
      <c r="C138" s="142">
        <f>'[2]Formati 2 Sipas Tavaneve'!E203</f>
        <v>138314.14653246096</v>
      </c>
      <c r="D138" s="142">
        <f>'[2]Formati 2 Sipas Tavaneve'!F203</f>
        <v>148694.16410481368</v>
      </c>
      <c r="E138" s="142">
        <f>'[2]Formati 2 Sipas Tavaneve'!G203</f>
        <v>155116.02895373417</v>
      </c>
    </row>
    <row r="139" spans="1:9" ht="16.5" customHeight="1" thickBot="1" x14ac:dyDescent="0.25">
      <c r="A139" s="173" t="s">
        <v>87</v>
      </c>
      <c r="B139" s="142"/>
      <c r="C139" s="142"/>
      <c r="D139" s="142"/>
      <c r="E139" s="142"/>
    </row>
    <row r="140" spans="1:9" ht="16.5" customHeight="1" thickBot="1" x14ac:dyDescent="0.25">
      <c r="A140" s="173" t="s">
        <v>88</v>
      </c>
      <c r="B140" s="142"/>
      <c r="C140" s="142"/>
      <c r="D140" s="142"/>
      <c r="E140" s="142"/>
    </row>
    <row r="141" spans="1:9" ht="16.5" customHeight="1" thickBot="1" x14ac:dyDescent="0.25">
      <c r="A141" s="173" t="s">
        <v>89</v>
      </c>
      <c r="B141" s="142"/>
      <c r="C141" s="142"/>
      <c r="D141" s="142"/>
      <c r="E141" s="142"/>
    </row>
    <row r="142" spans="1:9" ht="16.5" customHeight="1" thickBot="1" x14ac:dyDescent="0.25">
      <c r="A142" s="173" t="s">
        <v>90</v>
      </c>
      <c r="B142" s="142"/>
      <c r="C142" s="142"/>
      <c r="D142" s="142"/>
      <c r="E142" s="142"/>
    </row>
    <row r="143" spans="1:9" ht="15" customHeight="1" thickBot="1" x14ac:dyDescent="0.25">
      <c r="A143" s="180" t="s">
        <v>266</v>
      </c>
      <c r="B143" s="158">
        <f>ROUND(B142+B141+B140+B139+B138+B137+B136,0)</f>
        <v>280000</v>
      </c>
      <c r="C143" s="158">
        <f>ROUND(C142+C141+C140+C139+C138+C137+C136,0)</f>
        <v>296077</v>
      </c>
      <c r="D143" s="158">
        <f>ROUND(D142+D141+D140+D139+D138+D137+D136,0)</f>
        <v>314249</v>
      </c>
      <c r="E143" s="158">
        <f>ROUND(E142+E141+E140+E139+E138+E137+E136,0)</f>
        <v>327769</v>
      </c>
    </row>
    <row r="144" spans="1:9" ht="12" thickBot="1" x14ac:dyDescent="0.25">
      <c r="A144" s="168" t="s">
        <v>92</v>
      </c>
      <c r="B144" s="160">
        <f>IF(B143-B128=0,0,"Error")</f>
        <v>0</v>
      </c>
      <c r="C144" s="160">
        <f>IF(C143-C128=0,0,"Error")</f>
        <v>0</v>
      </c>
      <c r="D144" s="160">
        <f>IF(D143-D128=0,0,"Error")</f>
        <v>0</v>
      </c>
      <c r="E144" s="160">
        <f>IF(E143-E128=0,0,"Error")</f>
        <v>0</v>
      </c>
    </row>
    <row r="145" spans="1:5" ht="16.5" customHeight="1" thickBot="1" x14ac:dyDescent="0.25">
      <c r="A145" s="156" t="s">
        <v>268</v>
      </c>
      <c r="B145" s="1014" t="e">
        <f>'[2]Formati 2 Sipas Tavaneve'!D223:G223</f>
        <v>#VALUE!</v>
      </c>
      <c r="C145" s="1015"/>
      <c r="D145" s="1015"/>
      <c r="E145" s="1016"/>
    </row>
    <row r="146" spans="1:5" ht="54" customHeight="1" thickBot="1" x14ac:dyDescent="0.25">
      <c r="A146" s="133" t="s">
        <v>72</v>
      </c>
      <c r="B146" s="945" t="e">
        <f>'[2]Formati 2 Sipas Tavaneve'!D224:G224</f>
        <v>#VALUE!</v>
      </c>
      <c r="C146" s="946"/>
      <c r="D146" s="946"/>
      <c r="E146" s="947"/>
    </row>
    <row r="147" spans="1:5" ht="15" customHeight="1" thickBot="1" x14ac:dyDescent="0.25">
      <c r="A147" s="133" t="s">
        <v>74</v>
      </c>
      <c r="B147" s="1002" t="e">
        <f>'[2]Formati 2 Sipas Tavaneve'!D225:G225</f>
        <v>#VALUE!</v>
      </c>
      <c r="C147" s="1003"/>
      <c r="D147" s="1003"/>
      <c r="E147" s="1004"/>
    </row>
    <row r="148" spans="1:5" ht="15" customHeight="1" thickBot="1" x14ac:dyDescent="0.25">
      <c r="A148" s="133" t="s">
        <v>76</v>
      </c>
      <c r="B148" s="147">
        <f>'[2]Formati 2 Sipas Tavaneve'!D228</f>
        <v>1185</v>
      </c>
      <c r="C148" s="147">
        <f>'[2]Formati 2 Sipas Tavaneve'!E228</f>
        <v>1190</v>
      </c>
      <c r="D148" s="147">
        <f>'[2]Formati 2 Sipas Tavaneve'!F228</f>
        <v>1213</v>
      </c>
      <c r="E148" s="147">
        <f>'[2]Formati 2 Sipas Tavaneve'!G228</f>
        <v>1226</v>
      </c>
    </row>
    <row r="149" spans="1:5" ht="15" customHeight="1" x14ac:dyDescent="0.2">
      <c r="A149" s="893"/>
      <c r="B149" s="145">
        <v>2018</v>
      </c>
      <c r="C149" s="145">
        <v>2019</v>
      </c>
      <c r="D149" s="145">
        <v>2020</v>
      </c>
      <c r="E149" s="145">
        <v>2021</v>
      </c>
    </row>
    <row r="150" spans="1:5" ht="15" customHeight="1" thickBot="1" x14ac:dyDescent="0.25">
      <c r="A150" s="894"/>
      <c r="B150" s="146" t="s">
        <v>41</v>
      </c>
      <c r="C150" s="146" t="s">
        <v>42</v>
      </c>
      <c r="D150" s="146" t="s">
        <v>42</v>
      </c>
      <c r="E150" s="146" t="s">
        <v>42</v>
      </c>
    </row>
    <row r="151" spans="1:5" ht="15" customHeight="1" thickBot="1" x14ac:dyDescent="0.25">
      <c r="A151" s="133" t="s">
        <v>77</v>
      </c>
      <c r="B151" s="147">
        <f>'[2]Formati 2 Sipas Tavaneve'!D229</f>
        <v>2155295</v>
      </c>
      <c r="C151" s="147">
        <f>'[2]Formati 2 Sipas Tavaneve'!E229</f>
        <v>2299089</v>
      </c>
      <c r="D151" s="147">
        <f>'[2]Formati 2 Sipas Tavaneve'!F229</f>
        <v>2451133</v>
      </c>
      <c r="E151" s="147">
        <f>'[2]Formati 2 Sipas Tavaneve'!G229</f>
        <v>2560750</v>
      </c>
    </row>
    <row r="152" spans="1:5" ht="15" customHeight="1" thickBot="1" x14ac:dyDescent="0.25">
      <c r="A152" s="133" t="s">
        <v>78</v>
      </c>
      <c r="B152" s="147">
        <f>B151/B148</f>
        <v>1818.8143459915611</v>
      </c>
      <c r="C152" s="147">
        <f>C151/C148</f>
        <v>1932.0075630252102</v>
      </c>
      <c r="D152" s="147">
        <f>D151/D148</f>
        <v>2020.7197032151689</v>
      </c>
      <c r="E152" s="147">
        <f>E151/E148</f>
        <v>2088.7030995106038</v>
      </c>
    </row>
    <row r="153" spans="1:5" ht="15" customHeight="1" thickBot="1" x14ac:dyDescent="0.25">
      <c r="A153" s="133" t="s">
        <v>79</v>
      </c>
      <c r="B153" s="148"/>
      <c r="C153" s="149">
        <f>C148/B148-1</f>
        <v>4.2194092827003704E-3</v>
      </c>
      <c r="D153" s="149">
        <f>D148/C148-1</f>
        <v>1.9327731092436906E-2</v>
      </c>
      <c r="E153" s="149">
        <f>E148/D148-1</f>
        <v>1.0717230008244094E-2</v>
      </c>
    </row>
    <row r="154" spans="1:5" ht="15" customHeight="1" thickBot="1" x14ac:dyDescent="0.25">
      <c r="A154" s="133" t="s">
        <v>81</v>
      </c>
      <c r="B154" s="148"/>
      <c r="C154" s="149">
        <f t="shared" ref="C154:E155" si="5">C151/B151-1</f>
        <v>6.6716621158588563E-2</v>
      </c>
      <c r="D154" s="149">
        <f t="shared" si="5"/>
        <v>6.613228109046676E-2</v>
      </c>
      <c r="E154" s="149">
        <f t="shared" si="5"/>
        <v>4.4720951494676031E-2</v>
      </c>
    </row>
    <row r="155" spans="1:5" ht="15" customHeight="1" thickBot="1" x14ac:dyDescent="0.25">
      <c r="A155" s="133" t="s">
        <v>82</v>
      </c>
      <c r="B155" s="148"/>
      <c r="C155" s="149">
        <f t="shared" si="5"/>
        <v>6.2234618548678622E-2</v>
      </c>
      <c r="D155" s="149">
        <f t="shared" si="5"/>
        <v>4.5917077079682844E-2</v>
      </c>
      <c r="E155" s="149">
        <f t="shared" si="5"/>
        <v>3.3643160002481576E-2</v>
      </c>
    </row>
    <row r="156" spans="1:5" ht="15" customHeight="1" thickBot="1" x14ac:dyDescent="0.25">
      <c r="A156" s="1005" t="s">
        <v>636</v>
      </c>
      <c r="B156" s="1006"/>
      <c r="C156" s="1006"/>
      <c r="D156" s="1006"/>
      <c r="E156" s="1007"/>
    </row>
    <row r="157" spans="1:5" ht="15" customHeight="1" x14ac:dyDescent="0.2">
      <c r="A157" s="893"/>
      <c r="B157" s="145">
        <v>2018</v>
      </c>
      <c r="C157" s="145">
        <v>2019</v>
      </c>
      <c r="D157" s="145">
        <v>2020</v>
      </c>
      <c r="E157" s="145">
        <v>2021</v>
      </c>
    </row>
    <row r="158" spans="1:5" ht="15" customHeight="1" thickBot="1" x14ac:dyDescent="0.25">
      <c r="A158" s="894"/>
      <c r="B158" s="146" t="s">
        <v>41</v>
      </c>
      <c r="C158" s="146" t="s">
        <v>42</v>
      </c>
      <c r="D158" s="146" t="s">
        <v>42</v>
      </c>
      <c r="E158" s="146" t="s">
        <v>42</v>
      </c>
    </row>
    <row r="159" spans="1:5" ht="15" customHeight="1" thickBot="1" x14ac:dyDescent="0.25">
      <c r="A159" s="173" t="s">
        <v>84</v>
      </c>
      <c r="B159" s="142">
        <f>'[2]Formati 2 Sipas Tavaneve'!D237</f>
        <v>970927.28269622487</v>
      </c>
      <c r="C159" s="142">
        <f>'[2]Formati 2 Sipas Tavaneve'!E237</f>
        <v>1058042.9947261035</v>
      </c>
      <c r="D159" s="142">
        <f>'[2]Formati 2 Sipas Tavaneve'!F237</f>
        <v>1115676.1514806298</v>
      </c>
      <c r="E159" s="142">
        <f>'[2]Formati 2 Sipas Tavaneve'!G237</f>
        <v>1165021.7617794017</v>
      </c>
    </row>
    <row r="160" spans="1:5" ht="15" customHeight="1" thickBot="1" x14ac:dyDescent="0.25">
      <c r="A160" s="173" t="s">
        <v>85</v>
      </c>
      <c r="B160" s="142">
        <f>'[2]Formati 2 Sipas Tavaneve'!D240</f>
        <v>165738.34913516336</v>
      </c>
      <c r="C160" s="142">
        <f>'[2]Formati 2 Sipas Tavaneve'!E240</f>
        <v>167012.66415491811</v>
      </c>
      <c r="D160" s="142">
        <f>'[2]Formati 2 Sipas Tavaneve'!F240</f>
        <v>175648.38144354851</v>
      </c>
      <c r="E160" s="142">
        <f>'[2]Formati 2 Sipas Tavaneve'!G240</f>
        <v>183857.75906685548</v>
      </c>
    </row>
    <row r="161" spans="1:9" ht="15" customHeight="1" thickBot="1" x14ac:dyDescent="0.25">
      <c r="A161" s="173" t="s">
        <v>86</v>
      </c>
      <c r="B161" s="142">
        <f>'[2]Formati 2 Sipas Tavaneve'!D243</f>
        <v>1018629.2865439504</v>
      </c>
      <c r="C161" s="142">
        <f>'[2]Formati 2 Sipas Tavaneve'!E243</f>
        <v>1074033.568953702</v>
      </c>
      <c r="D161" s="142">
        <f>'[2]Formati 2 Sipas Tavaneve'!F243</f>
        <v>1159808.9106373</v>
      </c>
      <c r="E161" s="142">
        <f>'[2]Formati 2 Sipas Tavaneve'!G243</f>
        <v>1211870.1330800909</v>
      </c>
    </row>
    <row r="162" spans="1:9" ht="15" customHeight="1" thickBot="1" x14ac:dyDescent="0.25">
      <c r="A162" s="173" t="s">
        <v>87</v>
      </c>
      <c r="B162" s="142"/>
      <c r="C162" s="142"/>
      <c r="D162" s="142"/>
      <c r="E162" s="142"/>
    </row>
    <row r="163" spans="1:9" ht="15" customHeight="1" thickBot="1" x14ac:dyDescent="0.25">
      <c r="A163" s="173" t="s">
        <v>88</v>
      </c>
      <c r="B163" s="142"/>
      <c r="C163" s="142"/>
      <c r="D163" s="142"/>
      <c r="E163" s="142"/>
    </row>
    <row r="164" spans="1:9" ht="15" customHeight="1" thickBot="1" x14ac:dyDescent="0.25">
      <c r="A164" s="173" t="s">
        <v>89</v>
      </c>
      <c r="B164" s="142"/>
      <c r="C164" s="142"/>
      <c r="D164" s="142"/>
      <c r="E164" s="142"/>
    </row>
    <row r="165" spans="1:9" ht="15" customHeight="1" thickBot="1" x14ac:dyDescent="0.25">
      <c r="A165" s="173" t="s">
        <v>90</v>
      </c>
      <c r="B165" s="142"/>
      <c r="C165" s="142"/>
      <c r="D165" s="142"/>
      <c r="E165" s="142"/>
    </row>
    <row r="166" spans="1:9" ht="15" customHeight="1" thickBot="1" x14ac:dyDescent="0.25">
      <c r="A166" s="180" t="s">
        <v>272</v>
      </c>
      <c r="B166" s="158">
        <f>ROUND(B165+B164+B163+B162+B161+B160+B159,0)</f>
        <v>2155295</v>
      </c>
      <c r="C166" s="158">
        <f>ROUND(C165+C164+C163+C162+C161+C160+C159,0)</f>
        <v>2299089</v>
      </c>
      <c r="D166" s="158">
        <f>ROUND(D165+D164+D163+D162+D161+D160+D159,0)</f>
        <v>2451133</v>
      </c>
      <c r="E166" s="158">
        <f>ROUND(E165+E164+E163+E162+E161+E160+E159,0)</f>
        <v>2560750</v>
      </c>
    </row>
    <row r="167" spans="1:9" ht="12" thickBot="1" x14ac:dyDescent="0.25">
      <c r="A167" s="168" t="s">
        <v>92</v>
      </c>
      <c r="B167" s="160">
        <f>IF(B166-B151=0,0,"Error")</f>
        <v>0</v>
      </c>
      <c r="C167" s="160">
        <f>IF(C166-C151=0,0,"Error")</f>
        <v>0</v>
      </c>
      <c r="D167" s="160">
        <f>IF(D166-D151=0,0,"Error")</f>
        <v>0</v>
      </c>
      <c r="E167" s="160">
        <f>IF(E166-E151=0,0,"Error")</f>
        <v>0</v>
      </c>
    </row>
    <row r="168" spans="1:9" ht="14.25" customHeight="1" thickBot="1" x14ac:dyDescent="0.25">
      <c r="A168" s="179" t="s">
        <v>181</v>
      </c>
      <c r="B168" s="1038" t="e">
        <f>'[2]Formati 2 Sipas Tavaneve'!D263:G263</f>
        <v>#VALUE!</v>
      </c>
      <c r="C168" s="1039"/>
      <c r="D168" s="1039"/>
      <c r="E168" s="1040"/>
    </row>
    <row r="169" spans="1:9" ht="12" thickBot="1" x14ac:dyDescent="0.25">
      <c r="A169" s="945" t="s">
        <v>641</v>
      </c>
      <c r="B169" s="946"/>
      <c r="C169" s="946"/>
      <c r="D169" s="946"/>
      <c r="E169" s="947"/>
    </row>
    <row r="170" spans="1:9" ht="33.75" customHeight="1" thickBot="1" x14ac:dyDescent="0.25">
      <c r="A170" s="131" t="str">
        <f>'[2]Formati 2 Sipas Tavaneve'!C265</f>
        <v xml:space="preserve">Numri i kontribuesve vjetor të shtuar në skemën e sigurimeve suplementare (numër absolut ose % kundrejt totalit të kontribuesve)
</v>
      </c>
      <c r="B170" s="183">
        <f>'[2]Formati 2 Sipas Tavaneve'!D265</f>
        <v>1</v>
      </c>
      <c r="C170" s="186">
        <f>'[2]Formati 2 Sipas Tavaneve'!E265</f>
        <v>0.01</v>
      </c>
      <c r="D170" s="186">
        <f>'[2]Formati 2 Sipas Tavaneve'!F265</f>
        <v>0.01</v>
      </c>
      <c r="E170" s="186">
        <f>'[2]Formati 2 Sipas Tavaneve'!G265</f>
        <v>0.01</v>
      </c>
    </row>
    <row r="171" spans="1:9" ht="15" customHeight="1" thickBot="1" x14ac:dyDescent="0.25">
      <c r="A171" s="1020" t="s">
        <v>196</v>
      </c>
      <c r="B171" s="1021"/>
      <c r="C171" s="1021"/>
      <c r="D171" s="1021"/>
      <c r="E171" s="1022"/>
    </row>
    <row r="172" spans="1:9" ht="15" customHeight="1" thickBot="1" x14ac:dyDescent="0.25">
      <c r="A172" s="1020" t="s">
        <v>69</v>
      </c>
      <c r="B172" s="1021"/>
      <c r="C172" s="1021"/>
      <c r="D172" s="1021"/>
      <c r="E172" s="1022"/>
      <c r="G172" s="185"/>
      <c r="H172" s="185"/>
      <c r="I172" s="185"/>
    </row>
    <row r="173" spans="1:9" ht="15" customHeight="1" thickBot="1" x14ac:dyDescent="0.25">
      <c r="A173" s="168"/>
      <c r="B173" s="182"/>
      <c r="C173" s="182"/>
      <c r="D173" s="182"/>
      <c r="E173" s="160"/>
    </row>
    <row r="174" spans="1:9" ht="15" customHeight="1" thickBot="1" x14ac:dyDescent="0.25">
      <c r="A174" s="156" t="s">
        <v>108</v>
      </c>
      <c r="B174" s="1014" t="e">
        <f>'[2]Formati 2 Sipas Tavaneve'!D269:G269</f>
        <v>#VALUE!</v>
      </c>
      <c r="C174" s="1015"/>
      <c r="D174" s="1015"/>
      <c r="E174" s="1016"/>
    </row>
    <row r="175" spans="1:9" ht="12" thickBot="1" x14ac:dyDescent="0.25">
      <c r="A175" s="133" t="s">
        <v>72</v>
      </c>
      <c r="B175" s="945" t="e">
        <f>'[2]Formati 2 Sipas Tavaneve'!D270:G270</f>
        <v>#VALUE!</v>
      </c>
      <c r="C175" s="946"/>
      <c r="D175" s="946"/>
      <c r="E175" s="947"/>
    </row>
    <row r="176" spans="1:9" ht="12" thickBot="1" x14ac:dyDescent="0.25">
      <c r="A176" s="133" t="s">
        <v>74</v>
      </c>
      <c r="B176" s="1002" t="s">
        <v>631</v>
      </c>
      <c r="C176" s="1003"/>
      <c r="D176" s="1003"/>
      <c r="E176" s="1004"/>
    </row>
    <row r="177" spans="1:5" ht="12" thickBot="1" x14ac:dyDescent="0.25">
      <c r="A177" s="133" t="s">
        <v>76</v>
      </c>
      <c r="B177" s="147">
        <f>'[2]Formati 2 Sipas Tavaneve'!D274</f>
        <v>2812.77</v>
      </c>
      <c r="C177" s="147">
        <f>'[2]Formati 2 Sipas Tavaneve'!E274</f>
        <v>3173.9400000000005</v>
      </c>
      <c r="D177" s="147">
        <f>'[2]Formati 2 Sipas Tavaneve'!F274</f>
        <v>3491.3340000000007</v>
      </c>
      <c r="E177" s="147">
        <f>'[2]Formati 2 Sipas Tavaneve'!G274</f>
        <v>3840.4674000000009</v>
      </c>
    </row>
    <row r="178" spans="1:5" x14ac:dyDescent="0.2">
      <c r="A178" s="893"/>
      <c r="B178" s="145">
        <v>2018</v>
      </c>
      <c r="C178" s="145">
        <v>2019</v>
      </c>
      <c r="D178" s="145">
        <v>2020</v>
      </c>
      <c r="E178" s="145">
        <v>2021</v>
      </c>
    </row>
    <row r="179" spans="1:5" ht="12" thickBot="1" x14ac:dyDescent="0.25">
      <c r="A179" s="894"/>
      <c r="B179" s="146" t="s">
        <v>41</v>
      </c>
      <c r="C179" s="146" t="s">
        <v>42</v>
      </c>
      <c r="D179" s="146" t="s">
        <v>42</v>
      </c>
      <c r="E179" s="146" t="s">
        <v>42</v>
      </c>
    </row>
    <row r="180" spans="1:5" ht="15" customHeight="1" thickBot="1" x14ac:dyDescent="0.25">
      <c r="A180" s="133" t="s">
        <v>77</v>
      </c>
      <c r="B180" s="147">
        <f>'[2]Formati 2 Sipas Tavaneve'!D275</f>
        <v>535392</v>
      </c>
      <c r="C180" s="147">
        <f>'[2]Formati 2 Sipas Tavaneve'!E275</f>
        <v>625557</v>
      </c>
      <c r="D180" s="147">
        <f>'[2]Formati 2 Sipas Tavaneve'!F275</f>
        <v>708756</v>
      </c>
      <c r="E180" s="147">
        <f>'[2]Formati 2 Sipas Tavaneve'!G275</f>
        <v>803033</v>
      </c>
    </row>
    <row r="181" spans="1:5" ht="15" customHeight="1" thickBot="1" x14ac:dyDescent="0.25">
      <c r="A181" s="133" t="s">
        <v>78</v>
      </c>
      <c r="B181" s="147">
        <f>B180/B177</f>
        <v>190.34332704060409</v>
      </c>
      <c r="C181" s="147">
        <f>C180/C177</f>
        <v>197.09162744097239</v>
      </c>
      <c r="D181" s="147">
        <f>D180/D177</f>
        <v>203.00435306390045</v>
      </c>
      <c r="E181" s="147">
        <f>E180/E177</f>
        <v>209.09772596950043</v>
      </c>
    </row>
    <row r="182" spans="1:5" ht="15" customHeight="1" thickBot="1" x14ac:dyDescent="0.25">
      <c r="A182" s="133" t="s">
        <v>79</v>
      </c>
      <c r="B182" s="148"/>
      <c r="C182" s="149">
        <f>C177/B177-1</f>
        <v>0.12840367324736834</v>
      </c>
      <c r="D182" s="149">
        <f>D177/C177-1</f>
        <v>0.10000000000000009</v>
      </c>
      <c r="E182" s="149">
        <f>E177/D177-1</f>
        <v>0.10000000000000009</v>
      </c>
    </row>
    <row r="183" spans="1:5" ht="15" customHeight="1" thickBot="1" x14ac:dyDescent="0.25">
      <c r="A183" s="133" t="s">
        <v>81</v>
      </c>
      <c r="B183" s="148"/>
      <c r="C183" s="149">
        <f t="shared" ref="C183:E184" si="6">C180/B180-1</f>
        <v>0.16840931504393053</v>
      </c>
      <c r="D183" s="149">
        <f t="shared" si="6"/>
        <v>0.13299987051539675</v>
      </c>
      <c r="E183" s="149">
        <f t="shared" si="6"/>
        <v>0.13301756881070492</v>
      </c>
    </row>
    <row r="184" spans="1:5" ht="15" customHeight="1" thickBot="1" x14ac:dyDescent="0.25">
      <c r="A184" s="133" t="s">
        <v>82</v>
      </c>
      <c r="B184" s="148"/>
      <c r="C184" s="149">
        <f t="shared" si="6"/>
        <v>3.5453306954799313E-2</v>
      </c>
      <c r="D184" s="149">
        <f t="shared" si="6"/>
        <v>2.9999882286724233E-2</v>
      </c>
      <c r="E184" s="149">
        <f t="shared" si="6"/>
        <v>3.0015971646095485E-2</v>
      </c>
    </row>
    <row r="185" spans="1:5" ht="15" customHeight="1" thickBot="1" x14ac:dyDescent="0.25">
      <c r="A185" s="1005" t="s">
        <v>638</v>
      </c>
      <c r="B185" s="1006"/>
      <c r="C185" s="1006"/>
      <c r="D185" s="1006"/>
      <c r="E185" s="1007"/>
    </row>
    <row r="186" spans="1:5" x14ac:dyDescent="0.2">
      <c r="A186" s="893"/>
      <c r="B186" s="145">
        <v>2018</v>
      </c>
      <c r="C186" s="145">
        <v>2019</v>
      </c>
      <c r="D186" s="145">
        <v>2020</v>
      </c>
      <c r="E186" s="145">
        <v>2021</v>
      </c>
    </row>
    <row r="187" spans="1:5" ht="15" customHeight="1" thickBot="1" x14ac:dyDescent="0.25">
      <c r="A187" s="894"/>
      <c r="B187" s="146" t="s">
        <v>41</v>
      </c>
      <c r="C187" s="146" t="s">
        <v>42</v>
      </c>
      <c r="D187" s="146" t="s">
        <v>42</v>
      </c>
      <c r="E187" s="146" t="s">
        <v>42</v>
      </c>
    </row>
    <row r="188" spans="1:5" ht="15" customHeight="1" thickBot="1" x14ac:dyDescent="0.25">
      <c r="A188" s="173" t="s">
        <v>84</v>
      </c>
      <c r="B188" s="142">
        <f>'[2]Formati 2 Sipas Tavaneve'!D283</f>
        <v>4144.1617325800971</v>
      </c>
      <c r="C188" s="142">
        <f>'[2]Formati 2 Sipas Tavaneve'!E283</f>
        <v>4987.0764476404702</v>
      </c>
      <c r="D188" s="142">
        <f>'[2]Formati 2 Sipas Tavaneve'!F283</f>
        <v>5588.5744248410729</v>
      </c>
      <c r="E188" s="142">
        <f>'[2]Formati 2 Sipas Tavaneve'!G283</f>
        <v>6334.70827026189</v>
      </c>
    </row>
    <row r="189" spans="1:5" ht="15" customHeight="1" thickBot="1" x14ac:dyDescent="0.25">
      <c r="A189" s="173" t="s">
        <v>85</v>
      </c>
      <c r="B189" s="142">
        <f>'[2]Formati 2 Sipas Tavaneve'!D286</f>
        <v>707.41294054442392</v>
      </c>
      <c r="C189" s="142">
        <f>'[2]Formati 2 Sipas Tavaneve'!E286</f>
        <v>787.21273900622043</v>
      </c>
      <c r="D189" s="142">
        <f>'[2]Formati 2 Sipas Tavaneve'!F286</f>
        <v>879.84676467039026</v>
      </c>
      <c r="E189" s="142">
        <f>'[2]Formati 2 Sipas Tavaneve'!G286</f>
        <v>999.711168599752</v>
      </c>
    </row>
    <row r="190" spans="1:5" ht="15" customHeight="1" thickBot="1" x14ac:dyDescent="0.25">
      <c r="A190" s="173" t="s">
        <v>86</v>
      </c>
      <c r="B190" s="142">
        <f>'[2]Formati 2 Sipas Tavaneve'!D289</f>
        <v>4347.7658772325885</v>
      </c>
      <c r="C190" s="142">
        <f>'[2]Formati 2 Sipas Tavaneve'!E289</f>
        <v>5062.4478800985135</v>
      </c>
      <c r="D190" s="142">
        <f>'[2]Formati 2 Sipas Tavaneve'!F289</f>
        <v>5809.6414511401636</v>
      </c>
      <c r="E190" s="142">
        <f>'[2]Formati 2 Sipas Tavaneve'!G289</f>
        <v>6589.4423661070196</v>
      </c>
    </row>
    <row r="191" spans="1:5" ht="15" customHeight="1" thickBot="1" x14ac:dyDescent="0.25">
      <c r="A191" s="173" t="s">
        <v>87</v>
      </c>
      <c r="B191" s="142"/>
      <c r="C191" s="142"/>
      <c r="D191" s="142"/>
      <c r="E191" s="142"/>
    </row>
    <row r="192" spans="1:5" ht="15" customHeight="1" thickBot="1" x14ac:dyDescent="0.25">
      <c r="A192" s="173" t="s">
        <v>88</v>
      </c>
      <c r="B192" s="142">
        <f>'[2]Formati 2 Sipas Tavaneve'!D295</f>
        <v>157081.71359771251</v>
      </c>
      <c r="C192" s="142">
        <f>'[2]Formati 2 Sipas Tavaneve'!E295</f>
        <v>289179.36497414601</v>
      </c>
      <c r="D192" s="142">
        <f>'[2]Formati 2 Sipas Tavaneve'!F295</f>
        <v>368507.73250292114</v>
      </c>
      <c r="E192" s="142">
        <f>'[2]Formati 2 Sipas Tavaneve'!G295</f>
        <v>458709.884260919</v>
      </c>
    </row>
    <row r="193" spans="1:5" ht="15" customHeight="1" thickBot="1" x14ac:dyDescent="0.25">
      <c r="A193" s="173" t="s">
        <v>89</v>
      </c>
      <c r="B193" s="142"/>
      <c r="C193" s="142"/>
      <c r="D193" s="142"/>
      <c r="E193" s="142"/>
    </row>
    <row r="194" spans="1:5" ht="15" customHeight="1" thickBot="1" x14ac:dyDescent="0.25">
      <c r="A194" s="173" t="s">
        <v>90</v>
      </c>
      <c r="B194" s="142">
        <f>'[2]Formati 2 Sipas Tavaneve'!D301</f>
        <v>369111.34789557807</v>
      </c>
      <c r="C194" s="142">
        <f>'[2]Formati 2 Sipas Tavaneve'!E301</f>
        <v>325540.75652637193</v>
      </c>
      <c r="D194" s="142">
        <f>'[2]Formati 2 Sipas Tavaneve'!F301</f>
        <v>327970.16515716573</v>
      </c>
      <c r="E194" s="142">
        <f>'[2]Formati 2 Sipas Tavaneve'!G301</f>
        <v>330399.57378795958</v>
      </c>
    </row>
    <row r="195" spans="1:5" ht="12" thickBot="1" x14ac:dyDescent="0.25">
      <c r="A195" s="180" t="s">
        <v>91</v>
      </c>
      <c r="B195" s="158">
        <f>ROUND(B194+B193+B192+B191+B190+B189+B188,0)</f>
        <v>535392</v>
      </c>
      <c r="C195" s="158">
        <f>ROUND(C194+C193+C192+C191+C190+C189+C188,0)</f>
        <v>625557</v>
      </c>
      <c r="D195" s="158">
        <f>ROUND(D194+D193+D192+D191+D190+D189+D188,0)</f>
        <v>708756</v>
      </c>
      <c r="E195" s="158">
        <f>ROUND(E194+E193+E192+E191+E190+E189+E188,0)</f>
        <v>803033</v>
      </c>
    </row>
    <row r="196" spans="1:5" ht="12" thickBot="1" x14ac:dyDescent="0.25">
      <c r="A196" s="168" t="s">
        <v>92</v>
      </c>
      <c r="B196" s="160">
        <f>IF(B195-B180=0,0,"Error")</f>
        <v>0</v>
      </c>
      <c r="C196" s="160">
        <f>IF(C195-C180=0,0,"Error")</f>
        <v>0</v>
      </c>
      <c r="D196" s="160">
        <f>IF(D195-D180=0,0,"Error")</f>
        <v>0</v>
      </c>
      <c r="E196" s="160">
        <f>IF(E195-E180=0,0,"Error")</f>
        <v>0</v>
      </c>
    </row>
    <row r="197" spans="1:5" ht="32.25" customHeight="1" thickBot="1" x14ac:dyDescent="0.25">
      <c r="A197" s="156" t="s">
        <v>93</v>
      </c>
      <c r="B197" s="1014" t="e">
        <f>'[2]Formati 2 Sipas Tavaneve'!D309:G309</f>
        <v>#VALUE!</v>
      </c>
      <c r="C197" s="1015"/>
      <c r="D197" s="1015"/>
      <c r="E197" s="1016"/>
    </row>
    <row r="198" spans="1:5" ht="33.75" customHeight="1" thickBot="1" x14ac:dyDescent="0.25">
      <c r="A198" s="133" t="s">
        <v>72</v>
      </c>
      <c r="B198" s="945" t="e">
        <f>'[2]Formati 2 Sipas Tavaneve'!D310:G310</f>
        <v>#VALUE!</v>
      </c>
      <c r="C198" s="946"/>
      <c r="D198" s="946"/>
      <c r="E198" s="947"/>
    </row>
    <row r="199" spans="1:5" ht="15" customHeight="1" thickBot="1" x14ac:dyDescent="0.25">
      <c r="A199" s="133" t="s">
        <v>74</v>
      </c>
      <c r="B199" s="1002" t="s">
        <v>631</v>
      </c>
      <c r="C199" s="1003"/>
      <c r="D199" s="1003"/>
      <c r="E199" s="1004"/>
    </row>
    <row r="200" spans="1:5" ht="15" customHeight="1" thickBot="1" x14ac:dyDescent="0.25">
      <c r="A200" s="133" t="s">
        <v>76</v>
      </c>
      <c r="B200" s="147">
        <f>'[2]Formati 2 Sipas Tavaneve'!D314</f>
        <v>26834</v>
      </c>
      <c r="C200" s="147">
        <f>'[2]Formati 2 Sipas Tavaneve'!E314</f>
        <v>27775.531999999999</v>
      </c>
      <c r="D200" s="147">
        <f>'[2]Formati 2 Sipas Tavaneve'!F314</f>
        <v>28553.246896000001</v>
      </c>
      <c r="E200" s="147">
        <f>'[2]Formati 2 Sipas Tavaneve'!G314</f>
        <v>29352.737809088001</v>
      </c>
    </row>
    <row r="201" spans="1:5" ht="15" customHeight="1" x14ac:dyDescent="0.2">
      <c r="A201" s="893"/>
      <c r="B201" s="145">
        <v>2018</v>
      </c>
      <c r="C201" s="145">
        <v>2019</v>
      </c>
      <c r="D201" s="145">
        <v>2020</v>
      </c>
      <c r="E201" s="145">
        <v>2021</v>
      </c>
    </row>
    <row r="202" spans="1:5" ht="15" customHeight="1" thickBot="1" x14ac:dyDescent="0.25">
      <c r="A202" s="894"/>
      <c r="B202" s="146" t="s">
        <v>41</v>
      </c>
      <c r="C202" s="146" t="s">
        <v>42</v>
      </c>
      <c r="D202" s="146" t="s">
        <v>42</v>
      </c>
      <c r="E202" s="146" t="s">
        <v>42</v>
      </c>
    </row>
    <row r="203" spans="1:5" ht="15" customHeight="1" thickBot="1" x14ac:dyDescent="0.25">
      <c r="A203" s="133" t="s">
        <v>77</v>
      </c>
      <c r="B203" s="147">
        <f>'[2]Formati 2 Sipas Tavaneve'!D315</f>
        <v>3511668</v>
      </c>
      <c r="C203" s="147">
        <f>'[2]Formati 2 Sipas Tavaneve'!E315</f>
        <v>4106318</v>
      </c>
      <c r="D203" s="147">
        <f>'[2]Formati 2 Sipas Tavaneve'!F315</f>
        <v>4347934</v>
      </c>
      <c r="E203" s="147">
        <f>'[2]Formati 2 Sipas Tavaneve'!G315</f>
        <v>4603840</v>
      </c>
    </row>
    <row r="204" spans="1:5" ht="15" customHeight="1" thickBot="1" x14ac:dyDescent="0.25">
      <c r="A204" s="133" t="s">
        <v>78</v>
      </c>
      <c r="B204" s="147">
        <f>B203/B200</f>
        <v>130.866363568607</v>
      </c>
      <c r="C204" s="147">
        <f>C203/C200</f>
        <v>147.83940051985323</v>
      </c>
      <c r="D204" s="147">
        <f>D203/D200</f>
        <v>152.27459125179556</v>
      </c>
      <c r="E204" s="147">
        <f>E203/E200</f>
        <v>156.84533517601173</v>
      </c>
    </row>
    <row r="205" spans="1:5" ht="15" customHeight="1" thickBot="1" x14ac:dyDescent="0.25">
      <c r="A205" s="133" t="s">
        <v>79</v>
      </c>
      <c r="B205" s="148"/>
      <c r="C205" s="149">
        <f>C200/B200-1</f>
        <v>3.5087277334724609E-2</v>
      </c>
      <c r="D205" s="149">
        <f>D200/C200-1</f>
        <v>2.8000000000000025E-2</v>
      </c>
      <c r="E205" s="149">
        <f>E200/D200-1</f>
        <v>2.8000000000000025E-2</v>
      </c>
    </row>
    <row r="206" spans="1:5" ht="15" customHeight="1" thickBot="1" x14ac:dyDescent="0.25">
      <c r="A206" s="133" t="s">
        <v>81</v>
      </c>
      <c r="B206" s="148"/>
      <c r="C206" s="149">
        <f t="shared" ref="C206:E207" si="7">C203/B203-1</f>
        <v>0.16933548387831654</v>
      </c>
      <c r="D206" s="149">
        <f t="shared" si="7"/>
        <v>5.8840060609042011E-2</v>
      </c>
      <c r="E206" s="149">
        <f t="shared" si="7"/>
        <v>5.8856919171266231E-2</v>
      </c>
    </row>
    <row r="207" spans="1:5" ht="15" customHeight="1" thickBot="1" x14ac:dyDescent="0.25">
      <c r="A207" s="133" t="s">
        <v>82</v>
      </c>
      <c r="B207" s="148"/>
      <c r="C207" s="149">
        <f t="shared" si="7"/>
        <v>0.12969747525954656</v>
      </c>
      <c r="D207" s="149">
        <f t="shared" si="7"/>
        <v>3.0000058958212117E-2</v>
      </c>
      <c r="E207" s="149">
        <f t="shared" si="7"/>
        <v>3.0016458337807306E-2</v>
      </c>
    </row>
    <row r="208" spans="1:5" ht="15" customHeight="1" thickBot="1" x14ac:dyDescent="0.25">
      <c r="A208" s="1005" t="s">
        <v>355</v>
      </c>
      <c r="B208" s="1006"/>
      <c r="C208" s="1006"/>
      <c r="D208" s="1006"/>
      <c r="E208" s="1007"/>
    </row>
    <row r="209" spans="1:5" ht="15" customHeight="1" x14ac:dyDescent="0.2">
      <c r="A209" s="893"/>
      <c r="B209" s="145">
        <v>2018</v>
      </c>
      <c r="C209" s="145">
        <v>2019</v>
      </c>
      <c r="D209" s="145">
        <v>2020</v>
      </c>
      <c r="E209" s="145">
        <v>2021</v>
      </c>
    </row>
    <row r="210" spans="1:5" ht="15" customHeight="1" thickBot="1" x14ac:dyDescent="0.25">
      <c r="A210" s="894"/>
      <c r="B210" s="146" t="s">
        <v>41</v>
      </c>
      <c r="C210" s="146" t="s">
        <v>42</v>
      </c>
      <c r="D210" s="146" t="s">
        <v>42</v>
      </c>
      <c r="E210" s="146" t="s">
        <v>42</v>
      </c>
    </row>
    <row r="211" spans="1:5" ht="15" customHeight="1" thickBot="1" x14ac:dyDescent="0.25">
      <c r="A211" s="173" t="s">
        <v>84</v>
      </c>
      <c r="B211" s="142">
        <f>'[2]Formati 2 Sipas Tavaneve'!D323</f>
        <v>27181.783776793585</v>
      </c>
      <c r="C211" s="142">
        <f>'[2]Formati 2 Sipas Tavaneve'!E323</f>
        <v>32736.467768621853</v>
      </c>
      <c r="D211" s="142">
        <f>'[2]Formati 2 Sipas Tavaneve'!F323</f>
        <v>34283.666397777692</v>
      </c>
      <c r="E211" s="142">
        <f>'[2]Formati 2 Sipas Tavaneve'!G323</f>
        <v>36317.276317185344</v>
      </c>
    </row>
    <row r="212" spans="1:5" ht="15" customHeight="1" thickBot="1" x14ac:dyDescent="0.25">
      <c r="A212" s="173" t="s">
        <v>85</v>
      </c>
      <c r="B212" s="142">
        <f>'[2]Formati 2 Sipas Tavaneve'!D326</f>
        <v>4639.9602215362183</v>
      </c>
      <c r="C212" s="142">
        <f>'[2]Formati 2 Sipas Tavaneve'!E326</f>
        <v>5167.4693035272112</v>
      </c>
      <c r="D212" s="142">
        <f>'[2]Formati 2 Sipas Tavaneve'!F326</f>
        <v>5397.507605346329</v>
      </c>
      <c r="E212" s="142">
        <f>'[2]Formati 2 Sipas Tavaneve'!G326</f>
        <v>5731.4062776741657</v>
      </c>
    </row>
    <row r="213" spans="1:5" ht="15" customHeight="1" thickBot="1" x14ac:dyDescent="0.25">
      <c r="A213" s="173" t="s">
        <v>86</v>
      </c>
      <c r="B213" s="142">
        <f>'[2]Formati 2 Sipas Tavaneve'!D329</f>
        <v>28517.234512823965</v>
      </c>
      <c r="C213" s="142">
        <f>'[2]Formati 2 Sipas Tavaneve'!E329</f>
        <v>33231.22546789574</v>
      </c>
      <c r="D213" s="142">
        <f>'[2]Formati 2 Sipas Tavaneve'!F329</f>
        <v>35639.824087563189</v>
      </c>
      <c r="E213" s="142">
        <f>'[2]Formati 2 Sipas Tavaneve'!G329</f>
        <v>37777.682724477316</v>
      </c>
    </row>
    <row r="214" spans="1:5" ht="15" customHeight="1" thickBot="1" x14ac:dyDescent="0.25">
      <c r="A214" s="173" t="s">
        <v>87</v>
      </c>
      <c r="B214" s="142"/>
      <c r="C214" s="142"/>
      <c r="D214" s="142"/>
      <c r="E214" s="142"/>
    </row>
    <row r="215" spans="1:5" ht="15" customHeight="1" thickBot="1" x14ac:dyDescent="0.25">
      <c r="A215" s="173" t="s">
        <v>88</v>
      </c>
      <c r="B215" s="142">
        <f>'[2]Formati 2 Sipas Tavaneve'!D335</f>
        <v>2643550.7398165618</v>
      </c>
      <c r="C215" s="142">
        <f>'[2]Formati 2 Sipas Tavaneve'!E335</f>
        <v>3221330.9769447227</v>
      </c>
      <c r="D215" s="142">
        <f>'[2]Formati 2 Sipas Tavaneve'!F335</f>
        <v>3452687.6153361956</v>
      </c>
      <c r="E215" s="142">
        <f>'[2]Formati 2 Sipas Tavaneve'!G335</f>
        <v>3698014.644340212</v>
      </c>
    </row>
    <row r="216" spans="1:5" ht="15" customHeight="1" thickBot="1" x14ac:dyDescent="0.25">
      <c r="A216" s="173" t="s">
        <v>89</v>
      </c>
      <c r="B216" s="142"/>
      <c r="C216" s="142"/>
      <c r="D216" s="142"/>
      <c r="E216" s="142"/>
    </row>
    <row r="217" spans="1:5" ht="15" customHeight="1" thickBot="1" x14ac:dyDescent="0.25">
      <c r="A217" s="173" t="s">
        <v>90</v>
      </c>
      <c r="B217" s="142">
        <f>'[2]Formati 2 Sipas Tavaneve'!D341</f>
        <v>807778.36973894516</v>
      </c>
      <c r="C217" s="142">
        <f>'[2]Formati 2 Sipas Tavaneve'!E341</f>
        <v>813851.89131592959</v>
      </c>
      <c r="D217" s="142">
        <f>'[2]Formati 2 Sipas Tavaneve'!F341</f>
        <v>819925.41289291426</v>
      </c>
      <c r="E217" s="142">
        <f>'[2]Formati 2 Sipas Tavaneve'!G341</f>
        <v>825998.9344698987</v>
      </c>
    </row>
    <row r="218" spans="1:5" ht="12" thickBot="1" x14ac:dyDescent="0.25">
      <c r="A218" s="180" t="s">
        <v>98</v>
      </c>
      <c r="B218" s="158">
        <f>ROUND(B217+B216+B215+B214+B213+B212+B211,0)</f>
        <v>3511668</v>
      </c>
      <c r="C218" s="158">
        <f>ROUND(C217+C216+C215+C214+C213+C212+C211,0)</f>
        <v>4106318</v>
      </c>
      <c r="D218" s="158">
        <f>ROUND(D217+D216+D215+D214+D213+D212+D211,0)</f>
        <v>4347934</v>
      </c>
      <c r="E218" s="158">
        <f>ROUND(E217+E216+E215+E214+E213+E212+E211,0)</f>
        <v>4603840</v>
      </c>
    </row>
    <row r="219" spans="1:5" ht="12" thickBot="1" x14ac:dyDescent="0.25">
      <c r="A219" s="168" t="s">
        <v>92</v>
      </c>
      <c r="B219" s="160">
        <f>IF(B218-B203=0,0,"Error")</f>
        <v>0</v>
      </c>
      <c r="C219" s="160">
        <f>IF(C218-C203=0,0,"Error")</f>
        <v>0</v>
      </c>
      <c r="D219" s="160">
        <f>IF(D218-D203=0,0,"Error")</f>
        <v>0</v>
      </c>
      <c r="E219" s="160">
        <f>IF(E218-E203=0,0,"Error")</f>
        <v>0</v>
      </c>
    </row>
    <row r="220" spans="1:5" ht="16.5" customHeight="1" thickBot="1" x14ac:dyDescent="0.25">
      <c r="A220" s="156" t="s">
        <v>99</v>
      </c>
      <c r="B220" s="1014" t="e">
        <f>'[2]Formati 2 Sipas Tavaneve'!D351:G351</f>
        <v>#VALUE!</v>
      </c>
      <c r="C220" s="1015"/>
      <c r="D220" s="1015"/>
      <c r="E220" s="1016"/>
    </row>
    <row r="221" spans="1:5" ht="26.25" customHeight="1" thickBot="1" x14ac:dyDescent="0.25">
      <c r="A221" s="133" t="s">
        <v>72</v>
      </c>
      <c r="B221" s="945" t="e">
        <f>'[2]Formati 2 Sipas Tavaneve'!D352:G352</f>
        <v>#VALUE!</v>
      </c>
      <c r="C221" s="946"/>
      <c r="D221" s="946"/>
      <c r="E221" s="947"/>
    </row>
    <row r="222" spans="1:5" ht="16.5" customHeight="1" thickBot="1" x14ac:dyDescent="0.25">
      <c r="A222" s="133" t="s">
        <v>74</v>
      </c>
      <c r="B222" s="1002" t="e">
        <f>'[2]Formati 2 Sipas Tavaneve'!D353:G353</f>
        <v>#VALUE!</v>
      </c>
      <c r="C222" s="1003"/>
      <c r="D222" s="1003"/>
      <c r="E222" s="1004"/>
    </row>
    <row r="223" spans="1:5" ht="16.5" customHeight="1" thickBot="1" x14ac:dyDescent="0.25">
      <c r="A223" s="133" t="s">
        <v>76</v>
      </c>
      <c r="B223" s="147">
        <f>'[2]Formati 2 Sipas Tavaneve'!D356</f>
        <v>846.7</v>
      </c>
      <c r="C223" s="147">
        <f>'[2]Formati 2 Sipas Tavaneve'!E356</f>
        <v>920.50400000000002</v>
      </c>
      <c r="D223" s="147">
        <f>'[2]Formati 2 Sipas Tavaneve'!F356</f>
        <v>975.73424000000011</v>
      </c>
      <c r="E223" s="147">
        <f>'[2]Formati 2 Sipas Tavaneve'!G356</f>
        <v>1034.2782944000003</v>
      </c>
    </row>
    <row r="224" spans="1:5" ht="16.5" customHeight="1" x14ac:dyDescent="0.2">
      <c r="A224" s="893"/>
      <c r="B224" s="145">
        <v>2018</v>
      </c>
      <c r="C224" s="145">
        <v>2019</v>
      </c>
      <c r="D224" s="145">
        <v>2020</v>
      </c>
      <c r="E224" s="145">
        <v>2021</v>
      </c>
    </row>
    <row r="225" spans="1:5" ht="16.5" customHeight="1" thickBot="1" x14ac:dyDescent="0.25">
      <c r="A225" s="894"/>
      <c r="B225" s="146" t="s">
        <v>41</v>
      </c>
      <c r="C225" s="146" t="s">
        <v>42</v>
      </c>
      <c r="D225" s="146" t="s">
        <v>42</v>
      </c>
      <c r="E225" s="146" t="s">
        <v>42</v>
      </c>
    </row>
    <row r="226" spans="1:5" ht="16.5" customHeight="1" thickBot="1" x14ac:dyDescent="0.25">
      <c r="A226" s="133" t="s">
        <v>77</v>
      </c>
      <c r="B226" s="147">
        <f>'[2]Formati 2 Sipas Tavaneve'!D357</f>
        <v>153570</v>
      </c>
      <c r="C226" s="147">
        <f>'[2]Formati 2 Sipas Tavaneve'!E357</f>
        <v>171764</v>
      </c>
      <c r="D226" s="147">
        <f>'[2]Formati 2 Sipas Tavaneve'!F357</f>
        <v>187532</v>
      </c>
      <c r="E226" s="147">
        <f>'[2]Formati 2 Sipas Tavaneve'!G357</f>
        <v>204751</v>
      </c>
    </row>
    <row r="227" spans="1:5" ht="16.5" customHeight="1" thickBot="1" x14ac:dyDescent="0.25">
      <c r="A227" s="133" t="s">
        <v>78</v>
      </c>
      <c r="B227" s="147">
        <f>B226/B223</f>
        <v>181.37474902562892</v>
      </c>
      <c r="C227" s="147">
        <f>C226/C223</f>
        <v>186.59777687006249</v>
      </c>
      <c r="D227" s="147">
        <f>D226/D223</f>
        <v>192.19577658769049</v>
      </c>
      <c r="E227" s="147">
        <f>E226/E223</f>
        <v>197.96509421942284</v>
      </c>
    </row>
    <row r="228" spans="1:5" ht="16.5" customHeight="1" thickBot="1" x14ac:dyDescent="0.25">
      <c r="A228" s="133" t="s">
        <v>79</v>
      </c>
      <c r="B228" s="148"/>
      <c r="C228" s="149">
        <f>C223/B223-1</f>
        <v>8.7166646982402174E-2</v>
      </c>
      <c r="D228" s="149">
        <f>D223/C223-1</f>
        <v>6.0000000000000053E-2</v>
      </c>
      <c r="E228" s="149">
        <f>E223/D223-1</f>
        <v>6.0000000000000053E-2</v>
      </c>
    </row>
    <row r="229" spans="1:5" ht="16.5" customHeight="1" thickBot="1" x14ac:dyDescent="0.25">
      <c r="A229" s="133" t="s">
        <v>81</v>
      </c>
      <c r="B229" s="148"/>
      <c r="C229" s="149">
        <f t="shared" ref="C229:E230" si="8">C226/B226-1</f>
        <v>0.11847366022009509</v>
      </c>
      <c r="D229" s="149">
        <f t="shared" si="8"/>
        <v>9.1800377261824329E-2</v>
      </c>
      <c r="E229" s="149">
        <f t="shared" si="8"/>
        <v>9.1818996224644289E-2</v>
      </c>
    </row>
    <row r="230" spans="1:5" ht="16.5" customHeight="1" thickBot="1" x14ac:dyDescent="0.25">
      <c r="A230" s="133" t="s">
        <v>82</v>
      </c>
      <c r="B230" s="148"/>
      <c r="C230" s="149">
        <f t="shared" si="8"/>
        <v>2.8796885302350139E-2</v>
      </c>
      <c r="D230" s="149">
        <f t="shared" si="8"/>
        <v>3.0000355907381371E-2</v>
      </c>
      <c r="E230" s="149">
        <f t="shared" si="8"/>
        <v>3.0017920966645573E-2</v>
      </c>
    </row>
    <row r="231" spans="1:5" ht="16.5" customHeight="1" thickBot="1" x14ac:dyDescent="0.25">
      <c r="A231" s="1005" t="s">
        <v>359</v>
      </c>
      <c r="B231" s="1006"/>
      <c r="C231" s="1006"/>
      <c r="D231" s="1006"/>
      <c r="E231" s="1007"/>
    </row>
    <row r="232" spans="1:5" ht="16.5" customHeight="1" x14ac:dyDescent="0.2">
      <c r="A232" s="893"/>
      <c r="B232" s="145">
        <v>2018</v>
      </c>
      <c r="C232" s="145">
        <v>2019</v>
      </c>
      <c r="D232" s="145">
        <v>2020</v>
      </c>
      <c r="E232" s="145">
        <v>2021</v>
      </c>
    </row>
    <row r="233" spans="1:5" ht="16.5" customHeight="1" thickBot="1" x14ac:dyDescent="0.25">
      <c r="A233" s="894"/>
      <c r="B233" s="146" t="s">
        <v>41</v>
      </c>
      <c r="C233" s="146" t="s">
        <v>42</v>
      </c>
      <c r="D233" s="146" t="s">
        <v>42</v>
      </c>
      <c r="E233" s="146" t="s">
        <v>42</v>
      </c>
    </row>
    <row r="234" spans="1:5" ht="16.5" customHeight="1" thickBot="1" x14ac:dyDescent="0.25">
      <c r="A234" s="173" t="s">
        <v>84</v>
      </c>
      <c r="B234" s="142">
        <f>'[2]Formati 2 Sipas Tavaneve'!D365</f>
        <v>1188.6987871911317</v>
      </c>
      <c r="C234" s="142">
        <f>'[2]Formati 2 Sipas Tavaneve'!E365</f>
        <v>1369.3438356390425</v>
      </c>
      <c r="D234" s="142">
        <f>'[2]Formati 2 Sipas Tavaneve'!F365</f>
        <v>1478.7021505672369</v>
      </c>
      <c r="E234" s="142">
        <f>'[2]Formati 2 Sipas Tavaneve'!G365</f>
        <v>1615.1745576514636</v>
      </c>
    </row>
    <row r="235" spans="1:5" ht="16.5" customHeight="1" thickBot="1" x14ac:dyDescent="0.25">
      <c r="A235" s="173" t="s">
        <v>85</v>
      </c>
      <c r="B235" s="142">
        <f>'[2]Formati 2 Sipas Tavaneve'!D368</f>
        <v>202.91218314612826</v>
      </c>
      <c r="C235" s="142">
        <f>'[2]Formati 2 Sipas Tavaneve'!E368</f>
        <v>216.15167178853065</v>
      </c>
      <c r="D235" s="142">
        <f>'[2]Formati 2 Sipas Tavaneve'!F368</f>
        <v>232.80199997063298</v>
      </c>
      <c r="E235" s="142">
        <f>'[2]Formati 2 Sipas Tavaneve'!G368</f>
        <v>254.89856448520823</v>
      </c>
    </row>
    <row r="236" spans="1:5" ht="16.5" customHeight="1" thickBot="1" x14ac:dyDescent="0.25">
      <c r="A236" s="173" t="s">
        <v>86</v>
      </c>
      <c r="B236" s="142">
        <f>'[2]Formati 2 Sipas Tavaneve'!D371</f>
        <v>1247.0999827605003</v>
      </c>
      <c r="C236" s="142">
        <f>'[2]Formati 2 Sipas Tavaneve'!E371</f>
        <v>1390.0392084698597</v>
      </c>
      <c r="D236" s="142">
        <f>'[2]Formati 2 Sipas Tavaneve'!F371</f>
        <v>1537.1951153839782</v>
      </c>
      <c r="E236" s="142">
        <f>'[2]Formati 2 Sipas Tavaneve'!G371</f>
        <v>1680.1246726404831</v>
      </c>
    </row>
    <row r="237" spans="1:5" ht="16.5" customHeight="1" thickBot="1" x14ac:dyDescent="0.25">
      <c r="A237" s="173" t="s">
        <v>87</v>
      </c>
      <c r="B237" s="142"/>
      <c r="C237" s="142"/>
      <c r="D237" s="142"/>
      <c r="E237" s="142"/>
    </row>
    <row r="238" spans="1:5" ht="16.5" customHeight="1" thickBot="1" x14ac:dyDescent="0.25">
      <c r="A238" s="173" t="s">
        <v>88</v>
      </c>
      <c r="B238" s="142">
        <f>'[2]Formati 2 Sipas Tavaneve'!D377</f>
        <v>107202.26710341986</v>
      </c>
      <c r="C238" s="142">
        <f>'[2]Formati 2 Sipas Tavaneve'!E377</f>
        <v>124730.76477328768</v>
      </c>
      <c r="D238" s="142">
        <f>'[2]Formati 2 Sipas Tavaneve'!F377</f>
        <v>139896.79477443706</v>
      </c>
      <c r="E238" s="142">
        <f>'[2]Formati 2 Sipas Tavaneve'!G377</f>
        <v>156485.24944865084</v>
      </c>
    </row>
    <row r="239" spans="1:5" ht="16.5" customHeight="1" thickBot="1" x14ac:dyDescent="0.25">
      <c r="A239" s="173" t="s">
        <v>89</v>
      </c>
      <c r="B239" s="142"/>
      <c r="C239" s="142"/>
      <c r="D239" s="142"/>
      <c r="E239" s="142"/>
    </row>
    <row r="240" spans="1:5" ht="16.5" customHeight="1" thickBot="1" x14ac:dyDescent="0.25">
      <c r="A240" s="173" t="s">
        <v>90</v>
      </c>
      <c r="B240" s="142">
        <f>'[2]Formati 2 Sipas Tavaneve'!D383</f>
        <v>43729.355354288753</v>
      </c>
      <c r="C240" s="142">
        <f>'[2]Formati 2 Sipas Tavaneve'!E383</f>
        <v>44058.147499809726</v>
      </c>
      <c r="D240" s="142">
        <f>'[2]Formati 2 Sipas Tavaneve'!F383</f>
        <v>44386.939645330691</v>
      </c>
      <c r="E240" s="142">
        <f>'[2]Formati 2 Sipas Tavaneve'!G383</f>
        <v>44715.731790851663</v>
      </c>
    </row>
    <row r="241" spans="1:5" ht="16.5" customHeight="1" thickBot="1" x14ac:dyDescent="0.25">
      <c r="A241" s="180" t="s">
        <v>103</v>
      </c>
      <c r="B241" s="158">
        <f>ROUND(B240+B239+B238+B237+B236+B235+B234,0)</f>
        <v>153570</v>
      </c>
      <c r="C241" s="158">
        <f>ROUND(C240+C239+C238+C237+C236+C235+C234,0)</f>
        <v>171764</v>
      </c>
      <c r="D241" s="158">
        <f>ROUND(D240+D239+D238+D237+D236+D235+D234,0)</f>
        <v>187532</v>
      </c>
      <c r="E241" s="158">
        <f>ROUND(E240+E239+E238+E237+E236+E235+E234,0)</f>
        <v>204751</v>
      </c>
    </row>
    <row r="242" spans="1:5" ht="12" thickBot="1" x14ac:dyDescent="0.25">
      <c r="A242" s="168" t="s">
        <v>92</v>
      </c>
      <c r="B242" s="160">
        <f>IF(B241-B226=0,0,"Error")</f>
        <v>0</v>
      </c>
      <c r="C242" s="160">
        <f>IF(C241-C226=0,0,"Error")</f>
        <v>0</v>
      </c>
      <c r="D242" s="160">
        <f>IF(D241-D226=0,0,"Error")</f>
        <v>0</v>
      </c>
      <c r="E242" s="160">
        <f>IF(E241-E226=0,0,"Error")</f>
        <v>0</v>
      </c>
    </row>
    <row r="243" spans="1:5" ht="15" customHeight="1" thickBot="1" x14ac:dyDescent="0.25">
      <c r="A243" s="156" t="s">
        <v>115</v>
      </c>
      <c r="B243" s="1014" t="e">
        <f>'[2]Formati 2 Sipas Tavaneve'!D393:G393</f>
        <v>#VALUE!</v>
      </c>
      <c r="C243" s="1015"/>
      <c r="D243" s="1015"/>
      <c r="E243" s="1016"/>
    </row>
    <row r="244" spans="1:5" ht="15" customHeight="1" thickBot="1" x14ac:dyDescent="0.25">
      <c r="A244" s="133" t="s">
        <v>72</v>
      </c>
      <c r="B244" s="945" t="e">
        <f>'[2]Formati 2 Sipas Tavaneve'!D394:G394</f>
        <v>#VALUE!</v>
      </c>
      <c r="C244" s="946"/>
      <c r="D244" s="946"/>
      <c r="E244" s="947"/>
    </row>
    <row r="245" spans="1:5" ht="15" customHeight="1" thickBot="1" x14ac:dyDescent="0.25">
      <c r="A245" s="133" t="s">
        <v>74</v>
      </c>
      <c r="B245" s="1002" t="s">
        <v>631</v>
      </c>
      <c r="C245" s="1003"/>
      <c r="D245" s="1003"/>
      <c r="E245" s="1004"/>
    </row>
    <row r="246" spans="1:5" ht="15" customHeight="1" thickBot="1" x14ac:dyDescent="0.25">
      <c r="A246" s="133" t="s">
        <v>76</v>
      </c>
      <c r="B246" s="147">
        <f>'[2]Formati 2 Sipas Tavaneve'!D398</f>
        <v>9800</v>
      </c>
      <c r="C246" s="147">
        <f>'[2]Formati 2 Sipas Tavaneve'!E398</f>
        <v>9800</v>
      </c>
      <c r="D246" s="147">
        <f>'[2]Formati 2 Sipas Tavaneve'!F398</f>
        <v>9800</v>
      </c>
      <c r="E246" s="147">
        <f>'[2]Formati 2 Sipas Tavaneve'!G398</f>
        <v>9800</v>
      </c>
    </row>
    <row r="247" spans="1:5" ht="15" customHeight="1" x14ac:dyDescent="0.2">
      <c r="A247" s="893"/>
      <c r="B247" s="145">
        <v>2018</v>
      </c>
      <c r="C247" s="145">
        <v>2019</v>
      </c>
      <c r="D247" s="145">
        <v>2020</v>
      </c>
      <c r="E247" s="145">
        <v>2021</v>
      </c>
    </row>
    <row r="248" spans="1:5" ht="15" customHeight="1" thickBot="1" x14ac:dyDescent="0.25">
      <c r="A248" s="894"/>
      <c r="B248" s="146" t="s">
        <v>41</v>
      </c>
      <c r="C248" s="146" t="s">
        <v>42</v>
      </c>
      <c r="D248" s="146" t="s">
        <v>42</v>
      </c>
      <c r="E248" s="146" t="s">
        <v>42</v>
      </c>
    </row>
    <row r="249" spans="1:5" ht="15" customHeight="1" thickBot="1" x14ac:dyDescent="0.25">
      <c r="A249" s="133" t="s">
        <v>77</v>
      </c>
      <c r="B249" s="147">
        <f>'[2]Formati 2 Sipas Tavaneve'!D399</f>
        <v>406993</v>
      </c>
      <c r="C249" s="147">
        <f>'[2]Formati 2 Sipas Tavaneve'!E399</f>
        <v>1221154</v>
      </c>
      <c r="D249" s="147">
        <f>'[2]Formati 2 Sipas Tavaneve'!F399</f>
        <v>1221155</v>
      </c>
      <c r="E249" s="147">
        <f>'[2]Formati 2 Sipas Tavaneve'!G399</f>
        <v>1221174</v>
      </c>
    </row>
    <row r="250" spans="1:5" ht="15" customHeight="1" thickBot="1" x14ac:dyDescent="0.25">
      <c r="A250" s="133" t="s">
        <v>78</v>
      </c>
      <c r="B250" s="147">
        <f>B249/B246</f>
        <v>41.529897959183671</v>
      </c>
      <c r="C250" s="147">
        <f>C249/C246</f>
        <v>124.60755102040817</v>
      </c>
      <c r="D250" s="147">
        <f>D249/D246</f>
        <v>124.6076530612245</v>
      </c>
      <c r="E250" s="147">
        <f>E249/E246</f>
        <v>124.60959183673469</v>
      </c>
    </row>
    <row r="251" spans="1:5" ht="15" customHeight="1" thickBot="1" x14ac:dyDescent="0.25">
      <c r="A251" s="133" t="s">
        <v>79</v>
      </c>
      <c r="B251" s="148"/>
      <c r="C251" s="149">
        <f>C246/B246-1</f>
        <v>0</v>
      </c>
      <c r="D251" s="149">
        <f>D246/C246-1</f>
        <v>0</v>
      </c>
      <c r="E251" s="149">
        <f>E246/D246-1</f>
        <v>0</v>
      </c>
    </row>
    <row r="252" spans="1:5" ht="15" customHeight="1" thickBot="1" x14ac:dyDescent="0.25">
      <c r="A252" s="133" t="s">
        <v>81</v>
      </c>
      <c r="B252" s="148"/>
      <c r="C252" s="149">
        <f t="shared" ref="C252:E253" si="9">C249/B249-1</f>
        <v>2.0004299828252576</v>
      </c>
      <c r="D252" s="149">
        <f t="shared" si="9"/>
        <v>8.1889753467123683E-7</v>
      </c>
      <c r="E252" s="149">
        <f t="shared" si="9"/>
        <v>1.5559040416723846E-5</v>
      </c>
    </row>
    <row r="253" spans="1:5" ht="15" customHeight="1" thickBot="1" x14ac:dyDescent="0.25">
      <c r="A253" s="133" t="s">
        <v>82</v>
      </c>
      <c r="B253" s="148"/>
      <c r="C253" s="149">
        <f t="shared" si="9"/>
        <v>2.0004299828252576</v>
      </c>
      <c r="D253" s="149">
        <f t="shared" si="9"/>
        <v>8.1889753467123683E-7</v>
      </c>
      <c r="E253" s="149">
        <f t="shared" si="9"/>
        <v>1.5559040416501801E-5</v>
      </c>
    </row>
    <row r="254" spans="1:5" ht="15" customHeight="1" thickBot="1" x14ac:dyDescent="0.25">
      <c r="A254" s="1005" t="s">
        <v>363</v>
      </c>
      <c r="B254" s="1006"/>
      <c r="C254" s="1006"/>
      <c r="D254" s="1006"/>
      <c r="E254" s="1007"/>
    </row>
    <row r="255" spans="1:5" ht="15" customHeight="1" x14ac:dyDescent="0.2">
      <c r="A255" s="893"/>
      <c r="B255" s="145">
        <v>2018</v>
      </c>
      <c r="C255" s="145">
        <v>2019</v>
      </c>
      <c r="D255" s="145">
        <v>2020</v>
      </c>
      <c r="E255" s="145">
        <v>2021</v>
      </c>
    </row>
    <row r="256" spans="1:5" ht="15" customHeight="1" thickBot="1" x14ac:dyDescent="0.25">
      <c r="A256" s="894"/>
      <c r="B256" s="146" t="s">
        <v>41</v>
      </c>
      <c r="C256" s="146" t="s">
        <v>42</v>
      </c>
      <c r="D256" s="146" t="s">
        <v>42</v>
      </c>
      <c r="E256" s="146" t="s">
        <v>42</v>
      </c>
    </row>
    <row r="257" spans="1:5" ht="15" customHeight="1" thickBot="1" x14ac:dyDescent="0.25">
      <c r="A257" s="173" t="s">
        <v>84</v>
      </c>
      <c r="B257" s="142">
        <f>'[2]Formati 2 Sipas Tavaneve'!D407</f>
        <v>3150.2975130985751</v>
      </c>
      <c r="C257" s="142">
        <f>'[2]Formati 2 Sipas Tavaneve'!E407</f>
        <v>9735.3112869651231</v>
      </c>
      <c r="D257" s="142">
        <f>'[2]Formati 2 Sipas Tavaneve'!F407</f>
        <v>9628.8616370167474</v>
      </c>
      <c r="E257" s="142">
        <f>'[2]Formati 2 Sipas Tavaneve'!G407</f>
        <v>9633.2008782530775</v>
      </c>
    </row>
    <row r="258" spans="1:5" ht="15" customHeight="1" thickBot="1" x14ac:dyDescent="0.25">
      <c r="A258" s="173" t="s">
        <v>85</v>
      </c>
      <c r="B258" s="142">
        <f>'[2]Formati 2 Sipas Tavaneve'!D410</f>
        <v>537.75923121209314</v>
      </c>
      <c r="C258" s="142">
        <f>'[2]Formati 2 Sipas Tavaneve'!E410</f>
        <v>1536.7241997896249</v>
      </c>
      <c r="D258" s="142">
        <f>'[2]Formati 2 Sipas Tavaneve'!F410</f>
        <v>1515.9362862075413</v>
      </c>
      <c r="E258" s="142">
        <f>'[2]Formati 2 Sipas Tavaneve'!G410</f>
        <v>1520.2623540793932</v>
      </c>
    </row>
    <row r="259" spans="1:5" ht="15" customHeight="1" thickBot="1" x14ac:dyDescent="0.25">
      <c r="A259" s="173" t="s">
        <v>86</v>
      </c>
      <c r="B259" s="142">
        <f>'[2]Formati 2 Sipas Tavaneve'!D413</f>
        <v>3305.0727540146609</v>
      </c>
      <c r="C259" s="142">
        <f>'[2]Formati 2 Sipas Tavaneve'!E413</f>
        <v>9882.4444550300886</v>
      </c>
      <c r="D259" s="142">
        <f>'[2]Formati 2 Sipas Tavaneve'!F413</f>
        <v>10009.75015113924</v>
      </c>
      <c r="E259" s="142">
        <f>'[2]Formati 2 Sipas Tavaneve'!G413</f>
        <v>10020.575420398309</v>
      </c>
    </row>
    <row r="260" spans="1:5" ht="15" customHeight="1" thickBot="1" x14ac:dyDescent="0.25">
      <c r="A260" s="173" t="s">
        <v>87</v>
      </c>
      <c r="B260" s="142"/>
      <c r="C260" s="142"/>
      <c r="D260" s="142"/>
      <c r="E260" s="142"/>
    </row>
    <row r="261" spans="1:5" ht="15" customHeight="1" thickBot="1" x14ac:dyDescent="0.25">
      <c r="A261" s="173" t="s">
        <v>88</v>
      </c>
      <c r="B261" s="142">
        <f>'[2]Formati 2 Sipas Tavaneve'!D419</f>
        <v>244619.07298881194</v>
      </c>
      <c r="C261" s="142">
        <f>'[2]Formati 2 Sipas Tavaneve'!E419</f>
        <v>1043450.7953421113</v>
      </c>
      <c r="D261" s="142">
        <f>'[2]Formati 2 Sipas Tavaneve'!F419</f>
        <v>1042282.5176954106</v>
      </c>
      <c r="E261" s="142">
        <f>'[2]Formati 2 Sipas Tavaneve'!G419</f>
        <v>1041114.24004871</v>
      </c>
    </row>
    <row r="262" spans="1:5" ht="15" customHeight="1" thickBot="1" x14ac:dyDescent="0.25">
      <c r="A262" s="173" t="s">
        <v>89</v>
      </c>
      <c r="B262" s="142"/>
      <c r="C262" s="142"/>
      <c r="D262" s="142"/>
      <c r="E262" s="142"/>
    </row>
    <row r="263" spans="1:5" ht="15" customHeight="1" thickBot="1" x14ac:dyDescent="0.25">
      <c r="A263" s="173" t="s">
        <v>90</v>
      </c>
      <c r="B263" s="142">
        <f>'[2]Formati 2 Sipas Tavaneve'!D425</f>
        <v>155380.92701118806</v>
      </c>
      <c r="C263" s="142">
        <f>'[2]Formati 2 Sipas Tavaneve'!E425</f>
        <v>156549.20465788871</v>
      </c>
      <c r="D263" s="142">
        <f>'[2]Formati 2 Sipas Tavaneve'!F425</f>
        <v>157717.48230458936</v>
      </c>
      <c r="E263" s="142">
        <f>'[2]Formati 2 Sipas Tavaneve'!G425</f>
        <v>158885.75995129003</v>
      </c>
    </row>
    <row r="264" spans="1:5" ht="15" customHeight="1" thickBot="1" x14ac:dyDescent="0.25">
      <c r="A264" s="180" t="s">
        <v>262</v>
      </c>
      <c r="B264" s="158">
        <f>ROUND(B263+B262+B261+B260+B259+B258+B257,0)</f>
        <v>406993</v>
      </c>
      <c r="C264" s="158">
        <f>ROUND(C263+C262+C261+C260+C259+C258+C257,0)</f>
        <v>1221154</v>
      </c>
      <c r="D264" s="158">
        <f>ROUND(D263+D262+D261+D260+D259+D258+D257,0)</f>
        <v>1221155</v>
      </c>
      <c r="E264" s="158">
        <f>ROUND(E263+E262+E261+E260+E259+E258+E257,0)</f>
        <v>1221174</v>
      </c>
    </row>
    <row r="265" spans="1:5" ht="15" customHeight="1" thickBot="1" x14ac:dyDescent="0.25">
      <c r="A265" s="168" t="s">
        <v>92</v>
      </c>
      <c r="B265" s="160">
        <f>IF(B264-B249=0,0,"Error")</f>
        <v>0</v>
      </c>
      <c r="C265" s="160">
        <f>IF(C264-C249=0,0,"Error")</f>
        <v>0</v>
      </c>
      <c r="D265" s="160">
        <f>IF(D264-D249=0,0,"Error")</f>
        <v>0</v>
      </c>
      <c r="E265" s="160">
        <f>IF(E264-E249=0,0,"Error")</f>
        <v>0</v>
      </c>
    </row>
    <row r="266" spans="1:5" ht="15.75" customHeight="1" thickBot="1" x14ac:dyDescent="0.25">
      <c r="A266" s="156" t="s">
        <v>264</v>
      </c>
      <c r="B266" s="1014" t="e">
        <f>'[2]Formati 2 Sipas Tavaneve'!D433:G433</f>
        <v>#VALUE!</v>
      </c>
      <c r="C266" s="1015"/>
      <c r="D266" s="1015"/>
      <c r="E266" s="1016"/>
    </row>
    <row r="267" spans="1:5" ht="27.75" customHeight="1" thickBot="1" x14ac:dyDescent="0.25">
      <c r="A267" s="133" t="s">
        <v>72</v>
      </c>
      <c r="B267" s="945" t="e">
        <f>'[2]Formati 2 Sipas Tavaneve'!D434:G434</f>
        <v>#VALUE!</v>
      </c>
      <c r="C267" s="946"/>
      <c r="D267" s="946"/>
      <c r="E267" s="947"/>
    </row>
    <row r="268" spans="1:5" ht="15.75" customHeight="1" thickBot="1" x14ac:dyDescent="0.25">
      <c r="A268" s="133" t="s">
        <v>74</v>
      </c>
      <c r="B268" s="1002" t="e">
        <f>'[2]Formati 2 Sipas Tavaneve'!D435:G435</f>
        <v>#VALUE!</v>
      </c>
      <c r="C268" s="1003"/>
      <c r="D268" s="1003"/>
      <c r="E268" s="1004"/>
    </row>
    <row r="269" spans="1:5" ht="15.75" customHeight="1" thickBot="1" x14ac:dyDescent="0.25">
      <c r="A269" s="133" t="s">
        <v>76</v>
      </c>
      <c r="B269" s="147">
        <f>'[2]Formati 2 Sipas Tavaneve'!D438</f>
        <v>45.657908547164105</v>
      </c>
      <c r="C269" s="147">
        <f>'[2]Formati 2 Sipas Tavaneve'!E438</f>
        <v>52.797451678991891</v>
      </c>
      <c r="D269" s="147">
        <f>'[2]Formati 2 Sipas Tavaneve'!F438</f>
        <v>53.007195191541861</v>
      </c>
      <c r="E269" s="147">
        <f>'[2]Formati 2 Sipas Tavaneve'!G438</f>
        <v>52.900225756311812</v>
      </c>
    </row>
    <row r="270" spans="1:5" ht="15.75" customHeight="1" x14ac:dyDescent="0.2">
      <c r="A270" s="893"/>
      <c r="B270" s="145">
        <v>2018</v>
      </c>
      <c r="C270" s="145">
        <v>2019</v>
      </c>
      <c r="D270" s="145">
        <v>2020</v>
      </c>
      <c r="E270" s="145">
        <v>2021</v>
      </c>
    </row>
    <row r="271" spans="1:5" ht="15.75" customHeight="1" thickBot="1" x14ac:dyDescent="0.25">
      <c r="A271" s="894"/>
      <c r="B271" s="146" t="s">
        <v>41</v>
      </c>
      <c r="C271" s="146" t="s">
        <v>42</v>
      </c>
      <c r="D271" s="146" t="s">
        <v>42</v>
      </c>
      <c r="E271" s="146" t="s">
        <v>42</v>
      </c>
    </row>
    <row r="272" spans="1:5" ht="15.75" customHeight="1" thickBot="1" x14ac:dyDescent="0.25">
      <c r="A272" s="133" t="s">
        <v>77</v>
      </c>
      <c r="B272" s="147">
        <f>'[2]Formati 2 Sipas Tavaneve'!D439</f>
        <v>79170</v>
      </c>
      <c r="C272" s="147">
        <f>'[2]Formati 2 Sipas Tavaneve'!E439</f>
        <v>106102</v>
      </c>
      <c r="D272" s="147">
        <f>'[2]Formati 2 Sipas Tavaneve'!F439</f>
        <v>112002</v>
      </c>
      <c r="E272" s="147">
        <f>'[2]Formati 2 Sipas Tavaneve'!G439</f>
        <v>118474</v>
      </c>
    </row>
    <row r="273" spans="1:5" ht="15.75" customHeight="1" thickBot="1" x14ac:dyDescent="0.25">
      <c r="A273" s="133" t="s">
        <v>78</v>
      </c>
      <c r="B273" s="147">
        <f>B272/B269</f>
        <v>1733.9821844493442</v>
      </c>
      <c r="C273" s="147">
        <f>C272/C269</f>
        <v>2009.6045666199832</v>
      </c>
      <c r="D273" s="147">
        <f>D272/D269</f>
        <v>2112.9584313088067</v>
      </c>
      <c r="E273" s="147">
        <f>E272/E269</f>
        <v>2239.5745633630727</v>
      </c>
    </row>
    <row r="274" spans="1:5" ht="15.75" customHeight="1" thickBot="1" x14ac:dyDescent="0.25">
      <c r="A274" s="133" t="s">
        <v>79</v>
      </c>
      <c r="B274" s="148"/>
      <c r="C274" s="149">
        <f>C269/B269-1</f>
        <v>0.15637034982565434</v>
      </c>
      <c r="D274" s="149">
        <f>D269/C269-1</f>
        <v>3.9726067429393108E-3</v>
      </c>
      <c r="E274" s="149">
        <f>E269/D269-1</f>
        <v>-2.0180172680994701E-3</v>
      </c>
    </row>
    <row r="275" spans="1:5" ht="15.75" customHeight="1" thickBot="1" x14ac:dyDescent="0.25">
      <c r="A275" s="133" t="s">
        <v>81</v>
      </c>
      <c r="B275" s="148"/>
      <c r="C275" s="149">
        <f t="shared" ref="C275:E276" si="10">C272/B272-1</f>
        <v>0.34017936086901601</v>
      </c>
      <c r="D275" s="149">
        <f t="shared" si="10"/>
        <v>5.5606868862038361E-2</v>
      </c>
      <c r="E275" s="149">
        <f t="shared" si="10"/>
        <v>5.7784682416385458E-2</v>
      </c>
    </row>
    <row r="276" spans="1:5" ht="15.75" customHeight="1" thickBot="1" x14ac:dyDescent="0.25">
      <c r="A276" s="133" t="s">
        <v>82</v>
      </c>
      <c r="B276" s="148"/>
      <c r="C276" s="149">
        <f t="shared" si="10"/>
        <v>0.158953410618903</v>
      </c>
      <c r="D276" s="149">
        <f t="shared" si="10"/>
        <v>5.1429951148378228E-2</v>
      </c>
      <c r="E276" s="149">
        <f t="shared" si="10"/>
        <v>5.9923626597726098E-2</v>
      </c>
    </row>
    <row r="277" spans="1:5" ht="15.75" customHeight="1" thickBot="1" x14ac:dyDescent="0.25">
      <c r="A277" s="1005" t="s">
        <v>637</v>
      </c>
      <c r="B277" s="1006"/>
      <c r="C277" s="1006"/>
      <c r="D277" s="1006"/>
      <c r="E277" s="1007"/>
    </row>
    <row r="278" spans="1:5" ht="15.75" customHeight="1" x14ac:dyDescent="0.2">
      <c r="A278" s="893"/>
      <c r="B278" s="145">
        <v>2018</v>
      </c>
      <c r="C278" s="145">
        <v>2019</v>
      </c>
      <c r="D278" s="145">
        <v>2020</v>
      </c>
      <c r="E278" s="145">
        <v>2021</v>
      </c>
    </row>
    <row r="279" spans="1:5" ht="15.75" customHeight="1" thickBot="1" x14ac:dyDescent="0.25">
      <c r="A279" s="894"/>
      <c r="B279" s="146" t="s">
        <v>41</v>
      </c>
      <c r="C279" s="146" t="s">
        <v>42</v>
      </c>
      <c r="D279" s="146" t="s">
        <v>42</v>
      </c>
      <c r="E279" s="146" t="s">
        <v>42</v>
      </c>
    </row>
    <row r="280" spans="1:5" ht="15.75" customHeight="1" thickBot="1" x14ac:dyDescent="0.25">
      <c r="A280" s="173" t="s">
        <v>84</v>
      </c>
      <c r="B280" s="142">
        <f>'[2]Formati 2 Sipas Tavaneve'!D447</f>
        <v>35664.941809663389</v>
      </c>
      <c r="C280" s="142">
        <f>'[2]Formati 2 Sipas Tavaneve'!E447</f>
        <v>48828.199338866492</v>
      </c>
      <c r="D280" s="142">
        <f>'[2]Formati 2 Sipas Tavaneve'!F447</f>
        <v>50979.804610202751</v>
      </c>
      <c r="E280" s="142">
        <f>'[2]Formati 2 Sipas Tavaneve'!G447</f>
        <v>53900.360023351779</v>
      </c>
    </row>
    <row r="281" spans="1:5" ht="15.75" customHeight="1" thickBot="1" x14ac:dyDescent="0.25">
      <c r="A281" s="173" t="s">
        <v>85</v>
      </c>
      <c r="B281" s="142">
        <f>'[2]Formati 2 Sipas Tavaneve'!D450</f>
        <v>6088.0445764388633</v>
      </c>
      <c r="C281" s="142">
        <f>'[2]Formati 2 Sipas Tavaneve'!E450</f>
        <v>7707.5579141115877</v>
      </c>
      <c r="D281" s="142">
        <f>'[2]Formati 2 Sipas Tavaneve'!F450</f>
        <v>8026.0926561948936</v>
      </c>
      <c r="E281" s="142">
        <f>'[2]Formati 2 Sipas Tavaneve'!G450</f>
        <v>8506.2783648385193</v>
      </c>
    </row>
    <row r="282" spans="1:5" ht="15.75" customHeight="1" thickBot="1" x14ac:dyDescent="0.25">
      <c r="A282" s="173" t="s">
        <v>86</v>
      </c>
      <c r="B282" s="142">
        <f>'[2]Formati 2 Sipas Tavaneve'!D453</f>
        <v>37417.173126831716</v>
      </c>
      <c r="C282" s="142">
        <f>'[2]Formati 2 Sipas Tavaneve'!E453</f>
        <v>49566.157011494208</v>
      </c>
      <c r="D282" s="142">
        <f>'[2]Formati 2 Sipas Tavaneve'!F453</f>
        <v>52996.410805226566</v>
      </c>
      <c r="E282" s="142">
        <f>'[2]Formati 2 Sipas Tavaneve'!G453</f>
        <v>56067.825183623128</v>
      </c>
    </row>
    <row r="283" spans="1:5" ht="15.75" customHeight="1" thickBot="1" x14ac:dyDescent="0.25">
      <c r="A283" s="173" t="s">
        <v>87</v>
      </c>
      <c r="B283" s="142"/>
      <c r="C283" s="142"/>
      <c r="D283" s="142"/>
      <c r="E283" s="142"/>
    </row>
    <row r="284" spans="1:5" ht="15.75" customHeight="1" thickBot="1" x14ac:dyDescent="0.25">
      <c r="A284" s="173" t="s">
        <v>88</v>
      </c>
      <c r="B284" s="142"/>
      <c r="C284" s="142"/>
      <c r="D284" s="142"/>
      <c r="E284" s="142"/>
    </row>
    <row r="285" spans="1:5" ht="15.75" customHeight="1" thickBot="1" x14ac:dyDescent="0.25">
      <c r="A285" s="173" t="s">
        <v>89</v>
      </c>
      <c r="B285" s="142"/>
      <c r="C285" s="142"/>
      <c r="D285" s="142"/>
      <c r="E285" s="142"/>
    </row>
    <row r="286" spans="1:5" ht="15.75" customHeight="1" thickBot="1" x14ac:dyDescent="0.25">
      <c r="A286" s="173" t="s">
        <v>90</v>
      </c>
      <c r="B286" s="142"/>
      <c r="C286" s="142"/>
      <c r="D286" s="142"/>
      <c r="E286" s="142"/>
    </row>
    <row r="287" spans="1:5" ht="15.75" customHeight="1" thickBot="1" x14ac:dyDescent="0.25">
      <c r="A287" s="180" t="s">
        <v>266</v>
      </c>
      <c r="B287" s="158">
        <f>ROUND(B286+B285+B284+B283+B282+B281+B280,0)</f>
        <v>79170</v>
      </c>
      <c r="C287" s="158">
        <f>ROUND(C286+C285+C284+C283+C282+C281+C280,0)</f>
        <v>106102</v>
      </c>
      <c r="D287" s="158">
        <f>ROUND(D286+D285+D284+D283+D282+D281+D280,0)</f>
        <v>112002</v>
      </c>
      <c r="E287" s="158">
        <f>ROUND(E286+E285+E284+E283+E282+E281+E280,0)</f>
        <v>118474</v>
      </c>
    </row>
    <row r="288" spans="1:5" ht="15.75" customHeight="1" thickBot="1" x14ac:dyDescent="0.25">
      <c r="A288" s="168" t="s">
        <v>92</v>
      </c>
      <c r="B288" s="160">
        <f>IF(B287-B272=0,0,"Error")</f>
        <v>0</v>
      </c>
      <c r="C288" s="160">
        <f>IF(C287-C272=0,0,"Error")</f>
        <v>0</v>
      </c>
      <c r="D288" s="160">
        <f>IF(D287-D272=0,0,"Error")</f>
        <v>0</v>
      </c>
      <c r="E288" s="160">
        <f>IF(E287-E272=0,0,"Error")</f>
        <v>0</v>
      </c>
    </row>
    <row r="289" spans="1:5" ht="42" customHeight="1" thickBot="1" x14ac:dyDescent="0.25">
      <c r="A289" s="184" t="s">
        <v>640</v>
      </c>
      <c r="B289" s="1038" t="e">
        <f>'[2]Formati 2 Sipas Tavaneve'!D473:G473</f>
        <v>#VALUE!</v>
      </c>
      <c r="C289" s="1039"/>
      <c r="D289" s="1039"/>
      <c r="E289" s="1040"/>
    </row>
    <row r="290" spans="1:5" ht="15" customHeight="1" thickBot="1" x14ac:dyDescent="0.25">
      <c r="A290" s="945" t="s">
        <v>639</v>
      </c>
      <c r="B290" s="946"/>
      <c r="C290" s="946"/>
      <c r="D290" s="946"/>
      <c r="E290" s="947"/>
    </row>
    <row r="291" spans="1:5" ht="23.25" thickBot="1" x14ac:dyDescent="0.25">
      <c r="A291" s="131" t="str">
        <f>'[2]Formati 2 Sipas Tavaneve'!C475</f>
        <v>Rritja e cilesise së shërbimit ndaj përfituesve</v>
      </c>
      <c r="B291" s="183">
        <v>1</v>
      </c>
      <c r="C291" s="132">
        <v>-3.4324039098703962E-2</v>
      </c>
      <c r="D291" s="132">
        <v>-4.1583586520799853E-2</v>
      </c>
      <c r="E291" s="132">
        <v>-4.1189247306643639E-2</v>
      </c>
    </row>
    <row r="292" spans="1:5" ht="15" customHeight="1" thickBot="1" x14ac:dyDescent="0.25">
      <c r="A292" s="1020" t="s">
        <v>216</v>
      </c>
      <c r="B292" s="1021"/>
      <c r="C292" s="1021"/>
      <c r="D292" s="1021"/>
      <c r="E292" s="1022"/>
    </row>
    <row r="293" spans="1:5" ht="15" customHeight="1" thickBot="1" x14ac:dyDescent="0.25">
      <c r="A293" s="1020" t="s">
        <v>69</v>
      </c>
      <c r="B293" s="1021"/>
      <c r="C293" s="1021"/>
      <c r="D293" s="1021"/>
      <c r="E293" s="1022"/>
    </row>
    <row r="294" spans="1:5" ht="15" customHeight="1" thickBot="1" x14ac:dyDescent="0.25">
      <c r="A294" s="168"/>
      <c r="B294" s="182"/>
      <c r="C294" s="182"/>
      <c r="D294" s="182"/>
      <c r="E294" s="160"/>
    </row>
    <row r="295" spans="1:5" ht="15" customHeight="1" thickBot="1" x14ac:dyDescent="0.25">
      <c r="A295" s="156" t="s">
        <v>108</v>
      </c>
      <c r="B295" s="1014" t="e">
        <f>'[2]Formati 2 Sipas Tavaneve'!D479:G479</f>
        <v>#VALUE!</v>
      </c>
      <c r="C295" s="1015"/>
      <c r="D295" s="1015"/>
      <c r="E295" s="1016"/>
    </row>
    <row r="296" spans="1:5" ht="15" customHeight="1" thickBot="1" x14ac:dyDescent="0.25">
      <c r="A296" s="133" t="s">
        <v>72</v>
      </c>
      <c r="B296" s="945" t="e">
        <f>'[2]Formati 2 Sipas Tavaneve'!D480:G480</f>
        <v>#VALUE!</v>
      </c>
      <c r="C296" s="946"/>
      <c r="D296" s="946"/>
      <c r="E296" s="947"/>
    </row>
    <row r="297" spans="1:5" ht="15" customHeight="1" thickBot="1" x14ac:dyDescent="0.25">
      <c r="A297" s="133" t="s">
        <v>74</v>
      </c>
      <c r="B297" s="1002" t="e">
        <f>'[2]Formati 2 Sipas Tavaneve'!D481:G481</f>
        <v>#VALUE!</v>
      </c>
      <c r="C297" s="1003"/>
      <c r="D297" s="1003"/>
      <c r="E297" s="1004"/>
    </row>
    <row r="298" spans="1:5" ht="15" customHeight="1" thickBot="1" x14ac:dyDescent="0.25">
      <c r="A298" s="133" t="s">
        <v>76</v>
      </c>
      <c r="B298" s="147">
        <f>'[2]Formati 2 Sipas Tavaneve'!D484</f>
        <v>505623.96714154049</v>
      </c>
      <c r="C298" s="147">
        <f>'[2]Formati 2 Sipas Tavaneve'!E484</f>
        <v>485702.9899835902</v>
      </c>
      <c r="D298" s="147">
        <f>'[2]Formati 2 Sipas Tavaneve'!F484</f>
        <v>466573.84524225997</v>
      </c>
      <c r="E298" s="147">
        <f>'[2]Formati 2 Sipas Tavaneve'!G484</f>
        <v>448204.75667480717</v>
      </c>
    </row>
    <row r="299" spans="1:5" ht="15" customHeight="1" x14ac:dyDescent="0.2">
      <c r="A299" s="893"/>
      <c r="B299" s="145">
        <v>2018</v>
      </c>
      <c r="C299" s="145">
        <v>2019</v>
      </c>
      <c r="D299" s="145">
        <v>2020</v>
      </c>
      <c r="E299" s="145">
        <v>2021</v>
      </c>
    </row>
    <row r="300" spans="1:5" ht="15" customHeight="1" thickBot="1" x14ac:dyDescent="0.25">
      <c r="A300" s="894"/>
      <c r="B300" s="146" t="s">
        <v>41</v>
      </c>
      <c r="C300" s="146" t="s">
        <v>42</v>
      </c>
      <c r="D300" s="146" t="s">
        <v>42</v>
      </c>
      <c r="E300" s="146" t="s">
        <v>42</v>
      </c>
    </row>
    <row r="301" spans="1:5" ht="15" customHeight="1" thickBot="1" x14ac:dyDescent="0.25">
      <c r="A301" s="133" t="s">
        <v>77</v>
      </c>
      <c r="B301" s="147">
        <f>'[2]Formati 2 Sipas Tavaneve'!D485</f>
        <v>4837507</v>
      </c>
      <c r="C301" s="147">
        <f>'[2]Formati 2 Sipas Tavaneve'!E485</f>
        <v>5090929</v>
      </c>
      <c r="D301" s="147">
        <f>'[2]Formati 2 Sipas Tavaneve'!F485</f>
        <v>5340348</v>
      </c>
      <c r="E301" s="147">
        <f>'[2]Formati 2 Sipas Tavaneve'!G485</f>
        <v>5617344</v>
      </c>
    </row>
    <row r="302" spans="1:5" ht="15" customHeight="1" thickBot="1" x14ac:dyDescent="0.25">
      <c r="A302" s="133" t="s">
        <v>78</v>
      </c>
      <c r="B302" s="147">
        <f>B301/B298</f>
        <v>9.5674005078280349</v>
      </c>
      <c r="C302" s="147">
        <f>C301/C298</f>
        <v>10.481568170235066</v>
      </c>
      <c r="D302" s="147">
        <f>D301/D298</f>
        <v>11.445879477507193</v>
      </c>
      <c r="E302" s="147">
        <f>E301/E298</f>
        <v>12.532986132665338</v>
      </c>
    </row>
    <row r="303" spans="1:5" ht="15" customHeight="1" thickBot="1" x14ac:dyDescent="0.25">
      <c r="A303" s="133" t="s">
        <v>79</v>
      </c>
      <c r="B303" s="148"/>
      <c r="C303" s="149">
        <f>C298/B298-1</f>
        <v>-3.9398799211536883E-2</v>
      </c>
      <c r="D303" s="149">
        <f>D298/C298-1</f>
        <v>-3.9384449212422012E-2</v>
      </c>
      <c r="E303" s="149">
        <f>E298/D298-1</f>
        <v>-3.9370163490229482E-2</v>
      </c>
    </row>
    <row r="304" spans="1:5" ht="15" customHeight="1" thickBot="1" x14ac:dyDescent="0.25">
      <c r="A304" s="133" t="s">
        <v>81</v>
      </c>
      <c r="B304" s="148"/>
      <c r="C304" s="149">
        <f t="shared" ref="C304:E305" si="11">C301/B301-1</f>
        <v>5.2386900938851344E-2</v>
      </c>
      <c r="D304" s="149">
        <f t="shared" si="11"/>
        <v>4.8992826260197297E-2</v>
      </c>
      <c r="E304" s="149">
        <f t="shared" si="11"/>
        <v>5.1868529916027972E-2</v>
      </c>
    </row>
    <row r="305" spans="1:5" ht="15" customHeight="1" thickBot="1" x14ac:dyDescent="0.25">
      <c r="A305" s="133" t="s">
        <v>82</v>
      </c>
      <c r="B305" s="148"/>
      <c r="C305" s="149">
        <f t="shared" si="11"/>
        <v>9.5550265890830044E-2</v>
      </c>
      <c r="D305" s="149">
        <f t="shared" si="11"/>
        <v>9.2000671236439624E-2</v>
      </c>
      <c r="E305" s="149">
        <f t="shared" si="11"/>
        <v>9.4977992498913366E-2</v>
      </c>
    </row>
    <row r="306" spans="1:5" ht="15" customHeight="1" thickBot="1" x14ac:dyDescent="0.25">
      <c r="A306" s="1005" t="s">
        <v>638</v>
      </c>
      <c r="B306" s="1006"/>
      <c r="C306" s="1006"/>
      <c r="D306" s="1006"/>
      <c r="E306" s="1007"/>
    </row>
    <row r="307" spans="1:5" ht="15" customHeight="1" x14ac:dyDescent="0.2">
      <c r="A307" s="893"/>
      <c r="B307" s="145">
        <v>2018</v>
      </c>
      <c r="C307" s="145">
        <v>2019</v>
      </c>
      <c r="D307" s="145">
        <v>2020</v>
      </c>
      <c r="E307" s="145">
        <v>2021</v>
      </c>
    </row>
    <row r="308" spans="1:5" ht="15" customHeight="1" thickBot="1" x14ac:dyDescent="0.25">
      <c r="A308" s="894"/>
      <c r="B308" s="146" t="s">
        <v>41</v>
      </c>
      <c r="C308" s="146" t="s">
        <v>42</v>
      </c>
      <c r="D308" s="146" t="s">
        <v>42</v>
      </c>
      <c r="E308" s="146" t="s">
        <v>42</v>
      </c>
    </row>
    <row r="309" spans="1:5" ht="15" customHeight="1" thickBot="1" x14ac:dyDescent="0.25">
      <c r="A309" s="173" t="s">
        <v>84</v>
      </c>
      <c r="B309" s="142">
        <f>'[2]Formati 2 Sipas Tavaneve'!D493</f>
        <v>37444.331897479555</v>
      </c>
      <c r="C309" s="142">
        <f>'[2]Formati 2 Sipas Tavaneve'!E493</f>
        <v>40586.002421611891</v>
      </c>
      <c r="D309" s="142">
        <f>'[2]Formati 2 Sipas Tavaneve'!F493</f>
        <v>42108.89992175153</v>
      </c>
      <c r="E309" s="142">
        <f>'[2]Formati 2 Sipas Tavaneve'!G493</f>
        <v>44312.279347649077</v>
      </c>
    </row>
    <row r="310" spans="1:5" ht="15" customHeight="1" thickBot="1" x14ac:dyDescent="0.25">
      <c r="A310" s="173" t="s">
        <v>85</v>
      </c>
      <c r="B310" s="142">
        <f>'[2]Formati 2 Sipas Tavaneve'!D496</f>
        <v>6391.788410686846</v>
      </c>
      <c r="C310" s="142">
        <f>'[2]Formati 2 Sipas Tavaneve'!E496</f>
        <v>6406.5226324626674</v>
      </c>
      <c r="D310" s="142">
        <f>'[2]Formati 2 Sipas Tavaneve'!F496</f>
        <v>6629.486617427654</v>
      </c>
      <c r="E310" s="142">
        <f>'[2]Formati 2 Sipas Tavaneve'!G496</f>
        <v>6993.1366497048621</v>
      </c>
    </row>
    <row r="311" spans="1:5" ht="15" customHeight="1" thickBot="1" x14ac:dyDescent="0.25">
      <c r="A311" s="173" t="s">
        <v>86</v>
      </c>
      <c r="B311" s="142">
        <f>'[2]Formati 2 Sipas Tavaneve'!D499</f>
        <v>39283.985284589005</v>
      </c>
      <c r="C311" s="142">
        <f>'[2]Formati 2 Sipas Tavaneve'!E499</f>
        <v>41199.392886422153</v>
      </c>
      <c r="D311" s="142">
        <f>'[2]Formati 2 Sipas Tavaneve'!F499</f>
        <v>43774.600076884104</v>
      </c>
      <c r="E311" s="142">
        <f>'[2]Formati 2 Sipas Tavaneve'!G499</f>
        <v>46094.184359352716</v>
      </c>
    </row>
    <row r="312" spans="1:5" ht="15" customHeight="1" thickBot="1" x14ac:dyDescent="0.25">
      <c r="A312" s="173" t="s">
        <v>87</v>
      </c>
      <c r="B312" s="142"/>
      <c r="C312" s="142"/>
      <c r="D312" s="142"/>
      <c r="E312" s="142"/>
    </row>
    <row r="313" spans="1:5" ht="15" customHeight="1" thickBot="1" x14ac:dyDescent="0.25">
      <c r="A313" s="173" t="s">
        <v>88</v>
      </c>
      <c r="B313" s="142">
        <f>'[2]Formati 2 Sipas Tavaneve'!D505</f>
        <v>4754386.7513198759</v>
      </c>
      <c r="C313" s="142">
        <f>'[2]Formati 2 Sipas Tavaneve'!E505</f>
        <v>5002737.0949241584</v>
      </c>
      <c r="D313" s="142">
        <f>'[2]Formati 2 Sipas Tavaneve'!F505</f>
        <v>5247835.2905024672</v>
      </c>
      <c r="E313" s="142">
        <f>'[2]Formati 2 Sipas Tavaneve'!G505</f>
        <v>5519944.6050399197</v>
      </c>
    </row>
    <row r="314" spans="1:5" ht="15" customHeight="1" thickBot="1" x14ac:dyDescent="0.25">
      <c r="A314" s="173" t="s">
        <v>89</v>
      </c>
      <c r="B314" s="142"/>
      <c r="C314" s="142"/>
      <c r="D314" s="142"/>
      <c r="E314" s="142"/>
    </row>
    <row r="315" spans="1:5" ht="15" customHeight="1" thickBot="1" x14ac:dyDescent="0.25">
      <c r="A315" s="173" t="s">
        <v>90</v>
      </c>
      <c r="B315" s="142">
        <f>'[2]Formati 2 Sipas Tavaneve'!D511</f>
        <v>0</v>
      </c>
      <c r="C315" s="142">
        <f>'[2]Formati 2 Sipas Tavaneve'!E511</f>
        <v>0</v>
      </c>
      <c r="D315" s="142">
        <f>'[2]Formati 2 Sipas Tavaneve'!F511</f>
        <v>0</v>
      </c>
      <c r="E315" s="142">
        <f>'[2]Formati 2 Sipas Tavaneve'!G511</f>
        <v>0</v>
      </c>
    </row>
    <row r="316" spans="1:5" ht="15" customHeight="1" thickBot="1" x14ac:dyDescent="0.25">
      <c r="A316" s="180" t="s">
        <v>91</v>
      </c>
      <c r="B316" s="158">
        <f>ROUND(B315+B314+B313+B312+B311+B310+B309,0)</f>
        <v>4837507</v>
      </c>
      <c r="C316" s="158">
        <f>ROUND(C315+C314+C313+C312+C311+C310+C309,0)</f>
        <v>5090929</v>
      </c>
      <c r="D316" s="158">
        <f>ROUND(D315+D314+D313+D312+D311+D310+D309,0)</f>
        <v>5340348</v>
      </c>
      <c r="E316" s="158">
        <f>ROUND(E315+E314+E313+E312+E311+E310+E309,0)</f>
        <v>5617344</v>
      </c>
    </row>
    <row r="317" spans="1:5" ht="12" thickBot="1" x14ac:dyDescent="0.25">
      <c r="A317" s="168" t="s">
        <v>92</v>
      </c>
      <c r="B317" s="160">
        <f>IF(B316-B301=0,0,"Error")</f>
        <v>0</v>
      </c>
      <c r="C317" s="160">
        <f>IF(C316-C301=0,0,"Error")</f>
        <v>0</v>
      </c>
      <c r="D317" s="160">
        <f>IF(D316-D301=0,0,"Error")</f>
        <v>0</v>
      </c>
      <c r="E317" s="160">
        <f>IF(E316-E301=0,0,"Error")</f>
        <v>0</v>
      </c>
    </row>
    <row r="318" spans="1:5" ht="12" thickBot="1" x14ac:dyDescent="0.25">
      <c r="A318" s="156" t="s">
        <v>93</v>
      </c>
      <c r="B318" s="1014" t="e">
        <f>'[2]Formati 2 Sipas Tavaneve'!D519:G519</f>
        <v>#VALUE!</v>
      </c>
      <c r="C318" s="1015"/>
      <c r="D318" s="1015"/>
      <c r="E318" s="1016"/>
    </row>
    <row r="319" spans="1:5" ht="24" customHeight="1" thickBot="1" x14ac:dyDescent="0.25">
      <c r="A319" s="133" t="s">
        <v>72</v>
      </c>
      <c r="B319" s="945" t="e">
        <f>'[2]Formati 2 Sipas Tavaneve'!D520:G520</f>
        <v>#VALUE!</v>
      </c>
      <c r="C319" s="946"/>
      <c r="D319" s="946"/>
      <c r="E319" s="947"/>
    </row>
    <row r="320" spans="1:5" ht="12" thickBot="1" x14ac:dyDescent="0.25">
      <c r="A320" s="133" t="s">
        <v>74</v>
      </c>
      <c r="B320" s="1002" t="e">
        <f>'[2]Formati 2 Sipas Tavaneve'!D521:G521</f>
        <v>#VALUE!</v>
      </c>
      <c r="C320" s="1003"/>
      <c r="D320" s="1003"/>
      <c r="E320" s="1004"/>
    </row>
    <row r="321" spans="1:5" ht="12" thickBot="1" x14ac:dyDescent="0.25">
      <c r="A321" s="133" t="s">
        <v>76</v>
      </c>
      <c r="B321" s="147">
        <f>'[2]Formati 2 Sipas Tavaneve'!D524</f>
        <v>261.51</v>
      </c>
      <c r="C321" s="147">
        <f>'[2]Formati 2 Sipas Tavaneve'!E524</f>
        <v>273.60720000000003</v>
      </c>
      <c r="D321" s="147">
        <f>'[2]Formati 2 Sipas Tavaneve'!F524</f>
        <v>290.02363200000008</v>
      </c>
      <c r="E321" s="147">
        <f>'[2]Formati 2 Sipas Tavaneve'!G524</f>
        <v>307.42504992000011</v>
      </c>
    </row>
    <row r="322" spans="1:5" x14ac:dyDescent="0.2">
      <c r="A322" s="893"/>
      <c r="B322" s="145">
        <v>2018</v>
      </c>
      <c r="C322" s="145">
        <v>2019</v>
      </c>
      <c r="D322" s="145">
        <v>2020</v>
      </c>
      <c r="E322" s="145">
        <v>2021</v>
      </c>
    </row>
    <row r="323" spans="1:5" ht="12" thickBot="1" x14ac:dyDescent="0.25">
      <c r="A323" s="894"/>
      <c r="B323" s="146" t="s">
        <v>41</v>
      </c>
      <c r="C323" s="146" t="s">
        <v>42</v>
      </c>
      <c r="D323" s="146" t="s">
        <v>42</v>
      </c>
      <c r="E323" s="146" t="s">
        <v>42</v>
      </c>
    </row>
    <row r="324" spans="1:5" ht="15" customHeight="1" thickBot="1" x14ac:dyDescent="0.25">
      <c r="A324" s="133" t="s">
        <v>77</v>
      </c>
      <c r="B324" s="147">
        <f>'[2]Formati 2 Sipas Tavaneve'!D525</f>
        <v>85417</v>
      </c>
      <c r="C324" s="147">
        <f>'[2]Formati 2 Sipas Tavaneve'!E525</f>
        <v>94830</v>
      </c>
      <c r="D324" s="147">
        <f>'[2]Formati 2 Sipas Tavaneve'!F525</f>
        <v>102601</v>
      </c>
      <c r="E324" s="147">
        <f>'[2]Formati 2 Sipas Tavaneve'!G525</f>
        <v>111030</v>
      </c>
    </row>
    <row r="325" spans="1:5" ht="15" customHeight="1" thickBot="1" x14ac:dyDescent="0.25">
      <c r="A325" s="133" t="s">
        <v>78</v>
      </c>
      <c r="B325" s="147">
        <f>B324/B321</f>
        <v>326.6299567894153</v>
      </c>
      <c r="C325" s="147">
        <f>C324/C321</f>
        <v>346.59175635728877</v>
      </c>
      <c r="D325" s="147">
        <f>D324/D321</f>
        <v>353.76772331435382</v>
      </c>
      <c r="E325" s="147">
        <f>E324/E321</f>
        <v>361.16120019787866</v>
      </c>
    </row>
    <row r="326" spans="1:5" ht="15" customHeight="1" thickBot="1" x14ac:dyDescent="0.25">
      <c r="A326" s="133" t="s">
        <v>79</v>
      </c>
      <c r="B326" s="148"/>
      <c r="C326" s="149">
        <f>C321/B321-1</f>
        <v>4.6259034071354899E-2</v>
      </c>
      <c r="D326" s="149">
        <f>D321/C321-1</f>
        <v>6.0000000000000053E-2</v>
      </c>
      <c r="E326" s="149">
        <f>E321/D321-1</f>
        <v>6.0000000000000053E-2</v>
      </c>
    </row>
    <row r="327" spans="1:5" ht="15" customHeight="1" thickBot="1" x14ac:dyDescent="0.25">
      <c r="A327" s="133" t="s">
        <v>81</v>
      </c>
      <c r="B327" s="148"/>
      <c r="C327" s="149">
        <f t="shared" ref="C327:E328" si="12">C324/B324-1</f>
        <v>0.11020054555884662</v>
      </c>
      <c r="D327" s="149">
        <f t="shared" si="12"/>
        <v>8.194664135821994E-2</v>
      </c>
      <c r="E327" s="149">
        <f t="shared" si="12"/>
        <v>8.2153195387959288E-2</v>
      </c>
    </row>
    <row r="328" spans="1:5" ht="15" customHeight="1" thickBot="1" x14ac:dyDescent="0.25">
      <c r="A328" s="133" t="s">
        <v>82</v>
      </c>
      <c r="B328" s="148"/>
      <c r="C328" s="149">
        <f t="shared" si="12"/>
        <v>6.1114417563185253E-2</v>
      </c>
      <c r="D328" s="149">
        <f t="shared" si="12"/>
        <v>2.070437863982999E-2</v>
      </c>
      <c r="E328" s="149">
        <f t="shared" si="12"/>
        <v>2.0899240932036989E-2</v>
      </c>
    </row>
    <row r="329" spans="1:5" ht="15" customHeight="1" thickBot="1" x14ac:dyDescent="0.25">
      <c r="A329" s="1005" t="s">
        <v>355</v>
      </c>
      <c r="B329" s="1006"/>
      <c r="C329" s="1006"/>
      <c r="D329" s="1006"/>
      <c r="E329" s="1007"/>
    </row>
    <row r="330" spans="1:5" ht="15" customHeight="1" x14ac:dyDescent="0.2">
      <c r="A330" s="893"/>
      <c r="B330" s="145">
        <v>2018</v>
      </c>
      <c r="C330" s="145">
        <v>2019</v>
      </c>
      <c r="D330" s="145">
        <v>2020</v>
      </c>
      <c r="E330" s="145">
        <v>2021</v>
      </c>
    </row>
    <row r="331" spans="1:5" ht="15" customHeight="1" thickBot="1" x14ac:dyDescent="0.25">
      <c r="A331" s="894"/>
      <c r="B331" s="146" t="s">
        <v>41</v>
      </c>
      <c r="C331" s="146" t="s">
        <v>42</v>
      </c>
      <c r="D331" s="146" t="s">
        <v>42</v>
      </c>
      <c r="E331" s="146" t="s">
        <v>42</v>
      </c>
    </row>
    <row r="332" spans="1:5" ht="15" customHeight="1" thickBot="1" x14ac:dyDescent="0.25">
      <c r="A332" s="173" t="s">
        <v>84</v>
      </c>
      <c r="B332" s="142">
        <f>'[2]Formati 2 Sipas Tavaneve'!D533</f>
        <v>661.16070298266607</v>
      </c>
      <c r="C332" s="142">
        <f>'[2]Formati 2 Sipas Tavaneve'!E533</f>
        <v>756.00932234310085</v>
      </c>
      <c r="D332" s="142">
        <f>'[2]Formati 2 Sipas Tavaneve'!F533</f>
        <v>809.0131588179222</v>
      </c>
      <c r="E332" s="142">
        <f>'[2]Formati 2 Sipas Tavaneve'!G533</f>
        <v>875.86029033354544</v>
      </c>
    </row>
    <row r="333" spans="1:5" ht="15" customHeight="1" thickBot="1" x14ac:dyDescent="0.25">
      <c r="A333" s="173" t="s">
        <v>85</v>
      </c>
      <c r="B333" s="142">
        <f>'[2]Formati 2 Sipas Tavaneve'!D536</f>
        <v>112.86085516218364</v>
      </c>
      <c r="C333" s="142">
        <f>'[2]Formati 2 Sipas Tavaneve'!E536</f>
        <v>119.33648413140469</v>
      </c>
      <c r="D333" s="142">
        <f>'[2]Formati 2 Sipas Tavaneve'!F536</f>
        <v>127.36836914934059</v>
      </c>
      <c r="E333" s="142">
        <f>'[2]Formati 2 Sipas Tavaneve'!G536</f>
        <v>138.22377874763083</v>
      </c>
    </row>
    <row r="334" spans="1:5" ht="15" customHeight="1" thickBot="1" x14ac:dyDescent="0.25">
      <c r="A334" s="173" t="s">
        <v>86</v>
      </c>
      <c r="B334" s="142">
        <f>'[2]Formati 2 Sipas Tavaneve'!D539</f>
        <v>693.64376423732813</v>
      </c>
      <c r="C334" s="142">
        <f>'[2]Formati 2 Sipas Tavaneve'!E539</f>
        <v>767.43515593015047</v>
      </c>
      <c r="D334" s="142">
        <f>'[2]Formati 2 Sipas Tavaneve'!F539</f>
        <v>841.01526161926392</v>
      </c>
      <c r="E334" s="142">
        <f>'[2]Formati 2 Sipas Tavaneve'!G539</f>
        <v>911.08077241827823</v>
      </c>
    </row>
    <row r="335" spans="1:5" ht="15" customHeight="1" thickBot="1" x14ac:dyDescent="0.25">
      <c r="A335" s="173" t="s">
        <v>87</v>
      </c>
      <c r="B335" s="142"/>
      <c r="C335" s="142"/>
      <c r="D335" s="142"/>
      <c r="E335" s="142"/>
    </row>
    <row r="336" spans="1:5" ht="15" customHeight="1" thickBot="1" x14ac:dyDescent="0.25">
      <c r="A336" s="173" t="s">
        <v>88</v>
      </c>
      <c r="B336" s="142">
        <f>'[2]Formati 2 Sipas Tavaneve'!D545</f>
        <v>83948.985800056762</v>
      </c>
      <c r="C336" s="142">
        <f>'[2]Formati 2 Sipas Tavaneve'!E545</f>
        <v>93187.691699844378</v>
      </c>
      <c r="D336" s="142">
        <f>'[2]Formati 2 Sipas Tavaneve'!F545</f>
        <v>100823.52693171409</v>
      </c>
      <c r="E336" s="142">
        <f>'[2]Formati 2 Sipas Tavaneve'!G545</f>
        <v>109105.2041458989</v>
      </c>
    </row>
    <row r="337" spans="1:5" ht="15" customHeight="1" thickBot="1" x14ac:dyDescent="0.25">
      <c r="A337" s="173" t="s">
        <v>89</v>
      </c>
      <c r="B337" s="142"/>
      <c r="C337" s="142"/>
      <c r="D337" s="142"/>
      <c r="E337" s="142"/>
    </row>
    <row r="338" spans="1:5" ht="15" customHeight="1" thickBot="1" x14ac:dyDescent="0.25">
      <c r="A338" s="173" t="s">
        <v>90</v>
      </c>
      <c r="B338" s="142"/>
      <c r="C338" s="142"/>
      <c r="D338" s="142"/>
      <c r="E338" s="142"/>
    </row>
    <row r="339" spans="1:5" ht="15" customHeight="1" thickBot="1" x14ac:dyDescent="0.25">
      <c r="A339" s="180" t="s">
        <v>98</v>
      </c>
      <c r="B339" s="158">
        <f>ROUND(B338+B337+B336+B335+B334+B333+B332,0)</f>
        <v>85417</v>
      </c>
      <c r="C339" s="158">
        <f>ROUND(C338+C337+C336+C335+C334+C333+C332,0)</f>
        <v>94830</v>
      </c>
      <c r="D339" s="158">
        <f>ROUND(D338+D337+D336+D335+D334+D333+D332,0)</f>
        <v>102601</v>
      </c>
      <c r="E339" s="158">
        <f>ROUND(E338+E337+E336+E335+E334+E333+E332,0)</f>
        <v>111030</v>
      </c>
    </row>
    <row r="340" spans="1:5" ht="15" customHeight="1" thickBot="1" x14ac:dyDescent="0.25">
      <c r="A340" s="168" t="s">
        <v>92</v>
      </c>
      <c r="B340" s="160">
        <f>IF(B339-B324=0,0,"Error")</f>
        <v>0</v>
      </c>
      <c r="C340" s="160">
        <f>IF(C339-C324=0,0,"Error")</f>
        <v>0</v>
      </c>
      <c r="D340" s="160">
        <f>IF(D339-D324=0,0,"Error")</f>
        <v>0</v>
      </c>
      <c r="E340" s="160">
        <f>IF(E339-E324=0,0,"Error")</f>
        <v>0</v>
      </c>
    </row>
    <row r="341" spans="1:5" ht="21.75" customHeight="1" thickBot="1" x14ac:dyDescent="0.25">
      <c r="A341" s="156" t="s">
        <v>99</v>
      </c>
      <c r="B341" s="1014" t="e">
        <f>'[2]Formati 2 Sipas Tavaneve'!D559:G559</f>
        <v>#VALUE!</v>
      </c>
      <c r="C341" s="1015"/>
      <c r="D341" s="1015"/>
      <c r="E341" s="1016"/>
    </row>
    <row r="342" spans="1:5" ht="27" customHeight="1" thickBot="1" x14ac:dyDescent="0.25">
      <c r="A342" s="133" t="s">
        <v>72</v>
      </c>
      <c r="B342" s="945" t="e">
        <f>'[2]Formati 2 Sipas Tavaneve'!D560:G560</f>
        <v>#VALUE!</v>
      </c>
      <c r="C342" s="946"/>
      <c r="D342" s="946"/>
      <c r="E342" s="947"/>
    </row>
    <row r="343" spans="1:5" ht="15.75" customHeight="1" thickBot="1" x14ac:dyDescent="0.25">
      <c r="A343" s="133" t="s">
        <v>74</v>
      </c>
      <c r="B343" s="1002" t="e">
        <f>'[2]Formati 2 Sipas Tavaneve'!D561:G561</f>
        <v>#VALUE!</v>
      </c>
      <c r="C343" s="1003"/>
      <c r="D343" s="1003"/>
      <c r="E343" s="1004"/>
    </row>
    <row r="344" spans="1:5" ht="15.75" customHeight="1" thickBot="1" x14ac:dyDescent="0.25">
      <c r="A344" s="133" t="s">
        <v>76</v>
      </c>
      <c r="B344" s="147">
        <f>'[2]Formati 2 Sipas Tavaneve'!D564</f>
        <v>4209.4799999999996</v>
      </c>
      <c r="C344" s="147">
        <f>'[2]Formati 2 Sipas Tavaneve'!E564</f>
        <v>3444.69</v>
      </c>
      <c r="D344" s="147">
        <f>'[2]Formati 2 Sipas Tavaneve'!F564</f>
        <v>3427.4665500000001</v>
      </c>
      <c r="E344" s="147">
        <f>'[2]Formati 2 Sipas Tavaneve'!G564</f>
        <v>3410.3292172500001</v>
      </c>
    </row>
    <row r="345" spans="1:5" ht="15.75" customHeight="1" x14ac:dyDescent="0.2">
      <c r="A345" s="893"/>
      <c r="B345" s="145">
        <v>2018</v>
      </c>
      <c r="C345" s="145">
        <v>2019</v>
      </c>
      <c r="D345" s="145">
        <v>2020</v>
      </c>
      <c r="E345" s="145">
        <v>2021</v>
      </c>
    </row>
    <row r="346" spans="1:5" ht="15.75" customHeight="1" thickBot="1" x14ac:dyDescent="0.25">
      <c r="A346" s="894"/>
      <c r="B346" s="146" t="s">
        <v>41</v>
      </c>
      <c r="C346" s="146" t="s">
        <v>42</v>
      </c>
      <c r="D346" s="146" t="s">
        <v>42</v>
      </c>
      <c r="E346" s="146" t="s">
        <v>42</v>
      </c>
    </row>
    <row r="347" spans="1:5" ht="15.75" customHeight="1" thickBot="1" x14ac:dyDescent="0.25">
      <c r="A347" s="133" t="s">
        <v>77</v>
      </c>
      <c r="B347" s="147">
        <f>'[2]Formati 2 Sipas Tavaneve'!D565</f>
        <v>145427</v>
      </c>
      <c r="C347" s="147">
        <f>C362</f>
        <v>128622</v>
      </c>
      <c r="D347" s="147">
        <f>D362</f>
        <v>101777</v>
      </c>
      <c r="E347" s="147">
        <f>E362</f>
        <v>73699</v>
      </c>
    </row>
    <row r="348" spans="1:5" ht="15.75" customHeight="1" thickBot="1" x14ac:dyDescent="0.25">
      <c r="A348" s="133" t="s">
        <v>78</v>
      </c>
      <c r="B348" s="147">
        <f>B347/B344</f>
        <v>34.547497553141959</v>
      </c>
      <c r="C348" s="147">
        <f>C347/C344</f>
        <v>37.339209043484317</v>
      </c>
      <c r="D348" s="147">
        <f>D347/D344</f>
        <v>29.694527580436926</v>
      </c>
      <c r="E348" s="147">
        <f>E347/E344</f>
        <v>21.610523590279339</v>
      </c>
    </row>
    <row r="349" spans="1:5" ht="15.75" customHeight="1" thickBot="1" x14ac:dyDescent="0.25">
      <c r="A349" s="133" t="s">
        <v>79</v>
      </c>
      <c r="B349" s="148"/>
      <c r="C349" s="149">
        <f>C344/B344-1</f>
        <v>-0.18168277316913239</v>
      </c>
      <c r="D349" s="149">
        <f>D344/C344-1</f>
        <v>-5.0000000000000044E-3</v>
      </c>
      <c r="E349" s="149">
        <f>E344/D344-1</f>
        <v>-5.0000000000000044E-3</v>
      </c>
    </row>
    <row r="350" spans="1:5" ht="15.75" customHeight="1" thickBot="1" x14ac:dyDescent="0.25">
      <c r="A350" s="133" t="s">
        <v>81</v>
      </c>
      <c r="B350" s="148"/>
      <c r="C350" s="149">
        <f t="shared" ref="C350:E351" si="13">C347/B347-1</f>
        <v>-0.11555625846644713</v>
      </c>
      <c r="D350" s="149">
        <f t="shared" si="13"/>
        <v>-0.20871235091974938</v>
      </c>
      <c r="E350" s="149">
        <f t="shared" si="13"/>
        <v>-0.27587765408687626</v>
      </c>
    </row>
    <row r="351" spans="1:5" ht="15.75" customHeight="1" thickBot="1" x14ac:dyDescent="0.25">
      <c r="A351" s="133" t="s">
        <v>82</v>
      </c>
      <c r="B351" s="148"/>
      <c r="C351" s="149">
        <f t="shared" si="13"/>
        <v>8.0807922080262662E-2</v>
      </c>
      <c r="D351" s="149">
        <f t="shared" si="13"/>
        <v>-0.20473603107512495</v>
      </c>
      <c r="E351" s="149">
        <f t="shared" si="13"/>
        <v>-0.27223884832851886</v>
      </c>
    </row>
    <row r="352" spans="1:5" ht="15.75" customHeight="1" thickBot="1" x14ac:dyDescent="0.25">
      <c r="A352" s="1005" t="s">
        <v>359</v>
      </c>
      <c r="B352" s="1006"/>
      <c r="C352" s="1006"/>
      <c r="D352" s="1006"/>
      <c r="E352" s="1007"/>
    </row>
    <row r="353" spans="1:5" ht="15.75" customHeight="1" x14ac:dyDescent="0.2">
      <c r="A353" s="893"/>
      <c r="B353" s="145">
        <v>2018</v>
      </c>
      <c r="C353" s="145">
        <v>2019</v>
      </c>
      <c r="D353" s="145">
        <v>2020</v>
      </c>
      <c r="E353" s="145">
        <v>2021</v>
      </c>
    </row>
    <row r="354" spans="1:5" ht="15.75" customHeight="1" thickBot="1" x14ac:dyDescent="0.25">
      <c r="A354" s="894"/>
      <c r="B354" s="146" t="s">
        <v>41</v>
      </c>
      <c r="C354" s="146" t="s">
        <v>42</v>
      </c>
      <c r="D354" s="146" t="s">
        <v>42</v>
      </c>
      <c r="E354" s="146" t="s">
        <v>42</v>
      </c>
    </row>
    <row r="355" spans="1:5" ht="15.75" customHeight="1" thickBot="1" x14ac:dyDescent="0.25">
      <c r="A355" s="173" t="s">
        <v>84</v>
      </c>
      <c r="B355" s="142">
        <f>'[2]Formati 2 Sipas Tavaneve'!D573</f>
        <v>1125.6649280590875</v>
      </c>
      <c r="C355" s="142">
        <f>'[2]Formati 2 Sipas Tavaneve'!E573</f>
        <v>1020.3736023978699</v>
      </c>
      <c r="D355" s="142">
        <f>'[2]Formati 2 Sipas Tavaneve'!F573</f>
        <v>1034.2954723480539</v>
      </c>
      <c r="E355" s="142">
        <f>'[2]Formati 2 Sipas Tavaneve'!G573</f>
        <v>1060.4754022270015</v>
      </c>
    </row>
    <row r="356" spans="1:5" ht="15.75" customHeight="1" thickBot="1" x14ac:dyDescent="0.25">
      <c r="A356" s="173" t="s">
        <v>85</v>
      </c>
      <c r="B356" s="142">
        <f>'[2]Formati 2 Sipas Tavaneve'!D576</f>
        <v>192.15223444723892</v>
      </c>
      <c r="C356" s="142">
        <f>'[2]Formati 2 Sipas Tavaneve'!E576</f>
        <v>161.06653001746398</v>
      </c>
      <c r="D356" s="142">
        <f>'[2]Formati 2 Sipas Tavaneve'!F576</f>
        <v>162.83607515606226</v>
      </c>
      <c r="E356" s="142">
        <f>'[2]Formati 2 Sipas Tavaneve'!G576</f>
        <v>167.35878881882874</v>
      </c>
    </row>
    <row r="357" spans="1:5" ht="15.75" customHeight="1" thickBot="1" x14ac:dyDescent="0.25">
      <c r="A357" s="173" t="s">
        <v>86</v>
      </c>
      <c r="B357" s="142">
        <f>'[2]Formati 2 Sipas Tavaneve'!D579</f>
        <v>1180.9692476373896</v>
      </c>
      <c r="C357" s="142">
        <f>'[2]Formati 2 Sipas Tavaneve'!E579</f>
        <v>1035.7948659101805</v>
      </c>
      <c r="D357" s="142">
        <f>'[2]Formati 2 Sipas Tavaneve'!F579</f>
        <v>1075.2090590706825</v>
      </c>
      <c r="E357" s="142">
        <f>'[2]Formati 2 Sipas Tavaneve'!G579</f>
        <v>1103.1197089933376</v>
      </c>
    </row>
    <row r="358" spans="1:5" ht="15.75" customHeight="1" thickBot="1" x14ac:dyDescent="0.25">
      <c r="A358" s="173" t="s">
        <v>87</v>
      </c>
      <c r="B358" s="142"/>
      <c r="C358" s="142"/>
      <c r="D358" s="142"/>
      <c r="E358" s="142"/>
    </row>
    <row r="359" spans="1:5" ht="15.75" customHeight="1" thickBot="1" x14ac:dyDescent="0.25">
      <c r="A359" s="173" t="s">
        <v>88</v>
      </c>
      <c r="B359" s="142">
        <f>'[2]Formati 2 Sipas Tavaneve'!D585</f>
        <v>142928.07880890006</v>
      </c>
      <c r="C359" s="142">
        <f>'[2]Formati 2 Sipas Tavaneve'!E585+631</f>
        <v>126404.92615240683</v>
      </c>
      <c r="D359" s="142">
        <f>'[2]Formati 2 Sipas Tavaneve'!F585-29395</f>
        <v>99504.408217294142</v>
      </c>
      <c r="E359" s="142">
        <f>'[2]Formati 2 Sipas Tavaneve'!G585-60735</f>
        <v>71367.558511493902</v>
      </c>
    </row>
    <row r="360" spans="1:5" ht="15.75" customHeight="1" thickBot="1" x14ac:dyDescent="0.25">
      <c r="A360" s="173" t="s">
        <v>89</v>
      </c>
      <c r="B360" s="142"/>
      <c r="C360" s="142"/>
      <c r="D360" s="142"/>
      <c r="E360" s="142"/>
    </row>
    <row r="361" spans="1:5" ht="15.75" customHeight="1" thickBot="1" x14ac:dyDescent="0.25">
      <c r="A361" s="173" t="s">
        <v>90</v>
      </c>
      <c r="B361" s="142"/>
      <c r="C361" s="142"/>
      <c r="D361" s="142"/>
      <c r="E361" s="142"/>
    </row>
    <row r="362" spans="1:5" ht="15.75" customHeight="1" thickBot="1" x14ac:dyDescent="0.25">
      <c r="A362" s="180" t="s">
        <v>103</v>
      </c>
      <c r="B362" s="158">
        <f>ROUND(B361+B360+B359+B358+B357+B356+B355,0)</f>
        <v>145427</v>
      </c>
      <c r="C362" s="158">
        <f>ROUND(C361+C360+C359+C358+C357+C356+C355,0)</f>
        <v>128622</v>
      </c>
      <c r="D362" s="158">
        <f>ROUND(D361+D360+D359+D358+D357+D356+D355,0)</f>
        <v>101777</v>
      </c>
      <c r="E362" s="158">
        <f>ROUND(E361+E360+E359+E358+E357+E356+E355,0)</f>
        <v>73699</v>
      </c>
    </row>
    <row r="363" spans="1:5" ht="15.75" customHeight="1" thickBot="1" x14ac:dyDescent="0.25">
      <c r="A363" s="168" t="s">
        <v>92</v>
      </c>
      <c r="B363" s="160">
        <f>IF(B362-B347=0,0,"Error")</f>
        <v>0</v>
      </c>
      <c r="C363" s="160">
        <f>IF(C362-C347=0,0,"Error")</f>
        <v>0</v>
      </c>
      <c r="D363" s="160">
        <f>IF(D362-D347=0,0,"Error")</f>
        <v>0</v>
      </c>
      <c r="E363" s="160">
        <f>IF(E362-E347=0,0,"Error")</f>
        <v>0</v>
      </c>
    </row>
    <row r="364" spans="1:5" ht="18.75" customHeight="1" thickBot="1" x14ac:dyDescent="0.25">
      <c r="A364" s="156" t="s">
        <v>115</v>
      </c>
      <c r="B364" s="1014" t="e">
        <f>'[2]Formati 2 Sipas Tavaneve'!D599:G599</f>
        <v>#VALUE!</v>
      </c>
      <c r="C364" s="1015"/>
      <c r="D364" s="1015"/>
      <c r="E364" s="1016"/>
    </row>
    <row r="365" spans="1:5" ht="15" customHeight="1" thickBot="1" x14ac:dyDescent="0.25">
      <c r="A365" s="133" t="s">
        <v>72</v>
      </c>
      <c r="B365" s="945" t="e">
        <f>'[2]Formati 2 Sipas Tavaneve'!D600:G600</f>
        <v>#VALUE!</v>
      </c>
      <c r="C365" s="946"/>
      <c r="D365" s="946"/>
      <c r="E365" s="947"/>
    </row>
    <row r="366" spans="1:5" ht="15" customHeight="1" thickBot="1" x14ac:dyDescent="0.25">
      <c r="A366" s="133" t="s">
        <v>74</v>
      </c>
      <c r="B366" s="1002" t="e">
        <f>'[2]Formati 2 Sipas Tavaneve'!D601:G601</f>
        <v>#VALUE!</v>
      </c>
      <c r="C366" s="1003"/>
      <c r="D366" s="1003"/>
      <c r="E366" s="1004"/>
    </row>
    <row r="367" spans="1:5" ht="15" customHeight="1" thickBot="1" x14ac:dyDescent="0.25">
      <c r="A367" s="133" t="s">
        <v>76</v>
      </c>
      <c r="B367" s="147">
        <f>'[2]Formati 2 Sipas Tavaneve'!D604</f>
        <v>495.99</v>
      </c>
      <c r="C367" s="147">
        <f>'[2]Formati 2 Sipas Tavaneve'!E604</f>
        <v>503.55360000000002</v>
      </c>
      <c r="D367" s="147">
        <f>'[2]Formati 2 Sipas Tavaneve'!F604</f>
        <v>513.62467200000003</v>
      </c>
      <c r="E367" s="147">
        <f>'[2]Formati 2 Sipas Tavaneve'!G604</f>
        <v>523.89716544000009</v>
      </c>
    </row>
    <row r="368" spans="1:5" ht="15" customHeight="1" x14ac:dyDescent="0.2">
      <c r="A368" s="893"/>
      <c r="B368" s="145">
        <v>2018</v>
      </c>
      <c r="C368" s="145">
        <v>2019</v>
      </c>
      <c r="D368" s="145">
        <v>2020</v>
      </c>
      <c r="E368" s="145">
        <v>2021</v>
      </c>
    </row>
    <row r="369" spans="1:5" ht="15" customHeight="1" thickBot="1" x14ac:dyDescent="0.25">
      <c r="A369" s="894"/>
      <c r="B369" s="146" t="s">
        <v>41</v>
      </c>
      <c r="C369" s="146" t="s">
        <v>42</v>
      </c>
      <c r="D369" s="146" t="s">
        <v>42</v>
      </c>
      <c r="E369" s="146" t="s">
        <v>42</v>
      </c>
    </row>
    <row r="370" spans="1:5" ht="15" customHeight="1" thickBot="1" x14ac:dyDescent="0.25">
      <c r="A370" s="133" t="s">
        <v>77</v>
      </c>
      <c r="B370" s="147">
        <f>'[2]Formati 2 Sipas Tavaneve'!D605</f>
        <v>41291</v>
      </c>
      <c r="C370" s="147">
        <f>'[2]Formati 2 Sipas Tavaneve'!E605</f>
        <v>43044</v>
      </c>
      <c r="D370" s="147">
        <f>'[2]Formati 2 Sipas Tavaneve'!F605</f>
        <v>43905</v>
      </c>
      <c r="E370" s="147">
        <f>'[2]Formati 2 Sipas Tavaneve'!G605</f>
        <v>44784</v>
      </c>
    </row>
    <row r="371" spans="1:5" ht="15" customHeight="1" thickBot="1" x14ac:dyDescent="0.25">
      <c r="A371" s="133" t="s">
        <v>78</v>
      </c>
      <c r="B371" s="147">
        <f>B370/B367</f>
        <v>83.24966229157846</v>
      </c>
      <c r="C371" s="147">
        <f>C370/C367</f>
        <v>85.480473181007937</v>
      </c>
      <c r="D371" s="147">
        <f>D370/D367</f>
        <v>85.480706814644606</v>
      </c>
      <c r="E371" s="147">
        <f>E370/E367</f>
        <v>85.482424709031832</v>
      </c>
    </row>
    <row r="372" spans="1:5" ht="15" customHeight="1" thickBot="1" x14ac:dyDescent="0.25">
      <c r="A372" s="133" t="s">
        <v>79</v>
      </c>
      <c r="B372" s="148"/>
      <c r="C372" s="149">
        <f>C367/B367-1</f>
        <v>1.524950099800404E-2</v>
      </c>
      <c r="D372" s="149">
        <f>D367/C367-1</f>
        <v>2.0000000000000018E-2</v>
      </c>
      <c r="E372" s="149">
        <f>E367/D367-1</f>
        <v>2.0000000000000018E-2</v>
      </c>
    </row>
    <row r="373" spans="1:5" ht="15" customHeight="1" thickBot="1" x14ac:dyDescent="0.25">
      <c r="A373" s="133" t="s">
        <v>81</v>
      </c>
      <c r="B373" s="148"/>
      <c r="C373" s="149">
        <f t="shared" ref="C373:E374" si="14">C370/B370-1</f>
        <v>4.2454772226393267E-2</v>
      </c>
      <c r="D373" s="149">
        <f t="shared" si="14"/>
        <v>2.0002787844995762E-2</v>
      </c>
      <c r="E373" s="149">
        <f t="shared" si="14"/>
        <v>2.0020498804236508E-2</v>
      </c>
    </row>
    <row r="374" spans="1:5" ht="15" customHeight="1" thickBot="1" x14ac:dyDescent="0.25">
      <c r="A374" s="133" t="s">
        <v>82</v>
      </c>
      <c r="B374" s="148"/>
      <c r="C374" s="149">
        <f t="shared" si="14"/>
        <v>2.6796635902451627E-2</v>
      </c>
      <c r="D374" s="149">
        <f t="shared" si="14"/>
        <v>2.7331813685638195E-6</v>
      </c>
      <c r="E374" s="149">
        <f t="shared" si="14"/>
        <v>2.0096866898411392E-5</v>
      </c>
    </row>
    <row r="375" spans="1:5" ht="15" customHeight="1" thickBot="1" x14ac:dyDescent="0.25">
      <c r="A375" s="1005" t="s">
        <v>363</v>
      </c>
      <c r="B375" s="1006"/>
      <c r="C375" s="1006"/>
      <c r="D375" s="1006"/>
      <c r="E375" s="1007"/>
    </row>
    <row r="376" spans="1:5" ht="15" customHeight="1" x14ac:dyDescent="0.2">
      <c r="A376" s="893"/>
      <c r="B376" s="145">
        <v>2018</v>
      </c>
      <c r="C376" s="145">
        <v>2019</v>
      </c>
      <c r="D376" s="145">
        <v>2020</v>
      </c>
      <c r="E376" s="145">
        <v>2021</v>
      </c>
    </row>
    <row r="377" spans="1:5" ht="15" customHeight="1" thickBot="1" x14ac:dyDescent="0.25">
      <c r="A377" s="894"/>
      <c r="B377" s="146" t="s">
        <v>41</v>
      </c>
      <c r="C377" s="146" t="s">
        <v>42</v>
      </c>
      <c r="D377" s="146" t="s">
        <v>42</v>
      </c>
      <c r="E377" s="146" t="s">
        <v>42</v>
      </c>
    </row>
    <row r="378" spans="1:5" ht="15" customHeight="1" thickBot="1" x14ac:dyDescent="0.25">
      <c r="A378" s="173" t="s">
        <v>84</v>
      </c>
      <c r="B378" s="142">
        <f>'[2]Formati 2 Sipas Tavaneve'!D613</f>
        <v>319.61142587675141</v>
      </c>
      <c r="C378" s="142">
        <f>'[2]Formati 2 Sipas Tavaneve'!E613</f>
        <v>343.15757319703442</v>
      </c>
      <c r="D378" s="142">
        <f>'[2]Formati 2 Sipas Tavaneve'!F613</f>
        <v>346.19346300322769</v>
      </c>
      <c r="E378" s="142">
        <f>'[2]Formati 2 Sipas Tavaneve'!G613</f>
        <v>353.27646439616348</v>
      </c>
    </row>
    <row r="379" spans="1:5" ht="15" customHeight="1" thickBot="1" x14ac:dyDescent="0.25">
      <c r="A379" s="173" t="s">
        <v>85</v>
      </c>
      <c r="B379" s="142">
        <f>'[2]Formati 2 Sipas Tavaneve'!D616</f>
        <v>54.558019981113027</v>
      </c>
      <c r="C379" s="142">
        <f>'[2]Formati 2 Sipas Tavaneve'!E616</f>
        <v>54.167610210782939</v>
      </c>
      <c r="D379" s="142">
        <f>'[2]Formati 2 Sipas Tavaneve'!F616</f>
        <v>54.50355944433727</v>
      </c>
      <c r="E379" s="142">
        <f>'[2]Formati 2 Sipas Tavaneve'!G616</f>
        <v>55.752279661913512</v>
      </c>
    </row>
    <row r="380" spans="1:5" ht="15" customHeight="1" thickBot="1" x14ac:dyDescent="0.25">
      <c r="A380" s="173" t="s">
        <v>86</v>
      </c>
      <c r="B380" s="142">
        <f>'[2]Formati 2 Sipas Tavaneve'!D619</f>
        <v>335.31404927467679</v>
      </c>
      <c r="C380" s="142">
        <f>'[2]Formati 2 Sipas Tavaneve'!E619</f>
        <v>348.34383374913074</v>
      </c>
      <c r="D380" s="142">
        <f>'[2]Formati 2 Sipas Tavaneve'!F619</f>
        <v>359.88782467265918</v>
      </c>
      <c r="E380" s="142">
        <f>'[2]Formati 2 Sipas Tavaneve'!G619</f>
        <v>367.48257411770874</v>
      </c>
    </row>
    <row r="381" spans="1:5" ht="15" customHeight="1" thickBot="1" x14ac:dyDescent="0.25">
      <c r="A381" s="173" t="s">
        <v>87</v>
      </c>
      <c r="B381" s="142"/>
      <c r="C381" s="142"/>
      <c r="D381" s="142"/>
      <c r="E381" s="142"/>
    </row>
    <row r="382" spans="1:5" ht="15" customHeight="1" thickBot="1" x14ac:dyDescent="0.25">
      <c r="A382" s="173" t="s">
        <v>88</v>
      </c>
      <c r="B382" s="142">
        <f>'[2]Formati 2 Sipas Tavaneve'!D625</f>
        <v>40581.744999999995</v>
      </c>
      <c r="C382" s="142">
        <f>'[2]Formati 2 Sipas Tavaneve'!E625</f>
        <v>42298.502400000005</v>
      </c>
      <c r="D382" s="142">
        <f>'[2]Formati 2 Sipas Tavaneve'!F625</f>
        <v>43144.472448000008</v>
      </c>
      <c r="E382" s="142">
        <f>'[2]Formati 2 Sipas Tavaneve'!G625</f>
        <v>44007.361896960007</v>
      </c>
    </row>
    <row r="383" spans="1:5" ht="15" customHeight="1" thickBot="1" x14ac:dyDescent="0.25">
      <c r="A383" s="173" t="s">
        <v>89</v>
      </c>
      <c r="B383" s="142"/>
      <c r="C383" s="142"/>
      <c r="D383" s="142"/>
      <c r="E383" s="142"/>
    </row>
    <row r="384" spans="1:5" ht="15" customHeight="1" thickBot="1" x14ac:dyDescent="0.25">
      <c r="A384" s="173" t="s">
        <v>90</v>
      </c>
      <c r="B384" s="142"/>
      <c r="C384" s="142"/>
      <c r="D384" s="142"/>
      <c r="E384" s="142"/>
    </row>
    <row r="385" spans="1:5" ht="15" customHeight="1" thickBot="1" x14ac:dyDescent="0.25">
      <c r="A385" s="180" t="s">
        <v>262</v>
      </c>
      <c r="B385" s="158">
        <f>ROUND(B384+B383+B382+B381+B380+B379+B378,0)</f>
        <v>41291</v>
      </c>
      <c r="C385" s="158">
        <f>ROUND(C384+C383+C382+C381+C380+C379+C378,0)</f>
        <v>43044</v>
      </c>
      <c r="D385" s="158">
        <f>ROUND(D384+D383+D382+D381+D380+D379+D378,0)</f>
        <v>43905</v>
      </c>
      <c r="E385" s="158">
        <f>ROUND(E384+E383+E382+E381+E380+E379+E378,0)</f>
        <v>44784</v>
      </c>
    </row>
    <row r="386" spans="1:5" ht="12" thickBot="1" x14ac:dyDescent="0.25">
      <c r="A386" s="168" t="s">
        <v>92</v>
      </c>
      <c r="B386" s="160">
        <f>IF(B385-B370=0,0,"Error")</f>
        <v>0</v>
      </c>
      <c r="C386" s="160">
        <f>IF(C385-C370=0,0,"Error")</f>
        <v>0</v>
      </c>
      <c r="D386" s="160">
        <f>IF(D385-D370=0,0,"Error")</f>
        <v>0</v>
      </c>
      <c r="E386" s="160">
        <f>IF(E385-E370=0,0,"Error")</f>
        <v>0</v>
      </c>
    </row>
    <row r="387" spans="1:5" ht="15.75" customHeight="1" thickBot="1" x14ac:dyDescent="0.25">
      <c r="A387" s="156" t="s">
        <v>264</v>
      </c>
      <c r="B387" s="1014" t="e">
        <f>'[2]Formati 2 Sipas Tavaneve'!D639:G639</f>
        <v>#VALUE!</v>
      </c>
      <c r="C387" s="1015"/>
      <c r="D387" s="1015"/>
      <c r="E387" s="1016"/>
    </row>
    <row r="388" spans="1:5" ht="24" customHeight="1" thickBot="1" x14ac:dyDescent="0.25">
      <c r="A388" s="133" t="s">
        <v>72</v>
      </c>
      <c r="B388" s="945" t="e">
        <f>'[2]Formati 2 Sipas Tavaneve'!D640:G640</f>
        <v>#VALUE!</v>
      </c>
      <c r="C388" s="946"/>
      <c r="D388" s="946"/>
      <c r="E388" s="947"/>
    </row>
    <row r="389" spans="1:5" ht="15.75" customHeight="1" thickBot="1" x14ac:dyDescent="0.25">
      <c r="A389" s="133" t="s">
        <v>74</v>
      </c>
      <c r="B389" s="1002" t="s">
        <v>631</v>
      </c>
      <c r="C389" s="1003"/>
      <c r="D389" s="1003"/>
      <c r="E389" s="1004"/>
    </row>
    <row r="390" spans="1:5" ht="15.75" customHeight="1" thickBot="1" x14ac:dyDescent="0.25">
      <c r="A390" s="133" t="s">
        <v>76</v>
      </c>
      <c r="B390" s="147">
        <f>'[2]Formati 2 Sipas Tavaneve'!D644</f>
        <v>350532.01792951749</v>
      </c>
      <c r="C390" s="147">
        <f>'[2]Formati 2 Sipas Tavaneve'!E644</f>
        <v>344079</v>
      </c>
      <c r="D390" s="147">
        <f>'[2]Formati 2 Sipas Tavaneve'!F644</f>
        <v>326503</v>
      </c>
      <c r="E390" s="147">
        <f>'[2]Formati 2 Sipas Tavaneve'!G644</f>
        <v>309835</v>
      </c>
    </row>
    <row r="391" spans="1:5" ht="15.75" customHeight="1" x14ac:dyDescent="0.2">
      <c r="A391" s="893"/>
      <c r="B391" s="145">
        <v>2018</v>
      </c>
      <c r="C391" s="145">
        <v>2019</v>
      </c>
      <c r="D391" s="145">
        <v>2020</v>
      </c>
      <c r="E391" s="145">
        <v>2021</v>
      </c>
    </row>
    <row r="392" spans="1:5" ht="15.75" customHeight="1" thickBot="1" x14ac:dyDescent="0.25">
      <c r="A392" s="894"/>
      <c r="B392" s="146" t="s">
        <v>41</v>
      </c>
      <c r="C392" s="146" t="s">
        <v>42</v>
      </c>
      <c r="D392" s="146" t="s">
        <v>42</v>
      </c>
      <c r="E392" s="146" t="s">
        <v>42</v>
      </c>
    </row>
    <row r="393" spans="1:5" ht="15.75" customHeight="1" thickBot="1" x14ac:dyDescent="0.25">
      <c r="A393" s="133" t="s">
        <v>77</v>
      </c>
      <c r="B393" s="147">
        <f>'[2]Formati 2 Sipas Tavaneve'!D645</f>
        <v>7793918</v>
      </c>
      <c r="C393" s="147">
        <f>'[2]Formati 2 Sipas Tavaneve'!E645</f>
        <v>4589015</v>
      </c>
      <c r="D393" s="147">
        <f>'[2]Formati 2 Sipas Tavaneve'!F645</f>
        <v>4418220</v>
      </c>
      <c r="E393" s="147">
        <f>'[2]Formati 2 Sipas Tavaneve'!G645</f>
        <v>4254680</v>
      </c>
    </row>
    <row r="394" spans="1:5" ht="15.75" customHeight="1" thickBot="1" x14ac:dyDescent="0.25">
      <c r="A394" s="133" t="s">
        <v>78</v>
      </c>
      <c r="B394" s="147">
        <f>B393/B390</f>
        <v>22.234539503798327</v>
      </c>
      <c r="C394" s="147">
        <f>C393/C390</f>
        <v>13.337097003885736</v>
      </c>
      <c r="D394" s="147">
        <f>D393/D390</f>
        <v>13.531943044933737</v>
      </c>
      <c r="E394" s="147">
        <f>E393/E390</f>
        <v>13.732083205577162</v>
      </c>
    </row>
    <row r="395" spans="1:5" ht="15.75" customHeight="1" thickBot="1" x14ac:dyDescent="0.25">
      <c r="A395" s="133" t="s">
        <v>79</v>
      </c>
      <c r="B395" s="148"/>
      <c r="C395" s="149">
        <f>C390/B390-1</f>
        <v>-1.8409211140350101E-2</v>
      </c>
      <c r="D395" s="149">
        <f>D390/C390-1</f>
        <v>-5.10812923776226E-2</v>
      </c>
      <c r="E395" s="149">
        <f>E390/D390-1</f>
        <v>-5.1050066921283999E-2</v>
      </c>
    </row>
    <row r="396" spans="1:5" ht="15.75" customHeight="1" thickBot="1" x14ac:dyDescent="0.25">
      <c r="A396" s="133" t="s">
        <v>81</v>
      </c>
      <c r="B396" s="148"/>
      <c r="C396" s="149">
        <f t="shared" ref="C396:E397" si="15">C393/B393-1</f>
        <v>-0.41120563495792484</v>
      </c>
      <c r="D396" s="149">
        <f t="shared" si="15"/>
        <v>-3.721822656931828E-2</v>
      </c>
      <c r="E396" s="149">
        <f t="shared" si="15"/>
        <v>-3.7014906455540952E-2</v>
      </c>
    </row>
    <row r="397" spans="1:5" ht="15.75" customHeight="1" thickBot="1" x14ac:dyDescent="0.25">
      <c r="A397" s="133" t="s">
        <v>82</v>
      </c>
      <c r="B397" s="148"/>
      <c r="C397" s="149">
        <f t="shared" si="15"/>
        <v>-0.40016311101890101</v>
      </c>
      <c r="D397" s="149">
        <f t="shared" si="15"/>
        <v>1.4609329225935275E-2</v>
      </c>
      <c r="E397" s="149">
        <f t="shared" si="15"/>
        <v>1.4790201228223276E-2</v>
      </c>
    </row>
    <row r="398" spans="1:5" ht="15.75" customHeight="1" thickBot="1" x14ac:dyDescent="0.25">
      <c r="A398" s="1005" t="s">
        <v>637</v>
      </c>
      <c r="B398" s="1006"/>
      <c r="C398" s="1006"/>
      <c r="D398" s="1006"/>
      <c r="E398" s="1007"/>
    </row>
    <row r="399" spans="1:5" ht="15.75" customHeight="1" x14ac:dyDescent="0.2">
      <c r="A399" s="893"/>
      <c r="B399" s="145">
        <v>2018</v>
      </c>
      <c r="C399" s="145">
        <v>2019</v>
      </c>
      <c r="D399" s="145">
        <v>2020</v>
      </c>
      <c r="E399" s="145">
        <v>2021</v>
      </c>
    </row>
    <row r="400" spans="1:5" ht="15.75" customHeight="1" thickBot="1" x14ac:dyDescent="0.25">
      <c r="A400" s="894"/>
      <c r="B400" s="146" t="s">
        <v>41</v>
      </c>
      <c r="C400" s="146" t="s">
        <v>42</v>
      </c>
      <c r="D400" s="146" t="s">
        <v>42</v>
      </c>
      <c r="E400" s="146" t="s">
        <v>42</v>
      </c>
    </row>
    <row r="401" spans="1:5" ht="15.75" customHeight="1" thickBot="1" x14ac:dyDescent="0.25">
      <c r="A401" s="173" t="s">
        <v>84</v>
      </c>
      <c r="B401" s="142">
        <f>'[2]Formati 2 Sipas Tavaneve'!D653</f>
        <v>60328.193498984503</v>
      </c>
      <c r="C401" s="142">
        <f>'[2]Formati 2 Sipas Tavaneve'!E653</f>
        <v>36584.63649208899</v>
      </c>
      <c r="D401" s="142">
        <f>'[2]Formati 2 Sipas Tavaneve'!F653</f>
        <v>34837.877296234685</v>
      </c>
      <c r="E401" s="142">
        <f>'[2]Formati 2 Sipas Tavaneve'!G653</f>
        <v>33562.935951663407</v>
      </c>
    </row>
    <row r="402" spans="1:5" ht="15.75" customHeight="1" thickBot="1" x14ac:dyDescent="0.25">
      <c r="A402" s="173" t="s">
        <v>85</v>
      </c>
      <c r="B402" s="142">
        <f>'[2]Formati 2 Sipas Tavaneve'!D656</f>
        <v>10298.088615928502</v>
      </c>
      <c r="C402" s="142">
        <f>'[2]Formati 2 Sipas Tavaneve'!E656</f>
        <v>5774.9048367025453</v>
      </c>
      <c r="D402" s="142">
        <f>'[2]Formati 2 Sipas Tavaneve'!F656</f>
        <v>5484.7607452141638</v>
      </c>
      <c r="E402" s="142">
        <f>'[2]Formati 2 Sipas Tavaneve'!G656</f>
        <v>5296.7304081532538</v>
      </c>
    </row>
    <row r="403" spans="1:5" ht="15.75" customHeight="1" thickBot="1" x14ac:dyDescent="0.25">
      <c r="A403" s="173" t="s">
        <v>86</v>
      </c>
      <c r="B403" s="142">
        <f>'[2]Formati 2 Sipas Tavaneve'!D659</f>
        <v>63292.139172056362</v>
      </c>
      <c r="C403" s="142">
        <f>'[2]Formati 2 Sipas Tavaneve'!E659</f>
        <v>37137.552912624349</v>
      </c>
      <c r="D403" s="142">
        <f>'[2]Formati 2 Sipas Tavaneve'!F659</f>
        <v>36215.957885484473</v>
      </c>
      <c r="E403" s="142">
        <f>'[2]Formati 2 Sipas Tavaneve'!G659</f>
        <v>34912.583603740917</v>
      </c>
    </row>
    <row r="404" spans="1:5" ht="15.75" customHeight="1" thickBot="1" x14ac:dyDescent="0.25">
      <c r="A404" s="173" t="s">
        <v>87</v>
      </c>
      <c r="B404" s="142"/>
      <c r="C404" s="142"/>
      <c r="D404" s="142"/>
      <c r="E404" s="142"/>
    </row>
    <row r="405" spans="1:5" ht="15.75" customHeight="1" thickBot="1" x14ac:dyDescent="0.25">
      <c r="A405" s="173" t="s">
        <v>88</v>
      </c>
      <c r="B405" s="142">
        <f>'[2]Formati 2 Sipas Tavaneve'!D665</f>
        <v>7659999.5077476706</v>
      </c>
      <c r="C405" s="142">
        <f>'[2]Formati 2 Sipas Tavaneve'!E665</f>
        <v>4509518.2369040223</v>
      </c>
      <c r="D405" s="142">
        <f>'[2]Formati 2 Sipas Tavaneve'!F665</f>
        <v>4341681.7409408716</v>
      </c>
      <c r="E405" s="142">
        <f>'[2]Formati 2 Sipas Tavaneve'!G665</f>
        <v>4180907.6392165725</v>
      </c>
    </row>
    <row r="406" spans="1:5" ht="15.75" customHeight="1" thickBot="1" x14ac:dyDescent="0.25">
      <c r="A406" s="173" t="s">
        <v>89</v>
      </c>
      <c r="B406" s="142"/>
      <c r="C406" s="142"/>
      <c r="D406" s="142"/>
      <c r="E406" s="142"/>
    </row>
    <row r="407" spans="1:5" ht="15.75" customHeight="1" thickBot="1" x14ac:dyDescent="0.25">
      <c r="A407" s="173" t="s">
        <v>90</v>
      </c>
      <c r="B407" s="142"/>
      <c r="C407" s="142"/>
      <c r="D407" s="142"/>
      <c r="E407" s="142"/>
    </row>
    <row r="408" spans="1:5" ht="15.75" customHeight="1" thickBot="1" x14ac:dyDescent="0.25">
      <c r="A408" s="180" t="s">
        <v>266</v>
      </c>
      <c r="B408" s="158">
        <f>ROUND(B407+B406+B405+B404+B403+B402+B401,0)</f>
        <v>7793918</v>
      </c>
      <c r="C408" s="158">
        <f>ROUND(C407+C406+C405+C404+C403+C402+C401,0)</f>
        <v>4589015</v>
      </c>
      <c r="D408" s="158">
        <f>ROUND(D407+D406+D405+D404+D403+D402+D401,0)</f>
        <v>4418220</v>
      </c>
      <c r="E408" s="158">
        <f>ROUND(E407+E406+E405+E404+E403+E402+E401,0)</f>
        <v>4254680</v>
      </c>
    </row>
    <row r="409" spans="1:5" ht="12" thickBot="1" x14ac:dyDescent="0.25">
      <c r="A409" s="168" t="s">
        <v>92</v>
      </c>
      <c r="B409" s="160">
        <f>IF(B408-B393=0,0,"Error")</f>
        <v>0</v>
      </c>
      <c r="C409" s="160">
        <f>IF(C408-C393=0,0,"Error")</f>
        <v>0</v>
      </c>
      <c r="D409" s="160">
        <f>IF(D408-D393=0,0,"Error")</f>
        <v>0</v>
      </c>
      <c r="E409" s="160">
        <f>IF(E408-E393=0,0,"Error")</f>
        <v>0</v>
      </c>
    </row>
    <row r="410" spans="1:5" ht="15.75" customHeight="1" thickBot="1" x14ac:dyDescent="0.25">
      <c r="A410" s="156" t="s">
        <v>268</v>
      </c>
      <c r="B410" s="1014" t="e">
        <f>'[2]Formati 2 Sipas Tavaneve'!D679:G679</f>
        <v>#VALUE!</v>
      </c>
      <c r="C410" s="1015"/>
      <c r="D410" s="1015"/>
      <c r="E410" s="1016"/>
    </row>
    <row r="411" spans="1:5" ht="22.5" customHeight="1" thickBot="1" x14ac:dyDescent="0.25">
      <c r="A411" s="133" t="s">
        <v>72</v>
      </c>
      <c r="B411" s="945" t="e">
        <f>'[2]Formati 2 Sipas Tavaneve'!D680:G680</f>
        <v>#VALUE!</v>
      </c>
      <c r="C411" s="946"/>
      <c r="D411" s="946"/>
      <c r="E411" s="947"/>
    </row>
    <row r="412" spans="1:5" ht="15.75" customHeight="1" thickBot="1" x14ac:dyDescent="0.25">
      <c r="A412" s="133" t="s">
        <v>74</v>
      </c>
      <c r="B412" s="1002" t="e">
        <f>'[2]Formati 2 Sipas Tavaneve'!D681:G681</f>
        <v>#VALUE!</v>
      </c>
      <c r="C412" s="1003"/>
      <c r="D412" s="1003"/>
      <c r="E412" s="1004"/>
    </row>
    <row r="413" spans="1:5" ht="15.75" customHeight="1" thickBot="1" x14ac:dyDescent="0.25">
      <c r="A413" s="133" t="s">
        <v>76</v>
      </c>
      <c r="B413" s="147">
        <f>'[2]Formati 2 Sipas Tavaneve'!D684</f>
        <v>2725.8400319936013</v>
      </c>
      <c r="C413" s="147">
        <f>'[2]Formati 2 Sipas Tavaneve'!E684</f>
        <v>2998.4240351929616</v>
      </c>
      <c r="D413" s="147">
        <f>'[2]Formati 2 Sipas Tavaneve'!F684</f>
        <v>3464.3468407960199</v>
      </c>
      <c r="E413" s="147">
        <f>'[2]Formati 2 Sipas Tavaneve'!G684</f>
        <v>3810.7815248756224</v>
      </c>
    </row>
    <row r="414" spans="1:5" ht="15.75" customHeight="1" x14ac:dyDescent="0.2">
      <c r="A414" s="893"/>
      <c r="B414" s="145">
        <v>2018</v>
      </c>
      <c r="C414" s="145">
        <v>2019</v>
      </c>
      <c r="D414" s="145">
        <v>2020</v>
      </c>
      <c r="E414" s="145">
        <v>2021</v>
      </c>
    </row>
    <row r="415" spans="1:5" ht="15.75" customHeight="1" thickBot="1" x14ac:dyDescent="0.25">
      <c r="A415" s="894"/>
      <c r="B415" s="146" t="s">
        <v>41</v>
      </c>
      <c r="C415" s="146" t="s">
        <v>42</v>
      </c>
      <c r="D415" s="146" t="s">
        <v>42</v>
      </c>
      <c r="E415" s="146" t="s">
        <v>42</v>
      </c>
    </row>
    <row r="416" spans="1:5" ht="15.75" customHeight="1" thickBot="1" x14ac:dyDescent="0.25">
      <c r="A416" s="133" t="s">
        <v>77</v>
      </c>
      <c r="B416" s="147">
        <f>'[2]Formati 2 Sipas Tavaneve'!D685</f>
        <v>181334</v>
      </c>
      <c r="C416" s="147">
        <f>'[2]Formati 2 Sipas Tavaneve'!E685</f>
        <v>207346</v>
      </c>
      <c r="D416" s="147">
        <f>'[2]Formati 2 Sipas Tavaneve'!F685</f>
        <v>245554</v>
      </c>
      <c r="E416" s="147">
        <f>'[2]Formati 2 Sipas Tavaneve'!G685</f>
        <v>276867</v>
      </c>
    </row>
    <row r="417" spans="1:5" ht="15.75" customHeight="1" thickBot="1" x14ac:dyDescent="0.25">
      <c r="A417" s="133" t="s">
        <v>78</v>
      </c>
      <c r="B417" s="147">
        <f>B416/B413</f>
        <v>66.524079869565014</v>
      </c>
      <c r="C417" s="147">
        <f>C416/C413</f>
        <v>69.151660194271486</v>
      </c>
      <c r="D417" s="147">
        <f>D416/D413</f>
        <v>70.880316343723209</v>
      </c>
      <c r="E417" s="147">
        <f>E416/E413</f>
        <v>72.653600893332893</v>
      </c>
    </row>
    <row r="418" spans="1:5" ht="15.75" customHeight="1" thickBot="1" x14ac:dyDescent="0.25">
      <c r="A418" s="133" t="s">
        <v>79</v>
      </c>
      <c r="B418" s="148"/>
      <c r="C418" s="149">
        <f>C413/B413-1</f>
        <v>0.10000000000000009</v>
      </c>
      <c r="D418" s="149">
        <f>D413/C413-1</f>
        <v>0.15538923118760084</v>
      </c>
      <c r="E418" s="149">
        <f>E413/D413-1</f>
        <v>0.10000000000000009</v>
      </c>
    </row>
    <row r="419" spans="1:5" ht="15.75" customHeight="1" thickBot="1" x14ac:dyDescent="0.25">
      <c r="A419" s="133" t="s">
        <v>81</v>
      </c>
      <c r="B419" s="148"/>
      <c r="C419" s="149">
        <f t="shared" ref="C419:E420" si="16">C416/B416-1</f>
        <v>0.14344800202940422</v>
      </c>
      <c r="D419" s="149">
        <f t="shared" si="16"/>
        <v>0.18427170044273833</v>
      </c>
      <c r="E419" s="149">
        <f t="shared" si="16"/>
        <v>0.1275198123427026</v>
      </c>
    </row>
    <row r="420" spans="1:5" ht="15.75" customHeight="1" thickBot="1" x14ac:dyDescent="0.25">
      <c r="A420" s="133" t="s">
        <v>82</v>
      </c>
      <c r="B420" s="148"/>
      <c r="C420" s="149">
        <f t="shared" si="16"/>
        <v>3.9498183663094766E-2</v>
      </c>
      <c r="D420" s="149">
        <f t="shared" si="16"/>
        <v>2.4998042629711614E-2</v>
      </c>
      <c r="E420" s="149">
        <f t="shared" si="16"/>
        <v>2.5018011220638625E-2</v>
      </c>
    </row>
    <row r="421" spans="1:5" ht="15.75" customHeight="1" thickBot="1" x14ac:dyDescent="0.25">
      <c r="A421" s="1005" t="s">
        <v>636</v>
      </c>
      <c r="B421" s="1006"/>
      <c r="C421" s="1006"/>
      <c r="D421" s="1006"/>
      <c r="E421" s="1007"/>
    </row>
    <row r="422" spans="1:5" ht="15.75" customHeight="1" x14ac:dyDescent="0.2">
      <c r="A422" s="893"/>
      <c r="B422" s="145">
        <v>2018</v>
      </c>
      <c r="C422" s="145">
        <v>2019</v>
      </c>
      <c r="D422" s="145">
        <v>2020</v>
      </c>
      <c r="E422" s="145">
        <v>2021</v>
      </c>
    </row>
    <row r="423" spans="1:5" ht="15.75" customHeight="1" thickBot="1" x14ac:dyDescent="0.25">
      <c r="A423" s="894"/>
      <c r="B423" s="146" t="s">
        <v>41</v>
      </c>
      <c r="C423" s="146" t="s">
        <v>42</v>
      </c>
      <c r="D423" s="146" t="s">
        <v>42</v>
      </c>
      <c r="E423" s="146" t="s">
        <v>42</v>
      </c>
    </row>
    <row r="424" spans="1:5" ht="15.75" customHeight="1" thickBot="1" x14ac:dyDescent="0.25">
      <c r="A424" s="173" t="s">
        <v>84</v>
      </c>
      <c r="B424" s="142">
        <f>'[2]Formati 2 Sipas Tavaneve'!D693</f>
        <v>1403.5989024044336</v>
      </c>
      <c r="C424" s="142">
        <f>'[2]Formati 2 Sipas Tavaneve'!E693</f>
        <v>1653.0064305000817</v>
      </c>
      <c r="D424" s="142">
        <f>'[2]Formati 2 Sipas Tavaneve'!F693</f>
        <v>1936.2071844702969</v>
      </c>
      <c r="E424" s="142">
        <f>'[2]Formati 2 Sipas Tavaneve'!G693</f>
        <v>2184.0574014156755</v>
      </c>
    </row>
    <row r="425" spans="1:5" ht="15.75" customHeight="1" thickBot="1" x14ac:dyDescent="0.25">
      <c r="A425" s="173" t="s">
        <v>85</v>
      </c>
      <c r="B425" s="142">
        <f>'[2]Formati 2 Sipas Tavaneve'!D696</f>
        <v>239.59586786606079</v>
      </c>
      <c r="C425" s="142">
        <f>'[2]Formati 2 Sipas Tavaneve'!E696</f>
        <v>260.92796719900537</v>
      </c>
      <c r="D425" s="142">
        <f>'[2]Formati 2 Sipas Tavaneve'!F696</f>
        <v>304.83008679556099</v>
      </c>
      <c r="E425" s="142">
        <f>'[2]Formati 2 Sipas Tavaneve'!G696</f>
        <v>344.67673709746623</v>
      </c>
    </row>
    <row r="426" spans="1:5" ht="15.75" customHeight="1" thickBot="1" x14ac:dyDescent="0.25">
      <c r="A426" s="173" t="s">
        <v>86</v>
      </c>
      <c r="B426" s="142">
        <f>'[2]Formati 2 Sipas Tavaneve'!D699</f>
        <v>1472.5582173154637</v>
      </c>
      <c r="C426" s="142">
        <f>'[2]Formati 2 Sipas Tavaneve'!E699</f>
        <v>1677.9888954446676</v>
      </c>
      <c r="D426" s="142">
        <f>'[2]Formati 2 Sipas Tavaneve'!F699</f>
        <v>2012.7976585395331</v>
      </c>
      <c r="E426" s="142">
        <f>'[2]Formati 2 Sipas Tavaneve'!G699</f>
        <v>2271.883685387626</v>
      </c>
    </row>
    <row r="427" spans="1:5" ht="15.75" customHeight="1" thickBot="1" x14ac:dyDescent="0.25">
      <c r="A427" s="173" t="s">
        <v>87</v>
      </c>
      <c r="B427" s="142"/>
      <c r="C427" s="142"/>
      <c r="D427" s="142"/>
      <c r="E427" s="142"/>
    </row>
    <row r="428" spans="1:5" ht="15.75" customHeight="1" thickBot="1" x14ac:dyDescent="0.25">
      <c r="A428" s="173" t="s">
        <v>88</v>
      </c>
      <c r="B428" s="142">
        <f>'[2]Formati 2 Sipas Tavaneve'!D705</f>
        <v>178217.94882145963</v>
      </c>
      <c r="C428" s="142">
        <f>'[2]Formati 2 Sipas Tavaneve'!E705</f>
        <v>203753.90761834246</v>
      </c>
      <c r="D428" s="142">
        <f>'[2]Formati 2 Sipas Tavaneve'!F705</f>
        <v>241300.44744149182</v>
      </c>
      <c r="E428" s="142">
        <f>'[2]Formati 2 Sipas Tavaneve'!G705</f>
        <v>272066.25449028204</v>
      </c>
    </row>
    <row r="429" spans="1:5" ht="15.75" customHeight="1" thickBot="1" x14ac:dyDescent="0.25">
      <c r="A429" s="173" t="s">
        <v>89</v>
      </c>
      <c r="B429" s="142"/>
      <c r="C429" s="142"/>
      <c r="D429" s="142"/>
      <c r="E429" s="142"/>
    </row>
    <row r="430" spans="1:5" ht="15.75" customHeight="1" thickBot="1" x14ac:dyDescent="0.25">
      <c r="A430" s="173" t="s">
        <v>90</v>
      </c>
      <c r="B430" s="142"/>
      <c r="C430" s="142"/>
      <c r="D430" s="142"/>
      <c r="E430" s="142"/>
    </row>
    <row r="431" spans="1:5" ht="15.75" customHeight="1" thickBot="1" x14ac:dyDescent="0.25">
      <c r="A431" s="180" t="s">
        <v>272</v>
      </c>
      <c r="B431" s="158">
        <f>ROUND(B430+B429+B428+B427+B426+B425+B424,0)</f>
        <v>181334</v>
      </c>
      <c r="C431" s="158">
        <f>ROUND(C430+C429+C428+C427+C426+C425+C424,0)</f>
        <v>207346</v>
      </c>
      <c r="D431" s="158">
        <f>ROUND(D430+D429+D428+D427+D426+D425+D424,0)</f>
        <v>245554</v>
      </c>
      <c r="E431" s="158">
        <f>ROUND(E430+E429+E428+E427+E426+E425+E424,0)</f>
        <v>276867</v>
      </c>
    </row>
    <row r="432" spans="1:5" ht="15.75" customHeight="1" thickBot="1" x14ac:dyDescent="0.25">
      <c r="A432" s="168" t="s">
        <v>92</v>
      </c>
      <c r="B432" s="160">
        <f>IF(B431-B416=0,0,"Error")</f>
        <v>0</v>
      </c>
      <c r="C432" s="160">
        <f>IF(C431-C416=0,0,"Error")</f>
        <v>0</v>
      </c>
      <c r="D432" s="160">
        <f>IF(D431-D416=0,0,"Error")</f>
        <v>0</v>
      </c>
      <c r="E432" s="160">
        <f>IF(E431-E416=0,0,"Error")</f>
        <v>0</v>
      </c>
    </row>
    <row r="433" spans="1:5" ht="15" customHeight="1" thickBot="1" x14ac:dyDescent="0.25">
      <c r="A433" s="156" t="s">
        <v>273</v>
      </c>
      <c r="B433" s="1014" t="e">
        <f>'[2]Formati 2 Sipas Tavaneve'!D719:G719</f>
        <v>#VALUE!</v>
      </c>
      <c r="C433" s="1015"/>
      <c r="D433" s="1015"/>
      <c r="E433" s="1016"/>
    </row>
    <row r="434" spans="1:5" ht="15" customHeight="1" thickBot="1" x14ac:dyDescent="0.25">
      <c r="A434" s="133" t="s">
        <v>72</v>
      </c>
      <c r="B434" s="945" t="e">
        <f>'[2]Formati 2 Sipas Tavaneve'!D720:G720</f>
        <v>#VALUE!</v>
      </c>
      <c r="C434" s="946"/>
      <c r="D434" s="946"/>
      <c r="E434" s="947"/>
    </row>
    <row r="435" spans="1:5" ht="15" customHeight="1" thickBot="1" x14ac:dyDescent="0.25">
      <c r="A435" s="133" t="s">
        <v>74</v>
      </c>
      <c r="B435" s="1002" t="e">
        <f>'[2]Formati 2 Sipas Tavaneve'!D721:G721</f>
        <v>#VALUE!</v>
      </c>
      <c r="C435" s="1003"/>
      <c r="D435" s="1003"/>
      <c r="E435" s="1004"/>
    </row>
    <row r="436" spans="1:5" ht="15" customHeight="1" thickBot="1" x14ac:dyDescent="0.25">
      <c r="A436" s="133" t="s">
        <v>76</v>
      </c>
      <c r="B436" s="147">
        <f>'[2]Formati 2 Sipas Tavaneve'!D724</f>
        <v>3134.38175</v>
      </c>
      <c r="C436" s="147">
        <f>'[2]Formati 2 Sipas Tavaneve'!E724</f>
        <v>3134.38175</v>
      </c>
      <c r="D436" s="147">
        <f>'[2]Formati 2 Sipas Tavaneve'!F724</f>
        <v>3134.38175</v>
      </c>
      <c r="E436" s="147">
        <f>'[2]Formati 2 Sipas Tavaneve'!G724</f>
        <v>3134.38175</v>
      </c>
    </row>
    <row r="437" spans="1:5" ht="15" customHeight="1" x14ac:dyDescent="0.2">
      <c r="A437" s="893"/>
      <c r="B437" s="145">
        <v>2018</v>
      </c>
      <c r="C437" s="145">
        <v>2019</v>
      </c>
      <c r="D437" s="145">
        <v>2020</v>
      </c>
      <c r="E437" s="145">
        <v>2021</v>
      </c>
    </row>
    <row r="438" spans="1:5" ht="15" customHeight="1" thickBot="1" x14ac:dyDescent="0.25">
      <c r="A438" s="894"/>
      <c r="B438" s="146" t="s">
        <v>41</v>
      </c>
      <c r="C438" s="146" t="s">
        <v>42</v>
      </c>
      <c r="D438" s="146" t="s">
        <v>42</v>
      </c>
      <c r="E438" s="146" t="s">
        <v>42</v>
      </c>
    </row>
    <row r="439" spans="1:5" ht="15" customHeight="1" thickBot="1" x14ac:dyDescent="0.25">
      <c r="A439" s="133" t="s">
        <v>77</v>
      </c>
      <c r="B439" s="147">
        <f>'[2]Formati 2 Sipas Tavaneve'!D725</f>
        <v>566105</v>
      </c>
      <c r="C439" s="147">
        <f>C454</f>
        <v>1387905</v>
      </c>
      <c r="D439" s="147">
        <f>D454</f>
        <v>1411497</v>
      </c>
      <c r="E439" s="147">
        <f>E454</f>
        <v>1436903</v>
      </c>
    </row>
    <row r="440" spans="1:5" ht="15" customHeight="1" thickBot="1" x14ac:dyDescent="0.25">
      <c r="A440" s="133" t="s">
        <v>78</v>
      </c>
      <c r="B440" s="147">
        <f>B439/B436</f>
        <v>180.61137575217185</v>
      </c>
      <c r="C440" s="147">
        <f>C439/C436</f>
        <v>442.8002428230065</v>
      </c>
      <c r="D440" s="147">
        <f>D439/D436</f>
        <v>450.32708603538799</v>
      </c>
      <c r="E440" s="147">
        <f>E439/E436</f>
        <v>458.43267177011865</v>
      </c>
    </row>
    <row r="441" spans="1:5" ht="15" customHeight="1" thickBot="1" x14ac:dyDescent="0.25">
      <c r="A441" s="133" t="s">
        <v>79</v>
      </c>
      <c r="B441" s="148"/>
      <c r="C441" s="149">
        <f>C436/B436-1</f>
        <v>0</v>
      </c>
      <c r="D441" s="149">
        <f>D436/C436-1</f>
        <v>0</v>
      </c>
      <c r="E441" s="149">
        <f>E436/D436-1</f>
        <v>0</v>
      </c>
    </row>
    <row r="442" spans="1:5" ht="15" customHeight="1" thickBot="1" x14ac:dyDescent="0.25">
      <c r="A442" s="133" t="s">
        <v>81</v>
      </c>
      <c r="B442" s="148"/>
      <c r="C442" s="149">
        <f t="shared" ref="C442:E443" si="17">C439/B439-1</f>
        <v>1.4516741593873927</v>
      </c>
      <c r="D442" s="149">
        <f t="shared" si="17"/>
        <v>1.6998281582673247E-2</v>
      </c>
      <c r="E442" s="149">
        <f t="shared" si="17"/>
        <v>1.7999329789577967E-2</v>
      </c>
    </row>
    <row r="443" spans="1:5" ht="15" customHeight="1" thickBot="1" x14ac:dyDescent="0.25">
      <c r="A443" s="133" t="s">
        <v>82</v>
      </c>
      <c r="B443" s="148"/>
      <c r="C443" s="149">
        <f t="shared" si="17"/>
        <v>1.4516741593873932</v>
      </c>
      <c r="D443" s="149">
        <f t="shared" si="17"/>
        <v>1.6998281582673025E-2</v>
      </c>
      <c r="E443" s="149">
        <f t="shared" si="17"/>
        <v>1.7999329789578189E-2</v>
      </c>
    </row>
    <row r="444" spans="1:5" ht="15" customHeight="1" thickBot="1" x14ac:dyDescent="0.25">
      <c r="A444" s="1005" t="s">
        <v>635</v>
      </c>
      <c r="B444" s="1006"/>
      <c r="C444" s="1006"/>
      <c r="D444" s="1006"/>
      <c r="E444" s="1007"/>
    </row>
    <row r="445" spans="1:5" ht="15" customHeight="1" x14ac:dyDescent="0.2">
      <c r="A445" s="893"/>
      <c r="B445" s="145">
        <v>2018</v>
      </c>
      <c r="C445" s="145">
        <v>2019</v>
      </c>
      <c r="D445" s="145">
        <v>2020</v>
      </c>
      <c r="E445" s="145">
        <v>2021</v>
      </c>
    </row>
    <row r="446" spans="1:5" ht="15" customHeight="1" thickBot="1" x14ac:dyDescent="0.25">
      <c r="A446" s="894"/>
      <c r="B446" s="146" t="s">
        <v>41</v>
      </c>
      <c r="C446" s="146" t="s">
        <v>42</v>
      </c>
      <c r="D446" s="146" t="s">
        <v>42</v>
      </c>
      <c r="E446" s="146" t="s">
        <v>42</v>
      </c>
    </row>
    <row r="447" spans="1:5" ht="15" customHeight="1" thickBot="1" x14ac:dyDescent="0.25">
      <c r="A447" s="173" t="s">
        <v>84</v>
      </c>
      <c r="B447" s="142">
        <f>'[2]Formati 2 Sipas Tavaneve'!D733</f>
        <v>4381.8872345605487</v>
      </c>
      <c r="C447" s="142">
        <f>'[2]Formati 2 Sipas Tavaneve'!E733</f>
        <v>13739.152244549105</v>
      </c>
      <c r="D447" s="142">
        <f>'[2]Formati 2 Sipas Tavaneve'!F733</f>
        <v>13732.345064255403</v>
      </c>
      <c r="E447" s="142">
        <f>'[2]Formati 2 Sipas Tavaneve'!G733</f>
        <v>13887.802694438436</v>
      </c>
    </row>
    <row r="448" spans="1:5" ht="15" customHeight="1" thickBot="1" x14ac:dyDescent="0.25">
      <c r="A448" s="173" t="s">
        <v>85</v>
      </c>
      <c r="B448" s="142">
        <f>'[2]Formati 2 Sipas Tavaneve'!D736</f>
        <v>747.99294375141528</v>
      </c>
      <c r="C448" s="142">
        <f>'[2]Formati 2 Sipas Tavaneve'!E736</f>
        <v>2168.7326800799597</v>
      </c>
      <c r="D448" s="142">
        <f>'[2]Formati 2 Sipas Tavaneve'!F736</f>
        <v>2161.9752118566653</v>
      </c>
      <c r="E448" s="142">
        <f>'[2]Formati 2 Sipas Tavaneve'!G736</f>
        <v>2191.7017909280685</v>
      </c>
    </row>
    <row r="449" spans="1:5" ht="15" customHeight="1" thickBot="1" x14ac:dyDescent="0.25">
      <c r="A449" s="173" t="s">
        <v>86</v>
      </c>
      <c r="B449" s="142">
        <f>'[2]Formati 2 Sipas Tavaneve'!D739</f>
        <v>4597.1709179511872</v>
      </c>
      <c r="C449" s="142">
        <f>'[2]Formati 2 Sipas Tavaneve'!E739</f>
        <v>13946.796862854635</v>
      </c>
      <c r="D449" s="142">
        <f>'[2]Formati 2 Sipas Tavaneve'!F739</f>
        <v>14275.554916480694</v>
      </c>
      <c r="E449" s="142">
        <f>'[2]Formati 2 Sipas Tavaneve'!G739</f>
        <v>14446.265170011453</v>
      </c>
    </row>
    <row r="450" spans="1:5" ht="15" customHeight="1" thickBot="1" x14ac:dyDescent="0.25">
      <c r="A450" s="173" t="s">
        <v>87</v>
      </c>
      <c r="B450" s="142"/>
      <c r="C450" s="142"/>
      <c r="D450" s="142"/>
      <c r="E450" s="142"/>
    </row>
    <row r="451" spans="1:5" ht="15" customHeight="1" thickBot="1" x14ac:dyDescent="0.25">
      <c r="A451" s="173" t="s">
        <v>88</v>
      </c>
      <c r="B451" s="142">
        <f>'[2]Formati 2 Sipas Tavaneve'!D745</f>
        <v>556377.57593892817</v>
      </c>
      <c r="C451" s="142">
        <f>'[2]Formati 2 Sipas Tavaneve'!E745-335474</f>
        <v>1358049.9364696846</v>
      </c>
      <c r="D451" s="142">
        <f>'[2]Formati 2 Sipas Tavaneve'!F745-330071</f>
        <v>1381326.9511094128</v>
      </c>
      <c r="E451" s="142">
        <f>'[2]Formati 2 Sipas Tavaneve'!G745-323615</f>
        <v>1406377.2885391221</v>
      </c>
    </row>
    <row r="452" spans="1:5" ht="15" customHeight="1" thickBot="1" x14ac:dyDescent="0.25">
      <c r="A452" s="173" t="s">
        <v>89</v>
      </c>
      <c r="B452" s="142"/>
      <c r="C452" s="142"/>
      <c r="D452" s="142"/>
      <c r="E452" s="142"/>
    </row>
    <row r="453" spans="1:5" ht="15" customHeight="1" thickBot="1" x14ac:dyDescent="0.25">
      <c r="A453" s="173" t="s">
        <v>90</v>
      </c>
      <c r="B453" s="142"/>
      <c r="C453" s="142"/>
      <c r="D453" s="142"/>
      <c r="E453" s="142"/>
    </row>
    <row r="454" spans="1:5" ht="15" customHeight="1" thickBot="1" x14ac:dyDescent="0.25">
      <c r="A454" s="180" t="s">
        <v>274</v>
      </c>
      <c r="B454" s="158">
        <f>ROUND(B453+B452+B451+B450+B449+B448+B447,0)</f>
        <v>566105</v>
      </c>
      <c r="C454" s="158">
        <f>ROUND(C453+C452+C451+C450+C449+C448+C447,0)</f>
        <v>1387905</v>
      </c>
      <c r="D454" s="158">
        <f>ROUND(D453+D452+D451+D450+D449+D448+D447,0)</f>
        <v>1411497</v>
      </c>
      <c r="E454" s="158">
        <f>ROUND(E453+E452+E451+E450+E449+E448+E447,0)</f>
        <v>1436903</v>
      </c>
    </row>
    <row r="455" spans="1:5" ht="15" customHeight="1" thickBot="1" x14ac:dyDescent="0.25">
      <c r="A455" s="168" t="s">
        <v>92</v>
      </c>
      <c r="B455" s="160">
        <f>IF(B454-B439=0,0,"Error")</f>
        <v>0</v>
      </c>
      <c r="C455" s="160">
        <f>IF(C454-C439=0,0,"Error")</f>
        <v>0</v>
      </c>
      <c r="D455" s="160">
        <f>IF(D454-D439=0,0,"Error")</f>
        <v>0</v>
      </c>
      <c r="E455" s="160">
        <f>IF(E454-E439=0,0,"Error")</f>
        <v>0</v>
      </c>
    </row>
    <row r="456" spans="1:5" ht="15" customHeight="1" thickBot="1" x14ac:dyDescent="0.25">
      <c r="A456" s="156" t="s">
        <v>275</v>
      </c>
      <c r="B456" s="1014" t="e">
        <f>'[2]Formati 2 Sipas Tavaneve'!D759:G759</f>
        <v>#VALUE!</v>
      </c>
      <c r="C456" s="1015"/>
      <c r="D456" s="1015"/>
      <c r="E456" s="1016"/>
    </row>
    <row r="457" spans="1:5" ht="28.5" customHeight="1" thickBot="1" x14ac:dyDescent="0.25">
      <c r="A457" s="133" t="s">
        <v>72</v>
      </c>
      <c r="B457" s="945" t="e">
        <f>'[2]Formati 2 Sipas Tavaneve'!D760:G760</f>
        <v>#VALUE!</v>
      </c>
      <c r="C457" s="946"/>
      <c r="D457" s="946"/>
      <c r="E457" s="947"/>
    </row>
    <row r="458" spans="1:5" ht="15" customHeight="1" thickBot="1" x14ac:dyDescent="0.25">
      <c r="A458" s="133" t="s">
        <v>74</v>
      </c>
      <c r="B458" s="1002" t="e">
        <f>'[2]Formati 2 Sipas Tavaneve'!D761:G761</f>
        <v>#VALUE!</v>
      </c>
      <c r="C458" s="1003"/>
      <c r="D458" s="1003"/>
      <c r="E458" s="1004"/>
    </row>
    <row r="459" spans="1:5" ht="15" customHeight="1" thickBot="1" x14ac:dyDescent="0.25">
      <c r="A459" s="133" t="s">
        <v>76</v>
      </c>
      <c r="B459" s="147">
        <f>'[2]Formati 2 Sipas Tavaneve'!D764</f>
        <v>349.99</v>
      </c>
      <c r="C459" s="147">
        <f>'[2]Formati 2 Sipas Tavaneve'!E764</f>
        <v>344.99520000000001</v>
      </c>
      <c r="D459" s="147">
        <f>'[2]Formati 2 Sipas Tavaneve'!F764</f>
        <v>338.09529600000002</v>
      </c>
      <c r="E459" s="147">
        <f>'[2]Formati 2 Sipas Tavaneve'!G764</f>
        <v>327.95243712000001</v>
      </c>
    </row>
    <row r="460" spans="1:5" ht="15" customHeight="1" x14ac:dyDescent="0.2">
      <c r="A460" s="893"/>
      <c r="B460" s="145">
        <v>2018</v>
      </c>
      <c r="C460" s="145">
        <v>2019</v>
      </c>
      <c r="D460" s="145">
        <v>2020</v>
      </c>
      <c r="E460" s="145">
        <v>2021</v>
      </c>
    </row>
    <row r="461" spans="1:5" ht="15" customHeight="1" thickBot="1" x14ac:dyDescent="0.25">
      <c r="A461" s="894"/>
      <c r="B461" s="146" t="s">
        <v>41</v>
      </c>
      <c r="C461" s="146" t="s">
        <v>42</v>
      </c>
      <c r="D461" s="146" t="s">
        <v>42</v>
      </c>
      <c r="E461" s="146" t="s">
        <v>42</v>
      </c>
    </row>
    <row r="462" spans="1:5" ht="15" customHeight="1" thickBot="1" x14ac:dyDescent="0.25">
      <c r="A462" s="133" t="s">
        <v>77</v>
      </c>
      <c r="B462" s="147">
        <f>'[2]Formati 2 Sipas Tavaneve'!D765</f>
        <v>29913</v>
      </c>
      <c r="C462" s="147">
        <f>'[2]Formati 2 Sipas Tavaneve'!E765</f>
        <v>29490</v>
      </c>
      <c r="D462" s="147">
        <f>'[2]Formati 2 Sipas Tavaneve'!F765</f>
        <v>28901</v>
      </c>
      <c r="E462" s="147">
        <f>'[2]Formati 2 Sipas Tavaneve'!G765</f>
        <v>28034</v>
      </c>
    </row>
    <row r="463" spans="1:5" ht="15" customHeight="1" thickBot="1" x14ac:dyDescent="0.25">
      <c r="A463" s="133" t="s">
        <v>78</v>
      </c>
      <c r="B463" s="147">
        <f>B462/B459</f>
        <v>85.468156233035231</v>
      </c>
      <c r="C463" s="147">
        <f>C462/C459</f>
        <v>85.479450148871635</v>
      </c>
      <c r="D463" s="147">
        <f>D462/D459</f>
        <v>85.481816345649477</v>
      </c>
      <c r="E463" s="147">
        <f>E462/E459</f>
        <v>85.481907822329035</v>
      </c>
    </row>
    <row r="464" spans="1:5" ht="15" customHeight="1" thickBot="1" x14ac:dyDescent="0.25">
      <c r="A464" s="133" t="s">
        <v>79</v>
      </c>
      <c r="B464" s="148"/>
      <c r="C464" s="149">
        <f>C459/B459-1</f>
        <v>-1.4271264893282676E-2</v>
      </c>
      <c r="D464" s="149">
        <f>D459/C459-1</f>
        <v>-2.0000000000000018E-2</v>
      </c>
      <c r="E464" s="149">
        <f>E459/D459-1</f>
        <v>-3.0000000000000027E-2</v>
      </c>
    </row>
    <row r="465" spans="1:5" ht="15" customHeight="1" thickBot="1" x14ac:dyDescent="0.25">
      <c r="A465" s="133" t="s">
        <v>81</v>
      </c>
      <c r="B465" s="148"/>
      <c r="C465" s="149">
        <f t="shared" ref="C465:E466" si="18">C462/B462-1</f>
        <v>-1.4141008925885101E-2</v>
      </c>
      <c r="D465" s="149">
        <f t="shared" si="18"/>
        <v>-1.9972872160054278E-2</v>
      </c>
      <c r="E465" s="149">
        <f t="shared" si="18"/>
        <v>-2.9998961973634164E-2</v>
      </c>
    </row>
    <row r="466" spans="1:5" ht="15" customHeight="1" thickBot="1" x14ac:dyDescent="0.25">
      <c r="A466" s="133" t="s">
        <v>82</v>
      </c>
      <c r="B466" s="148"/>
      <c r="C466" s="149">
        <f t="shared" si="18"/>
        <v>1.321417980002515E-4</v>
      </c>
      <c r="D466" s="149">
        <f t="shared" si="18"/>
        <v>2.7681469332296871E-5</v>
      </c>
      <c r="E466" s="149">
        <f t="shared" si="18"/>
        <v>1.0701302741722429E-6</v>
      </c>
    </row>
    <row r="467" spans="1:5" ht="15" customHeight="1" thickBot="1" x14ac:dyDescent="0.25">
      <c r="A467" s="1005" t="s">
        <v>634</v>
      </c>
      <c r="B467" s="1006"/>
      <c r="C467" s="1006"/>
      <c r="D467" s="1006"/>
      <c r="E467" s="1007"/>
    </row>
    <row r="468" spans="1:5" ht="15" customHeight="1" x14ac:dyDescent="0.2">
      <c r="A468" s="893"/>
      <c r="B468" s="145">
        <v>2018</v>
      </c>
      <c r="C468" s="145">
        <v>2019</v>
      </c>
      <c r="D468" s="145">
        <v>2020</v>
      </c>
      <c r="E468" s="145">
        <v>2021</v>
      </c>
    </row>
    <row r="469" spans="1:5" ht="15" customHeight="1" thickBot="1" x14ac:dyDescent="0.25">
      <c r="A469" s="894"/>
      <c r="B469" s="146" t="s">
        <v>41</v>
      </c>
      <c r="C469" s="146" t="s">
        <v>42</v>
      </c>
      <c r="D469" s="146" t="s">
        <v>42</v>
      </c>
      <c r="E469" s="146" t="s">
        <v>42</v>
      </c>
    </row>
    <row r="470" spans="1:5" ht="15" customHeight="1" thickBot="1" x14ac:dyDescent="0.25">
      <c r="A470" s="173" t="s">
        <v>84</v>
      </c>
      <c r="B470" s="142">
        <f>'[2]Formati 2 Sipas Tavaneve'!D773</f>
        <v>231.54025158796784</v>
      </c>
      <c r="C470" s="142">
        <f>'[2]Formati 2 Sipas Tavaneve'!E773</f>
        <v>235.10449651561524</v>
      </c>
      <c r="D470" s="142">
        <f>'[2]Formati 2 Sipas Tavaneve'!F773</f>
        <v>227.88309777171546</v>
      </c>
      <c r="E470" s="142">
        <f>'[2]Formati 2 Sipas Tavaneve'!G773</f>
        <v>221.14621937027351</v>
      </c>
    </row>
    <row r="471" spans="1:5" ht="15" customHeight="1" thickBot="1" x14ac:dyDescent="0.25">
      <c r="A471" s="173" t="s">
        <v>85</v>
      </c>
      <c r="B471" s="142">
        <f>'[2]Formati 2 Sipas Tavaneve'!D776</f>
        <v>39.524174199703317</v>
      </c>
      <c r="C471" s="142">
        <f>'[2]Formati 2 Sipas Tavaneve'!E776</f>
        <v>37.111373085588305</v>
      </c>
      <c r="D471" s="142">
        <f>'[2]Formati 2 Sipas Tavaneve'!F776</f>
        <v>35.877164918173555</v>
      </c>
      <c r="E471" s="142">
        <f>'[2]Formati 2 Sipas Tavaneve'!G776</f>
        <v>34.900162085748775</v>
      </c>
    </row>
    <row r="472" spans="1:5" ht="15" customHeight="1" thickBot="1" x14ac:dyDescent="0.25">
      <c r="A472" s="173" t="s">
        <v>86</v>
      </c>
      <c r="B472" s="142">
        <f>'[2]Formati 2 Sipas Tavaneve'!D779</f>
        <v>242.91590676729422</v>
      </c>
      <c r="C472" s="142">
        <f>'[2]Formati 2 Sipas Tavaneve'!E779</f>
        <v>238.65771308763971</v>
      </c>
      <c r="D472" s="142">
        <f>'[2]Formati 2 Sipas Tavaneve'!F779</f>
        <v>236.89746081648266</v>
      </c>
      <c r="E472" s="142">
        <f>'[2]Formati 2 Sipas Tavaneve'!G779</f>
        <v>230.03904913250756</v>
      </c>
    </row>
    <row r="473" spans="1:5" ht="15" customHeight="1" thickBot="1" x14ac:dyDescent="0.25">
      <c r="A473" s="173" t="s">
        <v>87</v>
      </c>
      <c r="B473" s="142"/>
      <c r="C473" s="142"/>
      <c r="D473" s="142"/>
      <c r="E473" s="142"/>
    </row>
    <row r="474" spans="1:5" ht="15" customHeight="1" thickBot="1" x14ac:dyDescent="0.25">
      <c r="A474" s="173" t="s">
        <v>88</v>
      </c>
      <c r="B474" s="142">
        <f>'[2]Formati 2 Sipas Tavaneve'!D785</f>
        <v>29399.160000000003</v>
      </c>
      <c r="C474" s="142">
        <f>'[2]Formati 2 Sipas Tavaneve'!E785</f>
        <v>28979.596799999996</v>
      </c>
      <c r="D474" s="142">
        <f>'[2]Formati 2 Sipas Tavaneve'!F785</f>
        <v>28400.004863999999</v>
      </c>
      <c r="E474" s="142">
        <f>'[2]Formati 2 Sipas Tavaneve'!G785</f>
        <v>27548.004718080003</v>
      </c>
    </row>
    <row r="475" spans="1:5" ht="15" customHeight="1" thickBot="1" x14ac:dyDescent="0.25">
      <c r="A475" s="173" t="s">
        <v>89</v>
      </c>
      <c r="B475" s="142"/>
      <c r="C475" s="142"/>
      <c r="D475" s="142"/>
      <c r="E475" s="142"/>
    </row>
    <row r="476" spans="1:5" ht="15" customHeight="1" thickBot="1" x14ac:dyDescent="0.25">
      <c r="A476" s="173" t="s">
        <v>90</v>
      </c>
      <c r="B476" s="142"/>
      <c r="C476" s="142"/>
      <c r="D476" s="142"/>
      <c r="E476" s="142"/>
    </row>
    <row r="477" spans="1:5" ht="15" customHeight="1" thickBot="1" x14ac:dyDescent="0.25">
      <c r="A477" s="180" t="s">
        <v>279</v>
      </c>
      <c r="B477" s="158">
        <f>ROUND(B476+B475+B474+B473+B472+B471+B470,0)</f>
        <v>29913</v>
      </c>
      <c r="C477" s="158">
        <f>ROUND(C476+C475+C474+C473+C472+C471+C470,0)</f>
        <v>29490</v>
      </c>
      <c r="D477" s="158">
        <f>ROUND(D476+D475+D474+D473+D472+D471+D470,0)</f>
        <v>28901</v>
      </c>
      <c r="E477" s="158">
        <f>ROUND(E476+E475+E474+E473+E472+E471+E470,0)</f>
        <v>28034</v>
      </c>
    </row>
    <row r="478" spans="1:5" ht="15" customHeight="1" thickBot="1" x14ac:dyDescent="0.25">
      <c r="A478" s="168" t="s">
        <v>92</v>
      </c>
      <c r="B478" s="160">
        <f>IF(B477-B462=0,0,"Error")</f>
        <v>0</v>
      </c>
      <c r="C478" s="160">
        <f>IF(C477-C462=0,0,"Error")</f>
        <v>0</v>
      </c>
      <c r="D478" s="160">
        <f>IF(D477-D462=0,0,"Error")</f>
        <v>0</v>
      </c>
      <c r="E478" s="160">
        <f>IF(E477-E462=0,0,"Error")</f>
        <v>0</v>
      </c>
    </row>
    <row r="479" spans="1:5" ht="15.75" customHeight="1" thickBot="1" x14ac:dyDescent="0.25">
      <c r="A479" s="156" t="s">
        <v>281</v>
      </c>
      <c r="B479" s="1014" t="e">
        <f>'[2]Formati 2 Sipas Tavaneve'!D799:G799</f>
        <v>#VALUE!</v>
      </c>
      <c r="C479" s="1015"/>
      <c r="D479" s="1015"/>
      <c r="E479" s="1016"/>
    </row>
    <row r="480" spans="1:5" ht="25.5" customHeight="1" thickBot="1" x14ac:dyDescent="0.25">
      <c r="A480" s="133" t="s">
        <v>72</v>
      </c>
      <c r="B480" s="945" t="e">
        <f>'[2]Formati 2 Sipas Tavaneve'!D800:G800</f>
        <v>#VALUE!</v>
      </c>
      <c r="C480" s="946"/>
      <c r="D480" s="946"/>
      <c r="E480" s="947"/>
    </row>
    <row r="481" spans="1:5" ht="15.75" customHeight="1" thickBot="1" x14ac:dyDescent="0.25">
      <c r="A481" s="133" t="s">
        <v>74</v>
      </c>
      <c r="B481" s="1002" t="e">
        <f>'[2]Formati 2 Sipas Tavaneve'!D801:G801</f>
        <v>#VALUE!</v>
      </c>
      <c r="C481" s="1003"/>
      <c r="D481" s="1003"/>
      <c r="E481" s="1004"/>
    </row>
    <row r="482" spans="1:5" ht="15.75" customHeight="1" thickBot="1" x14ac:dyDescent="0.25">
      <c r="A482" s="133" t="s">
        <v>76</v>
      </c>
      <c r="B482" s="147">
        <f>'[2]Formati 2 Sipas Tavaneve'!D804</f>
        <v>235.76400000000001</v>
      </c>
      <c r="C482" s="147">
        <f>'[2]Formati 2 Sipas Tavaneve'!E804</f>
        <v>233.17272</v>
      </c>
      <c r="D482" s="147">
        <f>'[2]Formati 2 Sipas Tavaneve'!F804</f>
        <v>231.77368368</v>
      </c>
      <c r="E482" s="147">
        <f>'[2]Formati 2 Sipas Tavaneve'!G804</f>
        <v>230.38304157792001</v>
      </c>
    </row>
    <row r="483" spans="1:5" ht="15.75" customHeight="1" x14ac:dyDescent="0.2">
      <c r="A483" s="893"/>
      <c r="B483" s="145">
        <v>2018</v>
      </c>
      <c r="C483" s="145">
        <v>2019</v>
      </c>
      <c r="D483" s="145">
        <v>2020</v>
      </c>
      <c r="E483" s="145">
        <v>2021</v>
      </c>
    </row>
    <row r="484" spans="1:5" ht="15.75" customHeight="1" thickBot="1" x14ac:dyDescent="0.25">
      <c r="A484" s="894"/>
      <c r="B484" s="146" t="s">
        <v>41</v>
      </c>
      <c r="C484" s="146" t="s">
        <v>42</v>
      </c>
      <c r="D484" s="146" t="s">
        <v>42</v>
      </c>
      <c r="E484" s="146" t="s">
        <v>42</v>
      </c>
    </row>
    <row r="485" spans="1:5" ht="15.75" customHeight="1" thickBot="1" x14ac:dyDescent="0.25">
      <c r="A485" s="133" t="s">
        <v>77</v>
      </c>
      <c r="B485" s="147">
        <f>'[2]Formati 2 Sipas Tavaneve'!D805</f>
        <v>73108</v>
      </c>
      <c r="C485" s="147">
        <f>'[2]Formati 2 Sipas Tavaneve'!E805</f>
        <v>72907</v>
      </c>
      <c r="D485" s="147">
        <f>'[2]Formati 2 Sipas Tavaneve'!F805</f>
        <v>74644</v>
      </c>
      <c r="E485" s="147">
        <f>'[2]Formati 2 Sipas Tavaneve'!G805</f>
        <v>76423</v>
      </c>
    </row>
    <row r="486" spans="1:5" ht="15.75" customHeight="1" thickBot="1" x14ac:dyDescent="0.25">
      <c r="A486" s="133" t="s">
        <v>78</v>
      </c>
      <c r="B486" s="147">
        <f>B485/B482</f>
        <v>310.08975076771685</v>
      </c>
      <c r="C486" s="147">
        <f>C485/C482</f>
        <v>312.67379820418103</v>
      </c>
      <c r="D486" s="147">
        <f>D485/D482</f>
        <v>322.05554493864702</v>
      </c>
      <c r="E486" s="147">
        <f>E485/E482</f>
        <v>331.72146472487759</v>
      </c>
    </row>
    <row r="487" spans="1:5" ht="15.75" customHeight="1" thickBot="1" x14ac:dyDescent="0.25">
      <c r="A487" s="133" t="s">
        <v>79</v>
      </c>
      <c r="B487" s="148"/>
      <c r="C487" s="149">
        <f>C482/B482-1</f>
        <v>-1.099099099099099E-2</v>
      </c>
      <c r="D487" s="149">
        <f>D482/C482-1</f>
        <v>-6.0000000000000053E-3</v>
      </c>
      <c r="E487" s="149">
        <f>E482/D482-1</f>
        <v>-6.0000000000000053E-3</v>
      </c>
    </row>
    <row r="488" spans="1:5" ht="15.75" customHeight="1" thickBot="1" x14ac:dyDescent="0.25">
      <c r="A488" s="133" t="s">
        <v>81</v>
      </c>
      <c r="B488" s="148"/>
      <c r="C488" s="149">
        <f t="shared" ref="C488:E489" si="19">C485/B485-1</f>
        <v>-2.7493571155003949E-3</v>
      </c>
      <c r="D488" s="149">
        <f t="shared" si="19"/>
        <v>2.3824872783134721E-2</v>
      </c>
      <c r="E488" s="149">
        <f t="shared" si="19"/>
        <v>2.3833127913831076E-2</v>
      </c>
    </row>
    <row r="489" spans="1:5" ht="15.75" customHeight="1" thickBot="1" x14ac:dyDescent="0.25">
      <c r="A489" s="133" t="s">
        <v>82</v>
      </c>
      <c r="B489" s="148"/>
      <c r="C489" s="149">
        <f t="shared" si="19"/>
        <v>8.3332242683500368E-3</v>
      </c>
      <c r="D489" s="149">
        <f t="shared" si="19"/>
        <v>3.0004902196312466E-2</v>
      </c>
      <c r="E489" s="149">
        <f t="shared" si="19"/>
        <v>3.0013207156771582E-2</v>
      </c>
    </row>
    <row r="490" spans="1:5" ht="15.75" customHeight="1" thickBot="1" x14ac:dyDescent="0.25">
      <c r="A490" s="1005" t="s">
        <v>633</v>
      </c>
      <c r="B490" s="1006"/>
      <c r="C490" s="1006"/>
      <c r="D490" s="1006"/>
      <c r="E490" s="1007"/>
    </row>
    <row r="491" spans="1:5" ht="15.75" customHeight="1" x14ac:dyDescent="0.2">
      <c r="A491" s="893"/>
      <c r="B491" s="145">
        <v>2018</v>
      </c>
      <c r="C491" s="145">
        <v>2019</v>
      </c>
      <c r="D491" s="145">
        <v>2020</v>
      </c>
      <c r="E491" s="145">
        <v>2021</v>
      </c>
    </row>
    <row r="492" spans="1:5" ht="15.75" customHeight="1" thickBot="1" x14ac:dyDescent="0.25">
      <c r="A492" s="894"/>
      <c r="B492" s="146" t="s">
        <v>41</v>
      </c>
      <c r="C492" s="146" t="s">
        <v>42</v>
      </c>
      <c r="D492" s="146" t="s">
        <v>42</v>
      </c>
      <c r="E492" s="146" t="s">
        <v>42</v>
      </c>
    </row>
    <row r="493" spans="1:5" ht="15.75" customHeight="1" thickBot="1" x14ac:dyDescent="0.25">
      <c r="A493" s="173" t="s">
        <v>84</v>
      </c>
      <c r="B493" s="142">
        <f>'[2]Formati 2 Sipas Tavaneve'!D813</f>
        <v>565.88860773909539</v>
      </c>
      <c r="C493" s="142">
        <f>'[2]Formati 2 Sipas Tavaneve'!E813</f>
        <v>581.23279526966496</v>
      </c>
      <c r="D493" s="142">
        <f>'[2]Formati 2 Sipas Tavaneve'!F813</f>
        <v>588.57095061146867</v>
      </c>
      <c r="E493" s="142">
        <f>'[2]Formati 2 Sipas Tavaneve'!G813</f>
        <v>602.86226782958636</v>
      </c>
    </row>
    <row r="494" spans="1:5" ht="15.75" customHeight="1" thickBot="1" x14ac:dyDescent="0.25">
      <c r="A494" s="173" t="s">
        <v>85</v>
      </c>
      <c r="B494" s="142">
        <f>'[2]Formati 2 Sipas Tavaneve'!D816</f>
        <v>96.597804297582726</v>
      </c>
      <c r="C494" s="142">
        <f>'[2]Formati 2 Sipas Tavaneve'!E816</f>
        <v>91.747913946848882</v>
      </c>
      <c r="D494" s="142">
        <f>'[2]Formati 2 Sipas Tavaneve'!F816</f>
        <v>92.662673395318237</v>
      </c>
      <c r="E494" s="142">
        <f>'[2]Formati 2 Sipas Tavaneve'!G816</f>
        <v>95.140631038356574</v>
      </c>
    </row>
    <row r="495" spans="1:5" ht="15.75" customHeight="1" thickBot="1" x14ac:dyDescent="0.25">
      <c r="A495" s="173" t="s">
        <v>86</v>
      </c>
      <c r="B495" s="142">
        <f>'[2]Formati 2 Sipas Tavaneve'!D819</f>
        <v>593.69091695919792</v>
      </c>
      <c r="C495" s="142">
        <f>'[2]Formati 2 Sipas Tavaneve'!E819</f>
        <v>590.01717000925703</v>
      </c>
      <c r="D495" s="142">
        <f>'[2]Formati 2 Sipas Tavaneve'!F819</f>
        <v>611.85302935401091</v>
      </c>
      <c r="E495" s="142">
        <f>'[2]Formati 2 Sipas Tavaneve'!G819</f>
        <v>627.1048324691676</v>
      </c>
    </row>
    <row r="496" spans="1:5" ht="15.75" customHeight="1" thickBot="1" x14ac:dyDescent="0.25">
      <c r="A496" s="173" t="s">
        <v>87</v>
      </c>
      <c r="B496" s="142"/>
      <c r="C496" s="142"/>
      <c r="D496" s="142"/>
      <c r="E496" s="142"/>
    </row>
    <row r="497" spans="1:5" ht="15.75" customHeight="1" thickBot="1" x14ac:dyDescent="0.25">
      <c r="A497" s="173" t="s">
        <v>88</v>
      </c>
      <c r="B497" s="142">
        <f>'[2]Formati 2 Sipas Tavaneve'!D825</f>
        <v>71852.084495028859</v>
      </c>
      <c r="C497" s="142">
        <f>'[2]Formati 2 Sipas Tavaneve'!E825</f>
        <v>71644.278622859492</v>
      </c>
      <c r="D497" s="142">
        <f>'[2]Formati 2 Sipas Tavaneve'!F825</f>
        <v>73350.845339656022</v>
      </c>
      <c r="E497" s="142">
        <f>'[2]Formati 2 Sipas Tavaneve'!G825</f>
        <v>75098.062475646628</v>
      </c>
    </row>
    <row r="498" spans="1:5" ht="15.75" customHeight="1" thickBot="1" x14ac:dyDescent="0.25">
      <c r="A498" s="173" t="s">
        <v>89</v>
      </c>
      <c r="B498" s="142"/>
      <c r="C498" s="142"/>
      <c r="D498" s="142"/>
      <c r="E498" s="142"/>
    </row>
    <row r="499" spans="1:5" ht="15.75" customHeight="1" thickBot="1" x14ac:dyDescent="0.25">
      <c r="A499" s="173" t="s">
        <v>90</v>
      </c>
      <c r="B499" s="142"/>
      <c r="C499" s="142"/>
      <c r="D499" s="142"/>
      <c r="E499" s="142"/>
    </row>
    <row r="500" spans="1:5" ht="15.75" customHeight="1" thickBot="1" x14ac:dyDescent="0.25">
      <c r="A500" s="180" t="s">
        <v>285</v>
      </c>
      <c r="B500" s="158">
        <f>ROUND(B499+B498+B497+B496+B495+B494+B493,0)</f>
        <v>73108</v>
      </c>
      <c r="C500" s="158">
        <f>ROUND(C499+C498+C497+C496+C495+C494+C493,0)</f>
        <v>72907</v>
      </c>
      <c r="D500" s="158">
        <f>ROUND(D499+D498+D497+D496+D495+D494+D493,0)</f>
        <v>74644</v>
      </c>
      <c r="E500" s="158">
        <f>ROUND(E499+E498+E497+E496+E495+E494+E493,0)</f>
        <v>76423</v>
      </c>
    </row>
    <row r="501" spans="1:5" ht="15.75" customHeight="1" thickBot="1" x14ac:dyDescent="0.25">
      <c r="A501" s="168" t="s">
        <v>92</v>
      </c>
      <c r="B501" s="160">
        <f>IF(B500-B485=0,0,"Error")</f>
        <v>0</v>
      </c>
      <c r="C501" s="160">
        <f>IF(C500-C485=0,0,"Error")</f>
        <v>0</v>
      </c>
      <c r="D501" s="160">
        <f>IF(D500-D485=0,0,"Error")</f>
        <v>0</v>
      </c>
      <c r="E501" s="160">
        <f>IF(E500-E485=0,0,"Error")</f>
        <v>0</v>
      </c>
    </row>
    <row r="502" spans="1:5" ht="15.75" customHeight="1" thickBot="1" x14ac:dyDescent="0.25">
      <c r="A502" s="156" t="s">
        <v>287</v>
      </c>
      <c r="B502" s="1014" t="e">
        <f>'[2]Formati 2 Sipas Tavaneve'!D839:G839</f>
        <v>#VALUE!</v>
      </c>
      <c r="C502" s="1015"/>
      <c r="D502" s="1015"/>
      <c r="E502" s="1016"/>
    </row>
    <row r="503" spans="1:5" ht="25.5" customHeight="1" thickBot="1" x14ac:dyDescent="0.25">
      <c r="A503" s="133" t="s">
        <v>72</v>
      </c>
      <c r="B503" s="945" t="e">
        <f>'[2]Formati 2 Sipas Tavaneve'!D840:G840</f>
        <v>#VALUE!</v>
      </c>
      <c r="C503" s="946"/>
      <c r="D503" s="946"/>
      <c r="E503" s="947"/>
    </row>
    <row r="504" spans="1:5" ht="15.75" customHeight="1" thickBot="1" x14ac:dyDescent="0.25">
      <c r="A504" s="133" t="s">
        <v>74</v>
      </c>
      <c r="B504" s="1002" t="s">
        <v>631</v>
      </c>
      <c r="C504" s="1003"/>
      <c r="D504" s="1003"/>
      <c r="E504" s="1004"/>
    </row>
    <row r="505" spans="1:5" ht="15.75" customHeight="1" thickBot="1" x14ac:dyDescent="0.25">
      <c r="A505" s="133" t="s">
        <v>76</v>
      </c>
      <c r="B505" s="147">
        <f>'[2]Formati 2 Sipas Tavaneve'!D844</f>
        <v>460.25</v>
      </c>
      <c r="C505" s="147">
        <f>'[2]Formati 2 Sipas Tavaneve'!E844</f>
        <v>455.08800000000002</v>
      </c>
      <c r="D505" s="147">
        <f>'[2]Formati 2 Sipas Tavaneve'!F844</f>
        <v>450.53712000000002</v>
      </c>
      <c r="E505" s="147">
        <f>'[2]Formati 2 Sipas Tavaneve'!G844</f>
        <v>446.0317488</v>
      </c>
    </row>
    <row r="506" spans="1:5" ht="15.75" customHeight="1" x14ac:dyDescent="0.2">
      <c r="A506" s="893"/>
      <c r="B506" s="145">
        <v>2018</v>
      </c>
      <c r="C506" s="145">
        <v>2019</v>
      </c>
      <c r="D506" s="145">
        <v>2020</v>
      </c>
      <c r="E506" s="145">
        <v>2021</v>
      </c>
    </row>
    <row r="507" spans="1:5" ht="15.75" customHeight="1" thickBot="1" x14ac:dyDescent="0.25">
      <c r="A507" s="894"/>
      <c r="B507" s="146" t="s">
        <v>41</v>
      </c>
      <c r="C507" s="146" t="s">
        <v>42</v>
      </c>
      <c r="D507" s="146" t="s">
        <v>42</v>
      </c>
      <c r="E507" s="146" t="s">
        <v>42</v>
      </c>
    </row>
    <row r="508" spans="1:5" ht="15.75" customHeight="1" thickBot="1" x14ac:dyDescent="0.25">
      <c r="A508" s="133" t="s">
        <v>77</v>
      </c>
      <c r="B508" s="147">
        <f>'[2]Formati 2 Sipas Tavaneve'!D845</f>
        <v>82546</v>
      </c>
      <c r="C508" s="147">
        <f>'[2]Formati 2 Sipas Tavaneve'!E845</f>
        <v>84412</v>
      </c>
      <c r="D508" s="147">
        <f>'[2]Formati 2 Sipas Tavaneve'!F845</f>
        <v>86074</v>
      </c>
      <c r="E508" s="147">
        <f>'[2]Formati 2 Sipas Tavaneve'!G845</f>
        <v>87771</v>
      </c>
    </row>
    <row r="509" spans="1:5" ht="15.75" customHeight="1" thickBot="1" x14ac:dyDescent="0.25">
      <c r="A509" s="133" t="s">
        <v>78</v>
      </c>
      <c r="B509" s="147">
        <f>B508/B505</f>
        <v>179.35035306898425</v>
      </c>
      <c r="C509" s="147">
        <f>C508/C505</f>
        <v>185.48500509791512</v>
      </c>
      <c r="D509" s="147">
        <f>D508/D505</f>
        <v>191.04752123421039</v>
      </c>
      <c r="E509" s="147">
        <f>E508/E505</f>
        <v>196.78195607406502</v>
      </c>
    </row>
    <row r="510" spans="1:5" ht="15.75" customHeight="1" thickBot="1" x14ac:dyDescent="0.25">
      <c r="A510" s="133" t="s">
        <v>79</v>
      </c>
      <c r="B510" s="148"/>
      <c r="C510" s="149">
        <f>C505/B505-1</f>
        <v>-1.1215643671917408E-2</v>
      </c>
      <c r="D510" s="149">
        <f>D505/C505-1</f>
        <v>-1.0000000000000009E-2</v>
      </c>
      <c r="E510" s="149">
        <f>E505/D505-1</f>
        <v>-1.0000000000000009E-2</v>
      </c>
    </row>
    <row r="511" spans="1:5" ht="15.75" customHeight="1" thickBot="1" x14ac:dyDescent="0.25">
      <c r="A511" s="133" t="s">
        <v>81</v>
      </c>
      <c r="B511" s="148"/>
      <c r="C511" s="149">
        <f t="shared" ref="C511:E512" si="20">C508/B508-1</f>
        <v>2.2605577496183971E-2</v>
      </c>
      <c r="D511" s="149">
        <f t="shared" si="20"/>
        <v>1.9689143723641278E-2</v>
      </c>
      <c r="E511" s="149">
        <f t="shared" si="20"/>
        <v>1.971559355903052E-2</v>
      </c>
    </row>
    <row r="512" spans="1:5" ht="15.75" customHeight="1" thickBot="1" x14ac:dyDescent="0.25">
      <c r="A512" s="133" t="s">
        <v>82</v>
      </c>
      <c r="B512" s="148"/>
      <c r="C512" s="149">
        <f t="shared" si="20"/>
        <v>3.4204850584103719E-2</v>
      </c>
      <c r="D512" s="149">
        <f t="shared" si="20"/>
        <v>2.9989034064284104E-2</v>
      </c>
      <c r="E512" s="149">
        <f t="shared" si="20"/>
        <v>3.001575106972787E-2</v>
      </c>
    </row>
    <row r="513" spans="1:5" ht="15.75" customHeight="1" thickBot="1" x14ac:dyDescent="0.25">
      <c r="A513" s="1005" t="s">
        <v>632</v>
      </c>
      <c r="B513" s="1006"/>
      <c r="C513" s="1006"/>
      <c r="D513" s="1006"/>
      <c r="E513" s="1007"/>
    </row>
    <row r="514" spans="1:5" ht="15.75" customHeight="1" x14ac:dyDescent="0.2">
      <c r="A514" s="893"/>
      <c r="B514" s="145">
        <v>2018</v>
      </c>
      <c r="C514" s="145">
        <v>2019</v>
      </c>
      <c r="D514" s="145">
        <v>2020</v>
      </c>
      <c r="E514" s="145">
        <v>2021</v>
      </c>
    </row>
    <row r="515" spans="1:5" ht="15.75" customHeight="1" thickBot="1" x14ac:dyDescent="0.25">
      <c r="A515" s="894"/>
      <c r="B515" s="146" t="s">
        <v>41</v>
      </c>
      <c r="C515" s="146" t="s">
        <v>42</v>
      </c>
      <c r="D515" s="146" t="s">
        <v>42</v>
      </c>
      <c r="E515" s="146" t="s">
        <v>42</v>
      </c>
    </row>
    <row r="516" spans="1:5" ht="15.75" customHeight="1" thickBot="1" x14ac:dyDescent="0.25">
      <c r="A516" s="173" t="s">
        <v>84</v>
      </c>
      <c r="B516" s="142">
        <f>'[2]Formati 2 Sipas Tavaneve'!D853</f>
        <v>638.94043004663786</v>
      </c>
      <c r="C516" s="142">
        <f>'[2]Formati 2 Sipas Tavaneve'!E853</f>
        <v>672.94712130213122</v>
      </c>
      <c r="D516" s="142">
        <f>'[2]Formati 2 Sipas Tavaneve'!F853</f>
        <v>678.7009583225813</v>
      </c>
      <c r="E516" s="142">
        <f>'[2]Formati 2 Sipas Tavaneve'!G853</f>
        <v>692.38324878507683</v>
      </c>
    </row>
    <row r="517" spans="1:5" ht="15.75" customHeight="1" thickBot="1" x14ac:dyDescent="0.25">
      <c r="A517" s="173" t="s">
        <v>85</v>
      </c>
      <c r="B517" s="142">
        <f>'[2]Formati 2 Sipas Tavaneve'!D856</f>
        <v>109.06783026795756</v>
      </c>
      <c r="C517" s="142">
        <f>'[2]Formati 2 Sipas Tavaneve'!E856</f>
        <v>106.22507036507194</v>
      </c>
      <c r="D517" s="142">
        <f>'[2]Formati 2 Sipas Tavaneve'!F856</f>
        <v>106.8524451789507</v>
      </c>
      <c r="E517" s="142">
        <f>'[2]Formati 2 Sipas Tavaneve'!G856</f>
        <v>109.26837310113503</v>
      </c>
    </row>
    <row r="518" spans="1:5" ht="15.75" customHeight="1" thickBot="1" x14ac:dyDescent="0.25">
      <c r="A518" s="173" t="s">
        <v>86</v>
      </c>
      <c r="B518" s="142">
        <f>'[2]Formati 2 Sipas Tavaneve'!D859</f>
        <v>670.33180136325586</v>
      </c>
      <c r="C518" s="142">
        <f>'[2]Formati 2 Sipas Tavaneve'!E859</f>
        <v>683.11760676261702</v>
      </c>
      <c r="D518" s="142">
        <f>'[2]Formati 2 Sipas Tavaneve'!F859</f>
        <v>705.54830635749352</v>
      </c>
      <c r="E518" s="142">
        <f>'[2]Formati 2 Sipas Tavaneve'!G859</f>
        <v>720.22567077719293</v>
      </c>
    </row>
    <row r="519" spans="1:5" ht="15.75" customHeight="1" thickBot="1" x14ac:dyDescent="0.25">
      <c r="A519" s="173" t="s">
        <v>87</v>
      </c>
      <c r="B519" s="142"/>
      <c r="C519" s="142"/>
      <c r="D519" s="142"/>
      <c r="E519" s="142"/>
    </row>
    <row r="520" spans="1:5" ht="15.75" customHeight="1" thickBot="1" x14ac:dyDescent="0.25">
      <c r="A520" s="173" t="s">
        <v>88</v>
      </c>
      <c r="B520" s="142">
        <f>'[2]Formati 2 Sipas Tavaneve'!D865</f>
        <v>81127.630313009722</v>
      </c>
      <c r="C520" s="142">
        <f>'[2]Formati 2 Sipas Tavaneve'!E865</f>
        <v>82949.226969638912</v>
      </c>
      <c r="D520" s="142">
        <f>'[2]Formati 2 Sipas Tavaneve'!F865</f>
        <v>84583.326740940814</v>
      </c>
      <c r="E520" s="142">
        <f>'[2]Formati 2 Sipas Tavaneve'!G865</f>
        <v>86249.618277737361</v>
      </c>
    </row>
    <row r="521" spans="1:5" ht="15.75" customHeight="1" thickBot="1" x14ac:dyDescent="0.25">
      <c r="A521" s="173" t="s">
        <v>89</v>
      </c>
      <c r="B521" s="142"/>
      <c r="C521" s="142"/>
      <c r="D521" s="142"/>
      <c r="E521" s="142"/>
    </row>
    <row r="522" spans="1:5" ht="15.75" customHeight="1" thickBot="1" x14ac:dyDescent="0.25">
      <c r="A522" s="173" t="s">
        <v>90</v>
      </c>
      <c r="B522" s="142"/>
      <c r="C522" s="142"/>
      <c r="D522" s="142"/>
      <c r="E522" s="142"/>
    </row>
    <row r="523" spans="1:5" ht="15.75" customHeight="1" thickBot="1" x14ac:dyDescent="0.25">
      <c r="A523" s="180" t="s">
        <v>292</v>
      </c>
      <c r="B523" s="158">
        <f>ROUND(B522+B521+B520+B519+B518+B517+B516,0)</f>
        <v>82546</v>
      </c>
      <c r="C523" s="158">
        <f>ROUND(C522+C521+C520+C519+C518+C517+C516,0)</f>
        <v>84412</v>
      </c>
      <c r="D523" s="158">
        <f>ROUND(D522+D521+D520+D519+D518+D517+D516,0)</f>
        <v>86074</v>
      </c>
      <c r="E523" s="158">
        <f>ROUND(E522+E521+E520+E519+E518+E517+E516,0)</f>
        <v>87771</v>
      </c>
    </row>
    <row r="524" spans="1:5" ht="12" thickBot="1" x14ac:dyDescent="0.25">
      <c r="A524" s="168" t="s">
        <v>92</v>
      </c>
      <c r="B524" s="160">
        <f>IF(B523-B508=0,0,"Error")</f>
        <v>0</v>
      </c>
      <c r="C524" s="160">
        <f>IF(C523-C508=0,0,"Error")</f>
        <v>0</v>
      </c>
      <c r="D524" s="160">
        <f>IF(D523-D508=0,0,"Error")</f>
        <v>0</v>
      </c>
      <c r="E524" s="160">
        <f>IF(E523-E508=0,0,"Error")</f>
        <v>0</v>
      </c>
    </row>
    <row r="525" spans="1:5" ht="15.75" customHeight="1" thickBot="1" x14ac:dyDescent="0.25">
      <c r="A525" s="156" t="s">
        <v>294</v>
      </c>
      <c r="B525" s="1014" t="e">
        <f>'[2]Formati 2 Sipas Tavaneve'!D879:G879</f>
        <v>#VALUE!</v>
      </c>
      <c r="C525" s="1015"/>
      <c r="D525" s="1015"/>
      <c r="E525" s="1016"/>
    </row>
    <row r="526" spans="1:5" ht="29.25" customHeight="1" thickBot="1" x14ac:dyDescent="0.25">
      <c r="A526" s="133" t="s">
        <v>72</v>
      </c>
      <c r="B526" s="945" t="e">
        <f>'[2]Formati 2 Sipas Tavaneve'!D880:G880</f>
        <v>#VALUE!</v>
      </c>
      <c r="C526" s="946"/>
      <c r="D526" s="946"/>
      <c r="E526" s="947"/>
    </row>
    <row r="527" spans="1:5" ht="15.75" customHeight="1" thickBot="1" x14ac:dyDescent="0.25">
      <c r="A527" s="133" t="s">
        <v>74</v>
      </c>
      <c r="B527" s="1002" t="s">
        <v>631</v>
      </c>
      <c r="C527" s="1003"/>
      <c r="D527" s="1003"/>
      <c r="E527" s="1004"/>
    </row>
    <row r="528" spans="1:5" ht="15.75" customHeight="1" thickBot="1" x14ac:dyDescent="0.25">
      <c r="A528" s="133" t="s">
        <v>76</v>
      </c>
      <c r="B528" s="147">
        <f>'[2]Formati 2 Sipas Tavaneve'!D884</f>
        <v>60.939</v>
      </c>
      <c r="C528" s="147">
        <f>'[2]Formati 2 Sipas Tavaneve'!E884</f>
        <v>60.756244000000002</v>
      </c>
      <c r="D528" s="147">
        <f>'[2]Formati 2 Sipas Tavaneve'!F884</f>
        <v>60.634731512000002</v>
      </c>
      <c r="E528" s="147">
        <f>'[2]Formati 2 Sipas Tavaneve'!G884</f>
        <v>60.513462048976002</v>
      </c>
    </row>
    <row r="529" spans="1:5" ht="15.75" customHeight="1" x14ac:dyDescent="0.2">
      <c r="A529" s="893"/>
      <c r="B529" s="145">
        <v>2018</v>
      </c>
      <c r="C529" s="145">
        <v>2019</v>
      </c>
      <c r="D529" s="145">
        <v>2020</v>
      </c>
      <c r="E529" s="145">
        <v>2021</v>
      </c>
    </row>
    <row r="530" spans="1:5" ht="15.75" customHeight="1" thickBot="1" x14ac:dyDescent="0.25">
      <c r="A530" s="894"/>
      <c r="B530" s="146" t="s">
        <v>41</v>
      </c>
      <c r="C530" s="146" t="s">
        <v>42</v>
      </c>
      <c r="D530" s="146" t="s">
        <v>42</v>
      </c>
      <c r="E530" s="146" t="s">
        <v>42</v>
      </c>
    </row>
    <row r="531" spans="1:5" ht="15.75" customHeight="1" thickBot="1" x14ac:dyDescent="0.25">
      <c r="A531" s="133" t="s">
        <v>77</v>
      </c>
      <c r="B531" s="147">
        <f>'[2]Formati 2 Sipas Tavaneve'!D885</f>
        <v>11917</v>
      </c>
      <c r="C531" s="147">
        <f>'[2]Formati 2 Sipas Tavaneve'!E885</f>
        <v>12565</v>
      </c>
      <c r="D531" s="147">
        <f>'[2]Formati 2 Sipas Tavaneve'!F885</f>
        <v>12916</v>
      </c>
      <c r="E531" s="147">
        <f>'[2]Formati 2 Sipas Tavaneve'!G885</f>
        <v>13278</v>
      </c>
    </row>
    <row r="532" spans="1:5" ht="15.75" customHeight="1" thickBot="1" x14ac:dyDescent="0.25">
      <c r="A532" s="133" t="s">
        <v>78</v>
      </c>
      <c r="B532" s="147">
        <f>B531/B528</f>
        <v>195.55621194965457</v>
      </c>
      <c r="C532" s="147">
        <f>C531/C528</f>
        <v>206.81001939487896</v>
      </c>
      <c r="D532" s="147">
        <f>D531/D528</f>
        <v>213.01322984243512</v>
      </c>
      <c r="E532" s="147">
        <f>E531/E528</f>
        <v>219.42225003179581</v>
      </c>
    </row>
    <row r="533" spans="1:5" ht="15.75" customHeight="1" thickBot="1" x14ac:dyDescent="0.25">
      <c r="A533" s="133" t="s">
        <v>79</v>
      </c>
      <c r="B533" s="148"/>
      <c r="C533" s="149">
        <f>C528/B528-1</f>
        <v>-2.9989989989989141E-3</v>
      </c>
      <c r="D533" s="149">
        <f>D528/C528-1</f>
        <v>-2.0000000000000018E-3</v>
      </c>
      <c r="E533" s="149">
        <f>E528/D528-1</f>
        <v>-2.0000000000000018E-3</v>
      </c>
    </row>
    <row r="534" spans="1:5" ht="15.75" customHeight="1" thickBot="1" x14ac:dyDescent="0.25">
      <c r="A534" s="133" t="s">
        <v>81</v>
      </c>
      <c r="B534" s="148"/>
      <c r="C534" s="149">
        <f t="shared" ref="C534:E535" si="21">C531/B531-1</f>
        <v>5.4376101367793916E-2</v>
      </c>
      <c r="D534" s="149">
        <f t="shared" si="21"/>
        <v>2.7934739355352178E-2</v>
      </c>
      <c r="E534" s="149">
        <f t="shared" si="21"/>
        <v>2.8027253019510701E-2</v>
      </c>
    </row>
    <row r="535" spans="1:5" ht="15.75" customHeight="1" thickBot="1" x14ac:dyDescent="0.25">
      <c r="A535" s="133" t="s">
        <v>82</v>
      </c>
      <c r="B535" s="148"/>
      <c r="C535" s="149">
        <f t="shared" si="21"/>
        <v>5.7547685818958527E-2</v>
      </c>
      <c r="D535" s="149">
        <f t="shared" si="21"/>
        <v>2.9994728812978266E-2</v>
      </c>
      <c r="E535" s="149">
        <f t="shared" si="21"/>
        <v>3.0087427875261197E-2</v>
      </c>
    </row>
    <row r="536" spans="1:5" ht="15.75" customHeight="1" thickBot="1" x14ac:dyDescent="0.25">
      <c r="A536" s="1005" t="s">
        <v>630</v>
      </c>
      <c r="B536" s="1006"/>
      <c r="C536" s="1006"/>
      <c r="D536" s="1006"/>
      <c r="E536" s="1007"/>
    </row>
    <row r="537" spans="1:5" ht="15.75" customHeight="1" x14ac:dyDescent="0.2">
      <c r="A537" s="893"/>
      <c r="B537" s="145">
        <v>2018</v>
      </c>
      <c r="C537" s="145">
        <v>2019</v>
      </c>
      <c r="D537" s="145">
        <v>2020</v>
      </c>
      <c r="E537" s="145">
        <v>2021</v>
      </c>
    </row>
    <row r="538" spans="1:5" ht="15.75" customHeight="1" thickBot="1" x14ac:dyDescent="0.25">
      <c r="A538" s="894"/>
      <c r="B538" s="146" t="s">
        <v>41</v>
      </c>
      <c r="C538" s="146" t="s">
        <v>42</v>
      </c>
      <c r="D538" s="146" t="s">
        <v>42</v>
      </c>
      <c r="E538" s="146" t="s">
        <v>42</v>
      </c>
    </row>
    <row r="539" spans="1:5" ht="15.75" customHeight="1" thickBot="1" x14ac:dyDescent="0.25">
      <c r="A539" s="173" t="s">
        <v>84</v>
      </c>
      <c r="B539" s="142">
        <f>'[2]Formati 2 Sipas Tavaneve'!D893</f>
        <v>92.244656051273864</v>
      </c>
      <c r="C539" s="142">
        <f>'[2]Formati 2 Sipas Tavaneve'!E893</f>
        <v>100.17389383870956</v>
      </c>
      <c r="D539" s="142">
        <f>'[2]Formati 2 Sipas Tavaneve'!F893</f>
        <v>101.84680862577967</v>
      </c>
      <c r="E539" s="142">
        <f>'[2]Formati 2 Sipas Tavaneve'!G893</f>
        <v>104.73958803546091</v>
      </c>
    </row>
    <row r="540" spans="1:5" ht="15.75" customHeight="1" thickBot="1" x14ac:dyDescent="0.25">
      <c r="A540" s="173" t="s">
        <v>85</v>
      </c>
      <c r="B540" s="142">
        <f>'[2]Formati 2 Sipas Tavaneve'!D896</f>
        <v>15.746263683129412</v>
      </c>
      <c r="C540" s="142">
        <f>'[2]Formati 2 Sipas Tavaneve'!E896</f>
        <v>15.81250381333115</v>
      </c>
      <c r="D540" s="142">
        <f>'[2]Formati 2 Sipas Tavaneve'!F896</f>
        <v>16.034426358014361</v>
      </c>
      <c r="E540" s="142">
        <f>'[2]Formati 2 Sipas Tavaneve'!G896</f>
        <v>16.529464576157714</v>
      </c>
    </row>
    <row r="541" spans="1:5" ht="15.75" customHeight="1" thickBot="1" x14ac:dyDescent="0.25">
      <c r="A541" s="173" t="s">
        <v>86</v>
      </c>
      <c r="B541" s="142">
        <f>'[2]Formati 2 Sipas Tavaneve'!D899</f>
        <v>96.776668918056913</v>
      </c>
      <c r="C541" s="142">
        <f>'[2]Formati 2 Sipas Tavaneve'!E899</f>
        <v>101.68785696977321</v>
      </c>
      <c r="D541" s="142">
        <f>'[2]Formati 2 Sipas Tavaneve'!F899</f>
        <v>105.8755589669893</v>
      </c>
      <c r="E541" s="142">
        <f>'[2]Formati 2 Sipas Tavaneve'!G899</f>
        <v>108.95142275919341</v>
      </c>
    </row>
    <row r="542" spans="1:5" ht="15.75" customHeight="1" thickBot="1" x14ac:dyDescent="0.25">
      <c r="A542" s="173" t="s">
        <v>87</v>
      </c>
      <c r="B542" s="142"/>
      <c r="C542" s="142"/>
      <c r="D542" s="142"/>
      <c r="E542" s="142"/>
    </row>
    <row r="543" spans="1:5" ht="15.75" customHeight="1" thickBot="1" x14ac:dyDescent="0.25">
      <c r="A543" s="173" t="s">
        <v>88</v>
      </c>
      <c r="B543" s="142">
        <f>'[2]Formati 2 Sipas Tavaneve'!D905</f>
        <v>11712.500888278795</v>
      </c>
      <c r="C543" s="142">
        <f>'[2]Formati 2 Sipas Tavaneve'!E905</f>
        <v>12347.696859719545</v>
      </c>
      <c r="D543" s="142">
        <f>'[2]Formati 2 Sipas Tavaneve'!F905</f>
        <v>12692.691509980108</v>
      </c>
      <c r="E543" s="142">
        <f>'[2]Formati 2 Sipas Tavaneve'!G905</f>
        <v>13047.325310768954</v>
      </c>
    </row>
    <row r="544" spans="1:5" ht="15.75" customHeight="1" thickBot="1" x14ac:dyDescent="0.25">
      <c r="A544" s="173" t="s">
        <v>89</v>
      </c>
      <c r="B544" s="142"/>
      <c r="C544" s="142"/>
      <c r="D544" s="142"/>
      <c r="E544" s="142"/>
    </row>
    <row r="545" spans="1:5" ht="15.75" customHeight="1" thickBot="1" x14ac:dyDescent="0.25">
      <c r="A545" s="173" t="s">
        <v>90</v>
      </c>
      <c r="B545" s="142"/>
      <c r="C545" s="142"/>
      <c r="D545" s="142"/>
      <c r="E545" s="142"/>
    </row>
    <row r="546" spans="1:5" ht="15.75" customHeight="1" thickBot="1" x14ac:dyDescent="0.25">
      <c r="A546" s="180" t="s">
        <v>296</v>
      </c>
      <c r="B546" s="158">
        <f>ROUND(B545+B544+B543+B542+B541+B540+B539,0)</f>
        <v>11917</v>
      </c>
      <c r="C546" s="158">
        <f>ROUND(C545+C544+C543+C542+C541+C540+C539,0)</f>
        <v>12565</v>
      </c>
      <c r="D546" s="158">
        <f>ROUND(D545+D544+D543+D542+D541+D540+D539,0)</f>
        <v>12916</v>
      </c>
      <c r="E546" s="158">
        <f>ROUND(E545+E544+E543+E542+E541+E540+E539,0)</f>
        <v>13278</v>
      </c>
    </row>
    <row r="547" spans="1:5" ht="15.75" customHeight="1" thickBot="1" x14ac:dyDescent="0.25">
      <c r="A547" s="168" t="s">
        <v>92</v>
      </c>
      <c r="B547" s="160">
        <f>IF(B546-B531=0,0,"Error")</f>
        <v>0</v>
      </c>
      <c r="C547" s="160">
        <f>IF(C546-C531=0,0,"Error")</f>
        <v>0</v>
      </c>
      <c r="D547" s="160">
        <f>IF(D546-D531=0,0,"Error")</f>
        <v>0</v>
      </c>
      <c r="E547" s="160">
        <f>IF(E546-E531=0,0,"Error")</f>
        <v>0</v>
      </c>
    </row>
    <row r="548" spans="1:5" ht="15.75" customHeight="1" thickBot="1" x14ac:dyDescent="0.25">
      <c r="A548" s="156" t="s">
        <v>629</v>
      </c>
      <c r="B548" s="1014" t="e">
        <f>'[2]Formati 2 Sipas Tavaneve'!D919:G919</f>
        <v>#VALUE!</v>
      </c>
      <c r="C548" s="1015"/>
      <c r="D548" s="1015"/>
      <c r="E548" s="1016"/>
    </row>
    <row r="549" spans="1:5" ht="27" customHeight="1" thickBot="1" x14ac:dyDescent="0.25">
      <c r="A549" s="133" t="s">
        <v>72</v>
      </c>
      <c r="B549" s="945" t="e">
        <f>'[2]Formati 2 Sipas Tavaneve'!D920:G920</f>
        <v>#VALUE!</v>
      </c>
      <c r="C549" s="946"/>
      <c r="D549" s="946"/>
      <c r="E549" s="947"/>
    </row>
    <row r="550" spans="1:5" ht="15.75" customHeight="1" thickBot="1" x14ac:dyDescent="0.25">
      <c r="A550" s="133" t="s">
        <v>74</v>
      </c>
      <c r="B550" s="1002" t="e">
        <f>'[2]Formati 2 Sipas Tavaneve'!D921:G921</f>
        <v>#VALUE!</v>
      </c>
      <c r="C550" s="1003"/>
      <c r="D550" s="1003"/>
      <c r="E550" s="1004"/>
    </row>
    <row r="551" spans="1:5" ht="15.75" customHeight="1" thickBot="1" x14ac:dyDescent="0.25">
      <c r="A551" s="133" t="s">
        <v>76</v>
      </c>
      <c r="B551" s="147">
        <f>'[2]Formati 2 Sipas Tavaneve'!D924</f>
        <v>19128.934715773245</v>
      </c>
      <c r="C551" s="147">
        <f>'[2]Formati 2 Sipas Tavaneve'!E924</f>
        <v>19419.223461183246</v>
      </c>
      <c r="D551" s="147">
        <f>'[2]Formati 2 Sipas Tavaneve'!F924</f>
        <v>19615.357618141195</v>
      </c>
      <c r="E551" s="147">
        <f>'[2]Formati 2 Sipas Tavaneve'!G924</f>
        <v>19813.472730084421</v>
      </c>
    </row>
    <row r="552" spans="1:5" ht="15.75" customHeight="1" x14ac:dyDescent="0.2">
      <c r="A552" s="893"/>
      <c r="B552" s="145">
        <v>2018</v>
      </c>
      <c r="C552" s="145">
        <v>2019</v>
      </c>
      <c r="D552" s="145">
        <v>2020</v>
      </c>
      <c r="E552" s="145">
        <v>2021</v>
      </c>
    </row>
    <row r="553" spans="1:5" ht="15.75" customHeight="1" thickBot="1" x14ac:dyDescent="0.25">
      <c r="A553" s="894"/>
      <c r="B553" s="146" t="s">
        <v>41</v>
      </c>
      <c r="C553" s="146" t="s">
        <v>42</v>
      </c>
      <c r="D553" s="146" t="s">
        <v>42</v>
      </c>
      <c r="E553" s="146" t="s">
        <v>42</v>
      </c>
    </row>
    <row r="554" spans="1:5" ht="15.75" customHeight="1" thickBot="1" x14ac:dyDescent="0.25">
      <c r="A554" s="133" t="s">
        <v>77</v>
      </c>
      <c r="B554" s="147">
        <f>'[2]Formati 2 Sipas Tavaneve'!D925</f>
        <v>208608</v>
      </c>
      <c r="C554" s="147">
        <f>'[2]Formati 2 Sipas Tavaneve'!E925</f>
        <v>218187</v>
      </c>
      <c r="D554" s="147">
        <f>'[2]Formati 2 Sipas Tavaneve'!F925</f>
        <v>227003</v>
      </c>
      <c r="E554" s="147">
        <f>'[2]Formati 2 Sipas Tavaneve'!G925</f>
        <v>236178</v>
      </c>
    </row>
    <row r="555" spans="1:5" ht="15.75" customHeight="1" thickBot="1" x14ac:dyDescent="0.25">
      <c r="A555" s="133" t="s">
        <v>78</v>
      </c>
      <c r="B555" s="147">
        <f>B554/B551</f>
        <v>10.905364208702485</v>
      </c>
      <c r="C555" s="147">
        <f>C554/C551</f>
        <v>11.23561920156747</v>
      </c>
      <c r="D555" s="147">
        <f>D554/D551</f>
        <v>11.572717888663782</v>
      </c>
      <c r="E555" s="147">
        <f>E554/E551</f>
        <v>11.920070914241681</v>
      </c>
    </row>
    <row r="556" spans="1:5" ht="15.75" customHeight="1" thickBot="1" x14ac:dyDescent="0.25">
      <c r="A556" s="133" t="s">
        <v>79</v>
      </c>
      <c r="B556" s="148"/>
      <c r="C556" s="149">
        <f>C551/B551-1</f>
        <v>1.5175374359484683E-2</v>
      </c>
      <c r="D556" s="149">
        <f>D551/C551-1</f>
        <v>1.0099999999999998E-2</v>
      </c>
      <c r="E556" s="149">
        <f>E551/D551-1</f>
        <v>1.0099999999999998E-2</v>
      </c>
    </row>
    <row r="557" spans="1:5" ht="15.75" customHeight="1" thickBot="1" x14ac:dyDescent="0.25">
      <c r="A557" s="133" t="s">
        <v>81</v>
      </c>
      <c r="B557" s="148"/>
      <c r="C557" s="149">
        <f t="shared" ref="C557:E558" si="22">C554/B554-1</f>
        <v>4.5918660837551695E-2</v>
      </c>
      <c r="D557" s="149">
        <f t="shared" si="22"/>
        <v>4.0405707031124782E-2</v>
      </c>
      <c r="E557" s="149">
        <f t="shared" si="22"/>
        <v>4.0417968044475172E-2</v>
      </c>
    </row>
    <row r="558" spans="1:5" ht="15.75" customHeight="1" thickBot="1" x14ac:dyDescent="0.25">
      <c r="A558" s="133" t="s">
        <v>82</v>
      </c>
      <c r="B558" s="148"/>
      <c r="C558" s="149">
        <f t="shared" si="22"/>
        <v>3.0283719694702338E-2</v>
      </c>
      <c r="D558" s="149">
        <f t="shared" si="22"/>
        <v>3.0002679963493595E-2</v>
      </c>
      <c r="E558" s="149">
        <f t="shared" si="22"/>
        <v>3.0014818378848895E-2</v>
      </c>
    </row>
    <row r="559" spans="1:5" ht="15.75" customHeight="1" thickBot="1" x14ac:dyDescent="0.25">
      <c r="A559" s="1005" t="s">
        <v>628</v>
      </c>
      <c r="B559" s="1006"/>
      <c r="C559" s="1006"/>
      <c r="D559" s="1006"/>
      <c r="E559" s="1007"/>
    </row>
    <row r="560" spans="1:5" ht="15.75" customHeight="1" x14ac:dyDescent="0.2">
      <c r="A560" s="893"/>
      <c r="B560" s="145">
        <v>2018</v>
      </c>
      <c r="C560" s="145">
        <v>2019</v>
      </c>
      <c r="D560" s="145">
        <v>2020</v>
      </c>
      <c r="E560" s="145">
        <v>2021</v>
      </c>
    </row>
    <row r="561" spans="1:5" ht="15.75" customHeight="1" thickBot="1" x14ac:dyDescent="0.25">
      <c r="A561" s="894"/>
      <c r="B561" s="146" t="s">
        <v>41</v>
      </c>
      <c r="C561" s="146" t="s">
        <v>42</v>
      </c>
      <c r="D561" s="146" t="s">
        <v>42</v>
      </c>
      <c r="E561" s="146" t="s">
        <v>42</v>
      </c>
    </row>
    <row r="562" spans="1:5" ht="15.75" customHeight="1" thickBot="1" x14ac:dyDescent="0.25">
      <c r="A562" s="173" t="s">
        <v>84</v>
      </c>
      <c r="B562" s="142">
        <f>'[2]Formati 2 Sipas Tavaneve'!D933</f>
        <v>1614.7129583391529</v>
      </c>
      <c r="C562" s="142">
        <f>'[2]Formati 2 Sipas Tavaneve'!E933</f>
        <v>1739.4381598686784</v>
      </c>
      <c r="D562" s="142">
        <f>'[2]Formati 2 Sipas Tavaneve'!F933</f>
        <v>1789.9285393914447</v>
      </c>
      <c r="E562" s="142">
        <f>'[2]Formati 2 Sipas Tavaneve'!G933</f>
        <v>1863.086242771644</v>
      </c>
    </row>
    <row r="563" spans="1:5" ht="15.75" customHeight="1" thickBot="1" x14ac:dyDescent="0.25">
      <c r="A563" s="173" t="s">
        <v>85</v>
      </c>
      <c r="B563" s="142">
        <f>'[2]Formati 2 Sipas Tavaneve'!D936</f>
        <v>275.63326812603083</v>
      </c>
      <c r="C563" s="142">
        <f>'[2]Formati 2 Sipas Tavaneve'!E936</f>
        <v>274.57126285080739</v>
      </c>
      <c r="D563" s="142">
        <f>'[2]Formati 2 Sipas Tavaneve'!F936</f>
        <v>281.80045833773539</v>
      </c>
      <c r="E563" s="142">
        <f>'[2]Formati 2 Sipas Tavaneve'!G936</f>
        <v>294.02271509598023</v>
      </c>
    </row>
    <row r="564" spans="1:5" ht="15.75" customHeight="1" thickBot="1" x14ac:dyDescent="0.25">
      <c r="A564" s="173" t="s">
        <v>86</v>
      </c>
      <c r="B564" s="142">
        <f>'[2]Formati 2 Sipas Tavaneve'!D939</f>
        <v>1694.0443821485358</v>
      </c>
      <c r="C564" s="142">
        <f>'[2]Formati 2 Sipas Tavaneve'!E939</f>
        <v>1765.7268978012028</v>
      </c>
      <c r="D564" s="142">
        <f>'[2]Formati 2 Sipas Tavaneve'!F939</f>
        <v>1860.7326746521821</v>
      </c>
      <c r="E564" s="142">
        <f>'[2]Formati 2 Sipas Tavaneve'!G939</f>
        <v>1938.0054922912927</v>
      </c>
    </row>
    <row r="565" spans="1:5" ht="15.75" customHeight="1" thickBot="1" x14ac:dyDescent="0.25">
      <c r="A565" s="173" t="s">
        <v>87</v>
      </c>
      <c r="B565" s="142"/>
      <c r="C565" s="142"/>
      <c r="D565" s="142"/>
      <c r="E565" s="142"/>
    </row>
    <row r="566" spans="1:5" ht="15.75" customHeight="1" thickBot="1" x14ac:dyDescent="0.25">
      <c r="A566" s="173" t="s">
        <v>88</v>
      </c>
      <c r="B566" s="142">
        <f>'[2]Formati 2 Sipas Tavaneve'!D945</f>
        <v>205023.55115672242</v>
      </c>
      <c r="C566" s="142">
        <f>'[2]Formati 2 Sipas Tavaneve'!E945</f>
        <v>214407.70924676975</v>
      </c>
      <c r="D566" s="142">
        <f>'[2]Formati 2 Sipas Tavaneve'!F945</f>
        <v>223070.42392346699</v>
      </c>
      <c r="E566" s="142">
        <f>'[2]Formati 2 Sipas Tavaneve'!G945</f>
        <v>232083.13826124682</v>
      </c>
    </row>
    <row r="567" spans="1:5" ht="15.75" customHeight="1" thickBot="1" x14ac:dyDescent="0.25">
      <c r="A567" s="173" t="s">
        <v>89</v>
      </c>
      <c r="B567" s="142"/>
      <c r="C567" s="142"/>
      <c r="D567" s="142"/>
      <c r="E567" s="142"/>
    </row>
    <row r="568" spans="1:5" ht="15.75" customHeight="1" thickBot="1" x14ac:dyDescent="0.25">
      <c r="A568" s="173" t="s">
        <v>90</v>
      </c>
      <c r="B568" s="142"/>
      <c r="C568" s="142"/>
      <c r="D568" s="142"/>
      <c r="E568" s="142"/>
    </row>
    <row r="569" spans="1:5" ht="15.75" customHeight="1" thickBot="1" x14ac:dyDescent="0.25">
      <c r="A569" s="180" t="s">
        <v>627</v>
      </c>
      <c r="B569" s="158">
        <f>ROUND(B568+B567+B566+B565+B564+B563+B562,0)</f>
        <v>208608</v>
      </c>
      <c r="C569" s="158">
        <f>ROUND(C568+C567+C566+C565+C564+C563+C562,0)</f>
        <v>218187</v>
      </c>
      <c r="D569" s="158">
        <f>ROUND(D568+D567+D566+D565+D564+D563+D562,0)</f>
        <v>227003</v>
      </c>
      <c r="E569" s="158">
        <f>ROUND(E568+E567+E566+E565+E564+E563+E562,0)</f>
        <v>236178</v>
      </c>
    </row>
    <row r="570" spans="1:5" ht="15.75" customHeight="1" thickBot="1" x14ac:dyDescent="0.25">
      <c r="A570" s="168" t="s">
        <v>92</v>
      </c>
      <c r="B570" s="160">
        <f>IF(B569-B554=0,0,"Error")</f>
        <v>0</v>
      </c>
      <c r="C570" s="160">
        <f>IF(C569-C554=0,0,"Error")</f>
        <v>0</v>
      </c>
      <c r="D570" s="160">
        <f>IF(D569-D554=0,0,"Error")</f>
        <v>0</v>
      </c>
      <c r="E570" s="160">
        <f>IF(E569-E554=0,0,"Error")</f>
        <v>0</v>
      </c>
    </row>
    <row r="571" spans="1:5" ht="15.75" customHeight="1" thickBot="1" x14ac:dyDescent="0.25">
      <c r="A571" s="156" t="s">
        <v>626</v>
      </c>
      <c r="B571" s="1014" t="e">
        <f>'[2]Formati 2 Sipas Tavaneve'!D959:G959</f>
        <v>#VALUE!</v>
      </c>
      <c r="C571" s="1015"/>
      <c r="D571" s="1015"/>
      <c r="E571" s="1016"/>
    </row>
    <row r="572" spans="1:5" ht="15.75" customHeight="1" thickBot="1" x14ac:dyDescent="0.25">
      <c r="A572" s="133" t="s">
        <v>72</v>
      </c>
      <c r="B572" s="945" t="e">
        <f>'[2]Formati 2 Sipas Tavaneve'!D960:G960</f>
        <v>#VALUE!</v>
      </c>
      <c r="C572" s="946"/>
      <c r="D572" s="946"/>
      <c r="E572" s="947"/>
    </row>
    <row r="573" spans="1:5" ht="15.75" customHeight="1" thickBot="1" x14ac:dyDescent="0.25">
      <c r="A573" s="133" t="s">
        <v>74</v>
      </c>
      <c r="B573" s="1002" t="e">
        <f>'[2]Formati 2 Sipas Tavaneve'!D961:G961</f>
        <v>#VALUE!</v>
      </c>
      <c r="C573" s="1003"/>
      <c r="D573" s="1003"/>
      <c r="E573" s="1004"/>
    </row>
    <row r="574" spans="1:5" ht="15.75" customHeight="1" thickBot="1" x14ac:dyDescent="0.25">
      <c r="A574" s="133" t="s">
        <v>76</v>
      </c>
      <c r="B574" s="147">
        <f>'[2]Formati 2 Sipas Tavaneve'!D964</f>
        <v>106.44145296946458</v>
      </c>
      <c r="C574" s="147">
        <f>'[2]Formati 2 Sipas Tavaneve'!E964</f>
        <v>106.44145296946458</v>
      </c>
      <c r="D574" s="147">
        <f>'[2]Formati 2 Sipas Tavaneve'!F964</f>
        <v>106.44145296946458</v>
      </c>
      <c r="E574" s="147">
        <f>'[2]Formati 2 Sipas Tavaneve'!G964</f>
        <v>106.44145296946458</v>
      </c>
    </row>
    <row r="575" spans="1:5" ht="15.75" customHeight="1" x14ac:dyDescent="0.2">
      <c r="A575" s="893"/>
      <c r="B575" s="145">
        <v>2018</v>
      </c>
      <c r="C575" s="145">
        <v>2019</v>
      </c>
      <c r="D575" s="145">
        <v>2020</v>
      </c>
      <c r="E575" s="145">
        <v>2021</v>
      </c>
    </row>
    <row r="576" spans="1:5" ht="15.75" customHeight="1" thickBot="1" x14ac:dyDescent="0.25">
      <c r="A576" s="894"/>
      <c r="B576" s="146" t="s">
        <v>41</v>
      </c>
      <c r="C576" s="146" t="s">
        <v>42</v>
      </c>
      <c r="D576" s="146" t="s">
        <v>42</v>
      </c>
      <c r="E576" s="146" t="s">
        <v>42</v>
      </c>
    </row>
    <row r="577" spans="1:5" ht="15.75" customHeight="1" thickBot="1" x14ac:dyDescent="0.25">
      <c r="A577" s="133" t="s">
        <v>77</v>
      </c>
      <c r="B577" s="147">
        <f>'[2]Formati 2 Sipas Tavaneve'!D965</f>
        <v>241535</v>
      </c>
      <c r="C577" s="147">
        <f>'[2]Formati 2 Sipas Tavaneve'!E965</f>
        <v>212975</v>
      </c>
      <c r="D577" s="147">
        <f>'[2]Formati 2 Sipas Tavaneve'!F965</f>
        <v>215727</v>
      </c>
      <c r="E577" s="147">
        <f>'[2]Formati 2 Sipas Tavaneve'!G965</f>
        <v>219189</v>
      </c>
    </row>
    <row r="578" spans="1:5" ht="15.75" customHeight="1" thickBot="1" x14ac:dyDescent="0.25">
      <c r="A578" s="133" t="s">
        <v>78</v>
      </c>
      <c r="B578" s="181">
        <f>B577/B574</f>
        <v>2269.1817263081743</v>
      </c>
      <c r="C578" s="181">
        <f>C577/C574</f>
        <v>2000.8652086053096</v>
      </c>
      <c r="D578" s="181">
        <f>D577/D574</f>
        <v>2026.719797425978</v>
      </c>
      <c r="E578" s="181">
        <f>E577/E574</f>
        <v>2059.2447198450018</v>
      </c>
    </row>
    <row r="579" spans="1:5" ht="15.75" customHeight="1" thickBot="1" x14ac:dyDescent="0.25">
      <c r="A579" s="133" t="s">
        <v>79</v>
      </c>
      <c r="B579" s="148"/>
      <c r="C579" s="149">
        <f>C574/B574-1</f>
        <v>0</v>
      </c>
      <c r="D579" s="149">
        <f>D574/C574-1</f>
        <v>0</v>
      </c>
      <c r="E579" s="149">
        <f>E574/D574-1</f>
        <v>0</v>
      </c>
    </row>
    <row r="580" spans="1:5" ht="15.75" customHeight="1" thickBot="1" x14ac:dyDescent="0.25">
      <c r="A580" s="133" t="s">
        <v>81</v>
      </c>
      <c r="B580" s="148"/>
      <c r="C580" s="149">
        <f t="shared" ref="C580:E581" si="23">C577/B577-1</f>
        <v>-0.1182437327923489</v>
      </c>
      <c r="D580" s="149">
        <f t="shared" si="23"/>
        <v>1.292170442540197E-2</v>
      </c>
      <c r="E580" s="149">
        <f t="shared" si="23"/>
        <v>1.6048060743439674E-2</v>
      </c>
    </row>
    <row r="581" spans="1:5" ht="15.75" customHeight="1" thickBot="1" x14ac:dyDescent="0.25">
      <c r="A581" s="133" t="s">
        <v>82</v>
      </c>
      <c r="B581" s="148"/>
      <c r="C581" s="149">
        <f t="shared" si="23"/>
        <v>-0.1182437327923489</v>
      </c>
      <c r="D581" s="149">
        <f t="shared" si="23"/>
        <v>1.2921704425402192E-2</v>
      </c>
      <c r="E581" s="149">
        <f t="shared" si="23"/>
        <v>1.6048060743439674E-2</v>
      </c>
    </row>
    <row r="582" spans="1:5" ht="15.75" customHeight="1" thickBot="1" x14ac:dyDescent="0.25">
      <c r="A582" s="1005" t="s">
        <v>625</v>
      </c>
      <c r="B582" s="1006"/>
      <c r="C582" s="1006"/>
      <c r="D582" s="1006"/>
      <c r="E582" s="1007"/>
    </row>
    <row r="583" spans="1:5" ht="15.75" customHeight="1" x14ac:dyDescent="0.2">
      <c r="A583" s="893"/>
      <c r="B583" s="145">
        <v>2018</v>
      </c>
      <c r="C583" s="145">
        <v>2019</v>
      </c>
      <c r="D583" s="145">
        <v>2020</v>
      </c>
      <c r="E583" s="145">
        <v>2021</v>
      </c>
    </row>
    <row r="584" spans="1:5" ht="15.75" customHeight="1" thickBot="1" x14ac:dyDescent="0.25">
      <c r="A584" s="894"/>
      <c r="B584" s="146" t="s">
        <v>41</v>
      </c>
      <c r="C584" s="146" t="s">
        <v>42</v>
      </c>
      <c r="D584" s="146" t="s">
        <v>42</v>
      </c>
      <c r="E584" s="146" t="s">
        <v>42</v>
      </c>
    </row>
    <row r="585" spans="1:5" ht="15.75" customHeight="1" thickBot="1" x14ac:dyDescent="0.25">
      <c r="A585" s="173" t="s">
        <v>84</v>
      </c>
      <c r="B585" s="142">
        <f>'[2]Formati 2 Sipas Tavaneve'!D973</f>
        <v>108807.77549411167</v>
      </c>
      <c r="C585" s="142">
        <f>'[2]Formati 2 Sipas Tavaneve'!E973</f>
        <v>98011.234553482878</v>
      </c>
      <c r="D585" s="142">
        <f>'[2]Formati 2 Sipas Tavaneve'!F973</f>
        <v>98191.761915604118</v>
      </c>
      <c r="E585" s="142">
        <f>'[2]Formati 2 Sipas Tavaneve'!G973</f>
        <v>99720.90511891534</v>
      </c>
    </row>
    <row r="586" spans="1:5" ht="15.75" customHeight="1" thickBot="1" x14ac:dyDescent="0.25">
      <c r="A586" s="173" t="s">
        <v>85</v>
      </c>
      <c r="B586" s="142">
        <f>'[2]Formati 2 Sipas Tavaneve'!D976</f>
        <v>18573.606288397765</v>
      </c>
      <c r="C586" s="142">
        <f>'[2]Formati 2 Sipas Tavaneve'!E976</f>
        <v>15471.126864865479</v>
      </c>
      <c r="D586" s="142">
        <f>'[2]Formati 2 Sipas Tavaneve'!F976</f>
        <v>15458.987833231975</v>
      </c>
      <c r="E586" s="142">
        <f>'[2]Formati 2 Sipas Tavaneve'!G976</f>
        <v>15737.441779009401</v>
      </c>
    </row>
    <row r="587" spans="1:5" ht="15.75" customHeight="1" thickBot="1" x14ac:dyDescent="0.25">
      <c r="A587" s="173" t="s">
        <v>86</v>
      </c>
      <c r="B587" s="142">
        <f>'[2]Formati 2 Sipas Tavaneve'!D979</f>
        <v>114153.54032921774</v>
      </c>
      <c r="C587" s="142">
        <f>'[2]Formati 2 Sipas Tavaneve'!E979</f>
        <v>99492.512657565763</v>
      </c>
      <c r="D587" s="142">
        <f>'[2]Formati 2 Sipas Tavaneve'!F979</f>
        <v>102075.92971289858</v>
      </c>
      <c r="E587" s="142">
        <f>'[2]Formati 2 Sipas Tavaneve'!G979</f>
        <v>103730.92634145138</v>
      </c>
    </row>
    <row r="588" spans="1:5" ht="15.75" customHeight="1" thickBot="1" x14ac:dyDescent="0.25">
      <c r="A588" s="173" t="s">
        <v>87</v>
      </c>
      <c r="B588" s="142"/>
      <c r="C588" s="142"/>
      <c r="D588" s="142"/>
      <c r="E588" s="142"/>
    </row>
    <row r="589" spans="1:5" ht="15.75" customHeight="1" thickBot="1" x14ac:dyDescent="0.25">
      <c r="A589" s="173" t="s">
        <v>88</v>
      </c>
      <c r="B589" s="142"/>
      <c r="C589" s="142"/>
      <c r="D589" s="142"/>
      <c r="E589" s="142"/>
    </row>
    <row r="590" spans="1:5" ht="15.75" customHeight="1" thickBot="1" x14ac:dyDescent="0.25">
      <c r="A590" s="173" t="s">
        <v>89</v>
      </c>
      <c r="B590" s="142"/>
      <c r="C590" s="142"/>
      <c r="D590" s="142"/>
      <c r="E590" s="142"/>
    </row>
    <row r="591" spans="1:5" ht="15.75" customHeight="1" thickBot="1" x14ac:dyDescent="0.25">
      <c r="A591" s="173" t="s">
        <v>90</v>
      </c>
      <c r="B591" s="142"/>
      <c r="C591" s="142"/>
      <c r="D591" s="142"/>
      <c r="E591" s="142"/>
    </row>
    <row r="592" spans="1:5" ht="15.75" customHeight="1" thickBot="1" x14ac:dyDescent="0.25">
      <c r="A592" s="180" t="s">
        <v>624</v>
      </c>
      <c r="B592" s="158">
        <f>ROUND(B591+B590+B589+B588+B587+B586+B585,0)</f>
        <v>241535</v>
      </c>
      <c r="C592" s="158">
        <f>ROUND(C591+C590+C589+C588+C587+C586+C585,0)</f>
        <v>212975</v>
      </c>
      <c r="D592" s="158">
        <f>ROUND(D591+D590+D589+D588+D587+D586+D585,0)</f>
        <v>215727</v>
      </c>
      <c r="E592" s="158">
        <f>ROUND(E591+E590+E589+E588+E587+E586+E585,0)</f>
        <v>219189</v>
      </c>
    </row>
    <row r="593" spans="1:9" ht="15.75" customHeight="1" thickBot="1" x14ac:dyDescent="0.25">
      <c r="A593" s="168" t="s">
        <v>92</v>
      </c>
      <c r="B593" s="160">
        <f>IF(B592-B577=0,0,"Error")</f>
        <v>0</v>
      </c>
      <c r="C593" s="160">
        <f>IF(C592-C577=0,0,"Error")</f>
        <v>0</v>
      </c>
      <c r="D593" s="160">
        <f>IF(D592-D577=0,0,"Error")</f>
        <v>0</v>
      </c>
      <c r="E593" s="160">
        <f>IF(E592-E577=0,0,"Error")</f>
        <v>0</v>
      </c>
    </row>
    <row r="594" spans="1:9" ht="12.75" thickBot="1" x14ac:dyDescent="0.25">
      <c r="A594" s="1054" t="s">
        <v>623</v>
      </c>
      <c r="B594" s="1055"/>
      <c r="C594" s="1055"/>
      <c r="D594" s="1055"/>
      <c r="E594" s="1056"/>
    </row>
    <row r="595" spans="1:9" ht="27" customHeight="1" thickBot="1" x14ac:dyDescent="0.25">
      <c r="A595" s="179" t="s">
        <v>121</v>
      </c>
      <c r="B595" s="178">
        <f>ROUND(B36+B59+B82+B105+B128+B180+B203+B226+B249+B301+B324+B347+B370+B393+B416+B439+B462+B485+B508+B531+B554,0)+1</f>
        <v>128085000</v>
      </c>
      <c r="C595" s="178">
        <f>ROUND(C36+C59+C82+C105+C128+C180+C203+C226+C249+C301+C324+C347+C370+C393+C416+C439+C462+C485+C508+C531+C554,0)+3</f>
        <v>134340000</v>
      </c>
      <c r="D595" s="178">
        <f>ROUND(D36+D59+D82+D105+D128+D180+D203+D226+D249+D301+D324+D347+D370+D393+D416+D439+D462+D485+D508+D531+D554,0)+2</f>
        <v>142585001</v>
      </c>
      <c r="E595" s="178">
        <f>ROUND(E36+E59+E82+E105+E128+E180+E203+E226+E249+E301+E324+E347+E370+E393+E416+E439+E462+E485+E508+E531+E554,0)-1</f>
        <v>148585016</v>
      </c>
    </row>
    <row r="596" spans="1:9" ht="23.25" thickBot="1" x14ac:dyDescent="0.25">
      <c r="A596" s="179" t="s">
        <v>122</v>
      </c>
      <c r="B596" s="178">
        <f>ROUND(B598+B600+B602+B604+B606+B608+B610+B612+B614,0)</f>
        <v>128085000</v>
      </c>
      <c r="C596" s="178">
        <f>ROUND(C598+C600+C602+C604+C606+C608+C610+C612+C614,0)</f>
        <v>134340000</v>
      </c>
      <c r="D596" s="178">
        <f>ROUND(D598+D600+D602+D604+D606+D608+D610+D612+D614,0)</f>
        <v>142585000</v>
      </c>
      <c r="E596" s="178">
        <f>ROUND(E598+E600+E602+E604+E606+E608+E610+E612+E614,0)</f>
        <v>148585018</v>
      </c>
    </row>
    <row r="597" spans="1:9" ht="23.25" thickBot="1" x14ac:dyDescent="0.25">
      <c r="A597" s="177" t="s">
        <v>123</v>
      </c>
      <c r="B597" s="176"/>
      <c r="C597" s="175">
        <f>C596/B596-1</f>
        <v>4.883475816840388E-2</v>
      </c>
      <c r="D597" s="175">
        <f>D596/C596-1</f>
        <v>6.1374125353580444E-2</v>
      </c>
      <c r="E597" s="175">
        <f>E596/D596-1</f>
        <v>4.2080288950450573E-2</v>
      </c>
    </row>
    <row r="598" spans="1:9" ht="12" thickBot="1" x14ac:dyDescent="0.25">
      <c r="A598" s="173" t="s">
        <v>84</v>
      </c>
      <c r="B598" s="142">
        <f>B44+B67+B90+B113+B136+B188+B211+B234+B257+B309+B332+B355+B378+B401+B424+B447+B470+B493+B516+B539+B562</f>
        <v>1115399.9999999998</v>
      </c>
      <c r="C598" s="142">
        <f>C44+C67+C90+C113+C136+C188+C211+C234+C257+C309+C332+C355+C378+C401+C424+C447+C470+C493+C516+C539+C562</f>
        <v>1204882.428618453</v>
      </c>
      <c r="D598" s="142">
        <f>D44+D67+D90+D113+D136+D188+D211+D234+D257+D309+D332+D355+D378+D401+D424+D447+D470+D493+D516+D539+D562</f>
        <v>1264847.7180064367</v>
      </c>
      <c r="E598" s="142">
        <f>E44+E67+E90+E113+E136+E188+E211+E234+E257+E309+E332+E355+E378+E401+E424+E447+E470+E493+E516+E539+E562</f>
        <v>1318643.0269216686</v>
      </c>
    </row>
    <row r="599" spans="1:9" ht="12" thickBot="1" x14ac:dyDescent="0.25">
      <c r="A599" s="172" t="s">
        <v>124</v>
      </c>
      <c r="B599" s="158"/>
      <c r="C599" s="171">
        <f>C598/B598-1</f>
        <v>8.0224519112832349E-2</v>
      </c>
      <c r="D599" s="171">
        <f>D598/C598-1</f>
        <v>4.9768581534333833E-2</v>
      </c>
      <c r="E599" s="171">
        <f>E598/D598-1</f>
        <v>4.2531055833361586E-2</v>
      </c>
      <c r="F599" s="174"/>
      <c r="G599" s="174"/>
      <c r="H599" s="174"/>
      <c r="I599" s="174"/>
    </row>
    <row r="600" spans="1:9" ht="23.25" thickBot="1" x14ac:dyDescent="0.25">
      <c r="A600" s="173" t="s">
        <v>85</v>
      </c>
      <c r="B600" s="142">
        <f>B45+B68+B91+B114+B137+B189+B212+B235+B258+B310+B333+B356+B379+B402+B425+B448+B471+B494+B517+B540+B563</f>
        <v>190400</v>
      </c>
      <c r="C600" s="142">
        <f>C45+C68+C91+C114+C137+C189+C212+C235+C258+C310+C333+C356+C379+C402+C425+C448+C471+C494+C517+C540+C563</f>
        <v>190191.34893389518</v>
      </c>
      <c r="D600" s="142">
        <f>D45+D68+D91+D114+D137+D189+D212+D235+D258+D310+D333+D356+D379+D402+D425+D448+D471+D494+D517+D540+D563</f>
        <v>199133.46193297536</v>
      </c>
      <c r="E600" s="142">
        <f>E45+E68+E91+E114+E137+E189+E212+E235+E258+E310+E333+E356+E379+E402+E425+E448+E471+E494+E517+E540+E563</f>
        <v>208101.4792107034</v>
      </c>
      <c r="F600" s="174"/>
      <c r="G600" s="174"/>
      <c r="H600" s="174"/>
      <c r="I600" s="174"/>
    </row>
    <row r="601" spans="1:9" ht="23.25" thickBot="1" x14ac:dyDescent="0.25">
      <c r="A601" s="172" t="s">
        <v>125</v>
      </c>
      <c r="B601" s="158"/>
      <c r="C601" s="171">
        <f>C600/B600-1</f>
        <v>-1.095856439626175E-3</v>
      </c>
      <c r="D601" s="171">
        <f>D600/C600-1</f>
        <v>4.7016402424214343E-2</v>
      </c>
      <c r="E601" s="171">
        <f>E600/D600-1</f>
        <v>4.5035210007781101E-2</v>
      </c>
      <c r="F601" s="174"/>
      <c r="G601" s="174"/>
      <c r="H601" s="174"/>
      <c r="I601" s="174"/>
    </row>
    <row r="602" spans="1:9" ht="12" thickBot="1" x14ac:dyDescent="0.25">
      <c r="A602" s="173" t="s">
        <v>86</v>
      </c>
      <c r="B602" s="142">
        <f>B46+B69+B92+B115+B138+B190+B213+B236+B259+B311+B334+B357+B380+B403+B426+B449+B472+B495+B518+B541+B564</f>
        <v>1170200.0000000002</v>
      </c>
      <c r="C602" s="142">
        <f>C46+C69+C92+C115+C138+C190+C213+C236+C259+C311+C334+C357+C380+C403+C426+C449+C472+C495+C518+C541+C564</f>
        <v>1223092.2386227625</v>
      </c>
      <c r="D602" s="142">
        <f>D46+D69+D92+D115+D138+D190+D213+D236+D259+D311+D334+D357+D380+D403+D426+D449+D472+D495+D518+D541+D564</f>
        <v>1314881.2511554256</v>
      </c>
      <c r="E602" s="142">
        <f>E46+E69+E92+E115+E138+E190+E213+E236+E259+E311+E334+E357+E380+E403+E426+E449+E472+E495+E518+E541+E564</f>
        <v>1371668.8846051653</v>
      </c>
      <c r="F602" s="174"/>
      <c r="G602" s="174"/>
      <c r="H602" s="174"/>
      <c r="I602" s="174"/>
    </row>
    <row r="603" spans="1:9" ht="23.25" thickBot="1" x14ac:dyDescent="0.25">
      <c r="A603" s="172" t="s">
        <v>126</v>
      </c>
      <c r="B603" s="158"/>
      <c r="C603" s="171">
        <f>C602/B602-1</f>
        <v>4.5199315179253352E-2</v>
      </c>
      <c r="D603" s="171">
        <f>D602/C602-1</f>
        <v>7.5046680564353929E-2</v>
      </c>
      <c r="E603" s="171">
        <f>E602/D602-1</f>
        <v>4.3188412185388492E-2</v>
      </c>
      <c r="F603" s="174"/>
      <c r="G603" s="174"/>
      <c r="H603" s="174"/>
      <c r="I603" s="174"/>
    </row>
    <row r="604" spans="1:9" ht="12" thickBot="1" x14ac:dyDescent="0.25">
      <c r="A604" s="173" t="s">
        <v>87</v>
      </c>
      <c r="B604" s="142">
        <f>B47+B70+B93+B116+B139+B191+B214+B237+B260+B312+B335+B358+B381+B404+B427+B450+B473+B496+B519+B542+B565</f>
        <v>0</v>
      </c>
      <c r="C604" s="142">
        <f>C47+C70+C93+C116+C139+C191+C214+C237+C260+C312+C335+C358+C381+C404+C427+C450+C473+C496+C519+C542+C565</f>
        <v>0</v>
      </c>
      <c r="D604" s="142">
        <f>D47+D70+D93+D116+D139+D191+D214+D237+D260+D312+D335+D358+D381+D404+D427+D450+D473+D496+D519+D542+D565</f>
        <v>0</v>
      </c>
      <c r="E604" s="142">
        <f>E47+E70+E93+E116+E139+E191+E214+E237+E260+E312+E335+E358+E381+E404+E427+E450+E473+E496+E519+E542+E565</f>
        <v>0</v>
      </c>
      <c r="F604" s="174"/>
      <c r="G604" s="174"/>
      <c r="H604" s="174"/>
      <c r="I604" s="174"/>
    </row>
    <row r="605" spans="1:9" ht="12" thickBot="1" x14ac:dyDescent="0.25">
      <c r="A605" s="172" t="s">
        <v>228</v>
      </c>
      <c r="B605" s="158"/>
      <c r="C605" s="171"/>
      <c r="D605" s="171"/>
      <c r="E605" s="171"/>
      <c r="F605" s="174"/>
      <c r="G605" s="174"/>
      <c r="H605" s="174"/>
      <c r="I605" s="174"/>
    </row>
    <row r="606" spans="1:9" ht="12" thickBot="1" x14ac:dyDescent="0.25">
      <c r="A606" s="173" t="s">
        <v>88</v>
      </c>
      <c r="B606" s="142">
        <f>B48+B71+B94+B117+B140+B192+B215+B238+B261+B313+B336+B359+B382+B405+B428+B451+B474+B497+B520+B543+B566</f>
        <v>49307464.548821986</v>
      </c>
      <c r="C606" s="142">
        <f>C48+C71+C94+C117+C140+C192+C215+C238+C261+C313+C336+C359+C382+C405+C428+C451+C474+C497+C520+C543+C566</f>
        <v>54669024.768002219</v>
      </c>
      <c r="D606" s="142">
        <f>D48+D71+D94+D117+D140+D192+D215+D238+D261+D313+D336+D359+D382+D405+D428+D451+D474+D497+D520+D543+D566</f>
        <v>57419272.78023345</v>
      </c>
      <c r="E606" s="142">
        <f>E48+E71+E94+E117+E140+E192+E215+E238+E261+E313+E336+E359+E382+E405+E428+E451+E474+E497+E520+E543+E566</f>
        <v>57338828.792747706</v>
      </c>
      <c r="F606" s="174"/>
      <c r="G606" s="174"/>
      <c r="H606" s="174"/>
      <c r="I606" s="174"/>
    </row>
    <row r="607" spans="1:9" ht="23.25" thickBot="1" x14ac:dyDescent="0.25">
      <c r="A607" s="172" t="s">
        <v>229</v>
      </c>
      <c r="B607" s="158"/>
      <c r="C607" s="171">
        <f>C606/B606-1</f>
        <v>0.10873729298880219</v>
      </c>
      <c r="D607" s="171">
        <f>D606/C606-1</f>
        <v>5.0307244804574491E-2</v>
      </c>
      <c r="E607" s="171">
        <f>E606/D606-1</f>
        <v>-1.4009927954614643E-3</v>
      </c>
      <c r="F607" s="174"/>
      <c r="G607" s="174"/>
      <c r="H607" s="174"/>
      <c r="I607" s="174"/>
    </row>
    <row r="608" spans="1:9" ht="12" thickBot="1" x14ac:dyDescent="0.25">
      <c r="A608" s="173" t="s">
        <v>89</v>
      </c>
      <c r="B608" s="142">
        <f>B49+B72+B95+B118+B141+B193+B216+B239+B262+B314+B337+B360+B383+B406+B429+B452+B475+B498+B521+B544+B567</f>
        <v>0</v>
      </c>
      <c r="C608" s="142">
        <f>C49+C72+C95+C118+C141+C193+C216+C239+C262+C314+C337+C360+C383+C406+C429+C452+C475+C498+C521+C544+C567</f>
        <v>0</v>
      </c>
      <c r="D608" s="142">
        <f>D49+D72+D95+D118+D141+D193+D216+D239+D262+D314+D337+D360+D383+D406+D429+D452+D475+D498+D521+D544+D567</f>
        <v>0</v>
      </c>
      <c r="E608" s="142">
        <f>E49+E72+E95+E118+E141+E193+E216+E239+E262+E314+E337+E360+E383+E406+E429+E452+E475+E498+E521+E544+E567</f>
        <v>0</v>
      </c>
      <c r="F608" s="174"/>
      <c r="G608" s="174"/>
      <c r="H608" s="174"/>
      <c r="I608" s="174"/>
    </row>
    <row r="609" spans="1:9" ht="12" thickBot="1" x14ac:dyDescent="0.25">
      <c r="A609" s="172" t="s">
        <v>230</v>
      </c>
      <c r="B609" s="158"/>
      <c r="C609" s="171"/>
      <c r="D609" s="171"/>
      <c r="E609" s="171"/>
      <c r="F609" s="174"/>
      <c r="G609" s="174"/>
      <c r="H609" s="174"/>
      <c r="I609" s="174"/>
    </row>
    <row r="610" spans="1:9" ht="23.25" thickBot="1" x14ac:dyDescent="0.25">
      <c r="A610" s="173" t="s">
        <v>90</v>
      </c>
      <c r="B610" s="142">
        <f>B50+B73+B96+B119+B142+B194+B217+B240+B263+B315+B338+B361+B384+B407+B430+B453+B476+B499+B522+B545+B568</f>
        <v>76301535</v>
      </c>
      <c r="C610" s="142">
        <f>C50+C73+C96+C119+C142+C194+C217+C240+C263+C315+C338+C361+C384+C407+C430+C453+C476+C499+C522+C545+C568</f>
        <v>77052809.483824894</v>
      </c>
      <c r="D610" s="142">
        <f>D50+D73+D96+D119+D142+D194+D217+D240+D263+D315+D338+D361+D384+D407+D430+D453+D476+D499+D522+D545+D568</f>
        <v>82386864.56890519</v>
      </c>
      <c r="E610" s="142">
        <f>E50+E73+E96+E119+E142+E194+E217+E240+E263+E315+E338+E361+E384+E407+E430+E453+E476+E499+E522+E545+E568</f>
        <v>88347775.609262407</v>
      </c>
      <c r="F610" s="174"/>
      <c r="G610" s="174"/>
      <c r="H610" s="174"/>
      <c r="I610" s="174"/>
    </row>
    <row r="611" spans="1:9" ht="23.25" thickBot="1" x14ac:dyDescent="0.25">
      <c r="A611" s="172" t="s">
        <v>231</v>
      </c>
      <c r="B611" s="158"/>
      <c r="C611" s="171">
        <f>C610/B610-1</f>
        <v>9.8461254262434128E-3</v>
      </c>
      <c r="D611" s="171">
        <f>D610/C610-1</f>
        <v>6.9225964903979698E-2</v>
      </c>
      <c r="E611" s="171">
        <f>E610/D610-1</f>
        <v>7.2352687185609943E-2</v>
      </c>
      <c r="F611" s="174"/>
      <c r="G611" s="174"/>
      <c r="H611" s="174"/>
      <c r="I611" s="174"/>
    </row>
    <row r="612" spans="1:9" ht="12" thickBot="1" x14ac:dyDescent="0.25">
      <c r="A612" s="173" t="s">
        <v>127</v>
      </c>
      <c r="B612" s="142"/>
      <c r="C612" s="142"/>
      <c r="D612" s="142"/>
      <c r="E612" s="142"/>
      <c r="F612" s="174"/>
      <c r="G612" s="174"/>
      <c r="H612" s="174"/>
      <c r="I612" s="174"/>
    </row>
    <row r="613" spans="1:9" ht="23.25" thickBot="1" x14ac:dyDescent="0.25">
      <c r="A613" s="172" t="s">
        <v>128</v>
      </c>
      <c r="B613" s="158"/>
      <c r="C613" s="171"/>
      <c r="D613" s="171"/>
      <c r="E613" s="171"/>
      <c r="F613" s="174"/>
      <c r="G613" s="174"/>
      <c r="H613" s="174"/>
      <c r="I613" s="174"/>
    </row>
    <row r="614" spans="1:9" ht="12" thickBot="1" x14ac:dyDescent="0.25">
      <c r="A614" s="173" t="s">
        <v>232</v>
      </c>
      <c r="B614" s="142"/>
      <c r="C614" s="142"/>
      <c r="D614" s="142"/>
      <c r="E614" s="142"/>
    </row>
    <row r="615" spans="1:9" ht="23.25" thickBot="1" x14ac:dyDescent="0.25">
      <c r="A615" s="172" t="s">
        <v>233</v>
      </c>
      <c r="B615" s="158"/>
      <c r="C615" s="171"/>
      <c r="D615" s="171"/>
      <c r="E615" s="171"/>
      <c r="F615" s="170"/>
      <c r="G615" s="169"/>
      <c r="H615" s="169"/>
      <c r="I615" s="169"/>
    </row>
    <row r="616" spans="1:9" ht="12" thickBot="1" x14ac:dyDescent="0.25">
      <c r="A616" s="168" t="s">
        <v>92</v>
      </c>
      <c r="B616" s="160">
        <f>IF(B596-B595=0,0,"Error")</f>
        <v>0</v>
      </c>
      <c r="C616" s="160">
        <f>IF(C596-C595=0,0,"Error")</f>
        <v>0</v>
      </c>
      <c r="D616" s="160" t="str">
        <f>IF(D596-D595=0,0,"Error")</f>
        <v>Error</v>
      </c>
      <c r="E616" s="160" t="str">
        <f>IF(E596-E595=0,0,"Error")</f>
        <v>Error</v>
      </c>
    </row>
    <row r="617" spans="1:9" ht="23.25" thickBot="1" x14ac:dyDescent="0.25">
      <c r="A617" s="167" t="s">
        <v>129</v>
      </c>
      <c r="B617" s="142">
        <f>'[2]Formati 2 Sipas Tavaneve'!D1025</f>
        <v>1337</v>
      </c>
      <c r="C617" s="142">
        <f>'[2]Formati 2 Sipas Tavaneve'!E1025</f>
        <v>1339.9999999999998</v>
      </c>
      <c r="D617" s="142">
        <f>'[2]Formati 2 Sipas Tavaneve'!F1025</f>
        <v>1360</v>
      </c>
      <c r="E617" s="142">
        <f>'[2]Formati 2 Sipas Tavaneve'!G1025</f>
        <v>1370</v>
      </c>
    </row>
    <row r="618" spans="1:9" ht="23.25" thickBot="1" x14ac:dyDescent="0.25">
      <c r="A618" s="167" t="s">
        <v>130</v>
      </c>
      <c r="B618" s="142" t="s">
        <v>80</v>
      </c>
      <c r="C618" s="142" t="s">
        <v>80</v>
      </c>
      <c r="D618" s="142" t="s">
        <v>80</v>
      </c>
      <c r="E618" s="142" t="s">
        <v>80</v>
      </c>
    </row>
  </sheetData>
  <mergeCells count="171">
    <mergeCell ref="A26:E26"/>
    <mergeCell ref="A28:E28"/>
    <mergeCell ref="A29:E29"/>
    <mergeCell ref="B5:E5"/>
    <mergeCell ref="B6:E6"/>
    <mergeCell ref="B7:E7"/>
    <mergeCell ref="C8:E8"/>
    <mergeCell ref="C9:E9"/>
    <mergeCell ref="A10:E10"/>
    <mergeCell ref="A11:E11"/>
    <mergeCell ref="B13:E13"/>
    <mergeCell ref="B14:E14"/>
    <mergeCell ref="B15:E15"/>
    <mergeCell ref="A16:E16"/>
    <mergeCell ref="A17:E19"/>
    <mergeCell ref="B20:E20"/>
    <mergeCell ref="A21:A22"/>
    <mergeCell ref="B25:E25"/>
    <mergeCell ref="A103:A104"/>
    <mergeCell ref="A110:E110"/>
    <mergeCell ref="A111:A112"/>
    <mergeCell ref="B30:E30"/>
    <mergeCell ref="B31:E31"/>
    <mergeCell ref="B32:E32"/>
    <mergeCell ref="A33:A34"/>
    <mergeCell ref="A41:E41"/>
    <mergeCell ref="A42:A43"/>
    <mergeCell ref="B53:E53"/>
    <mergeCell ref="B54:E54"/>
    <mergeCell ref="B55:E55"/>
    <mergeCell ref="A57:A58"/>
    <mergeCell ref="A64:E64"/>
    <mergeCell ref="A65:A66"/>
    <mergeCell ref="B76:E76"/>
    <mergeCell ref="B77:E77"/>
    <mergeCell ref="B78:E78"/>
    <mergeCell ref="A80:A81"/>
    <mergeCell ref="A87:E87"/>
    <mergeCell ref="A88:A89"/>
    <mergeCell ref="B99:E99"/>
    <mergeCell ref="B100:E100"/>
    <mergeCell ref="B101:E101"/>
    <mergeCell ref="A186:A187"/>
    <mergeCell ref="B197:E197"/>
    <mergeCell ref="B198:E198"/>
    <mergeCell ref="B122:E122"/>
    <mergeCell ref="B123:E123"/>
    <mergeCell ref="B124:E124"/>
    <mergeCell ref="A126:A127"/>
    <mergeCell ref="A133:E133"/>
    <mergeCell ref="A134:A135"/>
    <mergeCell ref="B145:E145"/>
    <mergeCell ref="B146:E146"/>
    <mergeCell ref="B147:E147"/>
    <mergeCell ref="A149:A150"/>
    <mergeCell ref="A156:E156"/>
    <mergeCell ref="A157:A158"/>
    <mergeCell ref="B168:E168"/>
    <mergeCell ref="A169:E169"/>
    <mergeCell ref="A171:E171"/>
    <mergeCell ref="A172:E172"/>
    <mergeCell ref="B174:E174"/>
    <mergeCell ref="B175:E175"/>
    <mergeCell ref="B176:E176"/>
    <mergeCell ref="A178:A179"/>
    <mergeCell ref="A185:E185"/>
    <mergeCell ref="A278:A279"/>
    <mergeCell ref="B289:E289"/>
    <mergeCell ref="A290:E290"/>
    <mergeCell ref="B199:E199"/>
    <mergeCell ref="A201:A202"/>
    <mergeCell ref="A208:E208"/>
    <mergeCell ref="A209:A210"/>
    <mergeCell ref="B220:E220"/>
    <mergeCell ref="B221:E221"/>
    <mergeCell ref="B222:E222"/>
    <mergeCell ref="A224:A225"/>
    <mergeCell ref="A231:E231"/>
    <mergeCell ref="A232:A233"/>
    <mergeCell ref="B243:E243"/>
    <mergeCell ref="B244:E244"/>
    <mergeCell ref="B245:E245"/>
    <mergeCell ref="A247:A248"/>
    <mergeCell ref="A254:E254"/>
    <mergeCell ref="A255:A256"/>
    <mergeCell ref="B266:E266"/>
    <mergeCell ref="B267:E267"/>
    <mergeCell ref="B268:E268"/>
    <mergeCell ref="A270:A271"/>
    <mergeCell ref="A277:E277"/>
    <mergeCell ref="B365:E365"/>
    <mergeCell ref="B366:E366"/>
    <mergeCell ref="A368:A369"/>
    <mergeCell ref="A292:E292"/>
    <mergeCell ref="A293:E293"/>
    <mergeCell ref="B295:E295"/>
    <mergeCell ref="B296:E296"/>
    <mergeCell ref="B297:E297"/>
    <mergeCell ref="A299:A300"/>
    <mergeCell ref="A306:E306"/>
    <mergeCell ref="A307:A308"/>
    <mergeCell ref="B318:E318"/>
    <mergeCell ref="B319:E319"/>
    <mergeCell ref="B320:E320"/>
    <mergeCell ref="A322:A323"/>
    <mergeCell ref="A329:E329"/>
    <mergeCell ref="A330:A331"/>
    <mergeCell ref="B341:E341"/>
    <mergeCell ref="B342:E342"/>
    <mergeCell ref="B343:E343"/>
    <mergeCell ref="A345:A346"/>
    <mergeCell ref="A352:E352"/>
    <mergeCell ref="A353:A354"/>
    <mergeCell ref="B364:E364"/>
    <mergeCell ref="B457:E457"/>
    <mergeCell ref="B458:E458"/>
    <mergeCell ref="A460:A461"/>
    <mergeCell ref="A375:E375"/>
    <mergeCell ref="A376:A377"/>
    <mergeCell ref="B387:E387"/>
    <mergeCell ref="B388:E388"/>
    <mergeCell ref="B389:E389"/>
    <mergeCell ref="A391:A392"/>
    <mergeCell ref="A398:E398"/>
    <mergeCell ref="A399:A400"/>
    <mergeCell ref="B410:E410"/>
    <mergeCell ref="B411:E411"/>
    <mergeCell ref="B412:E412"/>
    <mergeCell ref="A414:A415"/>
    <mergeCell ref="A421:E421"/>
    <mergeCell ref="A422:A423"/>
    <mergeCell ref="B433:E433"/>
    <mergeCell ref="B434:E434"/>
    <mergeCell ref="B435:E435"/>
    <mergeCell ref="A437:A438"/>
    <mergeCell ref="A444:E444"/>
    <mergeCell ref="A445:A446"/>
    <mergeCell ref="B456:E456"/>
    <mergeCell ref="B549:E549"/>
    <mergeCell ref="B550:E550"/>
    <mergeCell ref="A552:A553"/>
    <mergeCell ref="A467:E467"/>
    <mergeCell ref="A468:A469"/>
    <mergeCell ref="B479:E479"/>
    <mergeCell ref="B480:E480"/>
    <mergeCell ref="B481:E481"/>
    <mergeCell ref="A483:A484"/>
    <mergeCell ref="A490:E490"/>
    <mergeCell ref="A491:A492"/>
    <mergeCell ref="B502:E502"/>
    <mergeCell ref="B503:E503"/>
    <mergeCell ref="B504:E504"/>
    <mergeCell ref="A506:A507"/>
    <mergeCell ref="A513:E513"/>
    <mergeCell ref="A514:A515"/>
    <mergeCell ref="B525:E525"/>
    <mergeCell ref="B526:E526"/>
    <mergeCell ref="B527:E527"/>
    <mergeCell ref="A529:A530"/>
    <mergeCell ref="A536:E536"/>
    <mergeCell ref="A537:A538"/>
    <mergeCell ref="B548:E548"/>
    <mergeCell ref="A582:E582"/>
    <mergeCell ref="A583:A584"/>
    <mergeCell ref="A594:E594"/>
    <mergeCell ref="A559:E559"/>
    <mergeCell ref="A560:A561"/>
    <mergeCell ref="B571:E571"/>
    <mergeCell ref="B572:E572"/>
    <mergeCell ref="B573:E573"/>
    <mergeCell ref="A575:A576"/>
  </mergeCells>
  <printOptions horizontalCentered="1" verticalCentered="1"/>
  <pageMargins left="0.7" right="0.7" top="0.6" bottom="0.75" header="0.3" footer="0.3"/>
  <pageSetup orientation="landscape" r:id="rId1"/>
  <headerFooter>
    <oddFooter>Page &amp;P</oddFooter>
  </headerFooter>
  <rowBreaks count="1" manualBreakCount="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Formati 1 Misioni</vt:lpstr>
      <vt:lpstr>01110-PMA</vt:lpstr>
      <vt:lpstr>01120-MSHP</vt:lpstr>
      <vt:lpstr>01140-DPT</vt:lpstr>
      <vt:lpstr>01150-DPD</vt:lpstr>
      <vt:lpstr>01160-DPPP</vt:lpstr>
      <vt:lpstr>04130-Zhvillimi Ekonomik</vt:lpstr>
      <vt:lpstr>04160-Mbikqyrja e Tregut</vt:lpstr>
      <vt:lpstr>10220-ISSH</vt:lpstr>
      <vt:lpstr>10550-Tregu i Punes</vt:lpstr>
      <vt:lpstr>04170-Inspektimi ne Pune</vt:lpstr>
      <vt:lpstr>09240-Arsimi Profesional</vt:lpstr>
      <vt:lpstr>06190-Strehimi</vt:lpstr>
      <vt:lpstr>'01110-PMA'!Print_Area</vt:lpstr>
      <vt:lpstr>'01150-DPD'!Print_Area</vt:lpstr>
      <vt:lpstr>'04130-Zhvillimi Ekonomik'!Print_Area</vt:lpstr>
      <vt:lpstr>'10220-ISSH'!Print_Area</vt:lpstr>
      <vt:lpstr>'10550-Tregu i Punes'!Print_Area</vt:lpstr>
      <vt:lpstr>'Formati 1 Misioni'!Print_Area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Esjola Mullaymeri</dc:creator>
  <cp:lastModifiedBy>Valion Cenalia</cp:lastModifiedBy>
  <dcterms:created xsi:type="dcterms:W3CDTF">2018-06-28T09:09:05Z</dcterms:created>
  <dcterms:modified xsi:type="dcterms:W3CDTF">2018-10-23T08:43:29Z</dcterms:modified>
</cp:coreProperties>
</file>