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90" windowWidth="22755" windowHeight="9690"/>
  </bookViews>
  <sheets>
    <sheet name="Permbledhja e Kerkesave shtese " sheetId="1" r:id="rId1"/>
    <sheet name="Sheet1" sheetId="2" r:id="rId2"/>
  </sheets>
  <calcPr calcId="144525"/>
</workbook>
</file>

<file path=xl/calcChain.xml><?xml version="1.0" encoding="utf-8"?>
<calcChain xmlns="http://schemas.openxmlformats.org/spreadsheetml/2006/main">
  <c r="H204" i="1" l="1"/>
  <c r="R76" i="1" l="1"/>
  <c r="G352" i="1" l="1"/>
  <c r="F352" i="1"/>
  <c r="E352" i="1"/>
  <c r="Q352" i="1" l="1"/>
  <c r="P352" i="1"/>
  <c r="R354" i="1"/>
  <c r="Q354" i="1"/>
  <c r="P354" i="1"/>
  <c r="O354" i="1"/>
  <c r="R353" i="1"/>
  <c r="Q353" i="1"/>
  <c r="P353" i="1"/>
  <c r="O353" i="1"/>
  <c r="R352" i="1"/>
  <c r="O352" i="1"/>
  <c r="M354" i="1"/>
  <c r="L354" i="1"/>
  <c r="K354" i="1"/>
  <c r="J354" i="1"/>
  <c r="M353" i="1"/>
  <c r="L353" i="1"/>
  <c r="K353" i="1"/>
  <c r="J353" i="1"/>
  <c r="M352" i="1"/>
  <c r="L352" i="1"/>
  <c r="K352" i="1"/>
  <c r="J352" i="1"/>
  <c r="M266" i="1"/>
  <c r="M271" i="1" l="1"/>
  <c r="M270" i="1"/>
  <c r="M269" i="1"/>
  <c r="H271" i="1"/>
  <c r="H270" i="1"/>
  <c r="H269" i="1"/>
  <c r="H352" i="1"/>
  <c r="G354" i="1"/>
  <c r="G353" i="1"/>
  <c r="F354" i="1"/>
  <c r="F353" i="1"/>
  <c r="E354" i="1"/>
  <c r="E353" i="1"/>
  <c r="D354" i="1"/>
  <c r="D353" i="1"/>
  <c r="D352" i="1"/>
  <c r="R274" i="1"/>
  <c r="Q274" i="1"/>
  <c r="P274" i="1"/>
  <c r="O274" i="1"/>
  <c r="R273" i="1"/>
  <c r="Q273" i="1"/>
  <c r="P273" i="1"/>
  <c r="O273" i="1"/>
  <c r="R272" i="1"/>
  <c r="Q272" i="1"/>
  <c r="P272" i="1"/>
  <c r="O272" i="1"/>
  <c r="R271" i="1"/>
  <c r="Q271" i="1"/>
  <c r="P271" i="1"/>
  <c r="O271" i="1"/>
  <c r="R270" i="1"/>
  <c r="Q270" i="1"/>
  <c r="P270" i="1"/>
  <c r="O270" i="1"/>
  <c r="R269" i="1"/>
  <c r="Q269" i="1"/>
  <c r="P269" i="1"/>
  <c r="O269" i="1"/>
  <c r="O265" i="1" s="1"/>
  <c r="R266" i="1"/>
  <c r="O266" i="1"/>
  <c r="P266" i="1"/>
  <c r="Q266" i="1"/>
  <c r="Q265" i="1" s="1"/>
  <c r="P265" i="1"/>
  <c r="K265" i="1"/>
  <c r="J265" i="1"/>
  <c r="G265" i="1"/>
  <c r="F265" i="1"/>
  <c r="D265" i="1"/>
  <c r="E265" i="1"/>
  <c r="H266" i="1"/>
  <c r="M274" i="1"/>
  <c r="H274" i="1"/>
  <c r="M273" i="1"/>
  <c r="H273" i="1"/>
  <c r="M272" i="1"/>
  <c r="H272" i="1"/>
  <c r="R265" i="1" l="1"/>
  <c r="H42" i="1" l="1"/>
  <c r="E42" i="1"/>
  <c r="F42" i="1"/>
  <c r="L42" i="1"/>
  <c r="K42" i="1"/>
  <c r="J42" i="1"/>
  <c r="G42" i="1"/>
  <c r="Q80" i="1" l="1"/>
  <c r="Q77" i="1"/>
  <c r="Q73" i="1"/>
  <c r="Q70" i="1"/>
  <c r="Q67" i="1"/>
  <c r="Q61" i="1"/>
  <c r="Q58" i="1"/>
  <c r="Q55" i="1"/>
  <c r="Q52" i="1"/>
  <c r="Q49" i="1"/>
  <c r="Q46" i="1"/>
  <c r="Q43" i="1"/>
  <c r="Q39" i="1"/>
  <c r="Q36" i="1"/>
  <c r="Q33" i="1"/>
  <c r="Q30" i="1"/>
  <c r="Q27" i="1"/>
  <c r="Q24" i="1"/>
  <c r="Q21" i="1"/>
  <c r="Q13" i="1"/>
  <c r="Q10" i="1"/>
  <c r="Q8" i="1"/>
  <c r="Q7" i="1"/>
  <c r="Q6" i="1"/>
  <c r="Q320" i="1"/>
  <c r="R339" i="1"/>
  <c r="Q339" i="1"/>
  <c r="P339" i="1"/>
  <c r="Q338" i="1"/>
  <c r="P338" i="1"/>
  <c r="Q337" i="1"/>
  <c r="Q336" i="1" s="1"/>
  <c r="P337" i="1"/>
  <c r="O339" i="1"/>
  <c r="O338" i="1"/>
  <c r="O337" i="1"/>
  <c r="O336" i="1" s="1"/>
  <c r="P336" i="1"/>
  <c r="M339" i="1"/>
  <c r="M338" i="1"/>
  <c r="M337" i="1"/>
  <c r="H339" i="1"/>
  <c r="H338" i="1"/>
  <c r="R338" i="1" s="1"/>
  <c r="H337" i="1"/>
  <c r="H336" i="1"/>
  <c r="G336" i="1"/>
  <c r="R337" i="1" l="1"/>
  <c r="M289" i="1"/>
  <c r="M290" i="1"/>
  <c r="R336" i="1" l="1"/>
  <c r="O95" i="1"/>
  <c r="Q86" i="1"/>
  <c r="P86" i="1"/>
  <c r="O86" i="1"/>
  <c r="Q88" i="1"/>
  <c r="P88" i="1"/>
  <c r="O88" i="1"/>
  <c r="Q87" i="1"/>
  <c r="P87" i="1"/>
  <c r="O87" i="1"/>
  <c r="M100" i="1"/>
  <c r="M99" i="1"/>
  <c r="M98" i="1"/>
  <c r="M97" i="1"/>
  <c r="M96" i="1"/>
  <c r="M95" i="1"/>
  <c r="M94" i="1"/>
  <c r="M93" i="1"/>
  <c r="M92" i="1"/>
  <c r="R92" i="1" s="1"/>
  <c r="M91" i="1"/>
  <c r="M90" i="1"/>
  <c r="M89" i="1"/>
  <c r="M88" i="1"/>
  <c r="M87" i="1"/>
  <c r="M86" i="1"/>
  <c r="R86" i="1" s="1"/>
  <c r="M85" i="1"/>
  <c r="M84" i="1"/>
  <c r="M83" i="1"/>
  <c r="M82" i="1"/>
  <c r="M81" i="1"/>
  <c r="M80" i="1"/>
  <c r="R80" i="1" s="1"/>
  <c r="M79" i="1"/>
  <c r="M78" i="1"/>
  <c r="M77" i="1"/>
  <c r="R77" i="1" s="1"/>
  <c r="H77" i="1"/>
  <c r="H88" i="1"/>
  <c r="R88" i="1" s="1"/>
  <c r="H87" i="1"/>
  <c r="R87" i="1" s="1"/>
  <c r="H86" i="1"/>
  <c r="L76" i="1"/>
  <c r="K76" i="1"/>
  <c r="J76" i="1"/>
  <c r="G76" i="1"/>
  <c r="F76" i="1"/>
  <c r="E76" i="1"/>
  <c r="D76" i="1"/>
  <c r="Q97" i="1"/>
  <c r="P97" i="1"/>
  <c r="O97" i="1"/>
  <c r="H97" i="1"/>
  <c r="Q96" i="1"/>
  <c r="P96" i="1"/>
  <c r="O96" i="1"/>
  <c r="H96" i="1"/>
  <c r="R96" i="1" s="1"/>
  <c r="Q95" i="1"/>
  <c r="P95" i="1"/>
  <c r="H95" i="1"/>
  <c r="R95" i="1" s="1"/>
  <c r="Q94" i="1"/>
  <c r="P94" i="1"/>
  <c r="O94" i="1"/>
  <c r="H94" i="1"/>
  <c r="Q93" i="1"/>
  <c r="P93" i="1"/>
  <c r="O93" i="1"/>
  <c r="H93" i="1"/>
  <c r="Q92" i="1"/>
  <c r="P92" i="1"/>
  <c r="O92" i="1"/>
  <c r="H92" i="1"/>
  <c r="R81" i="1"/>
  <c r="H89" i="1"/>
  <c r="R89" i="1" s="1"/>
  <c r="H83" i="1"/>
  <c r="H80" i="1"/>
  <c r="Q91" i="1"/>
  <c r="P91" i="1"/>
  <c r="O91" i="1"/>
  <c r="H91" i="1"/>
  <c r="R91" i="1" s="1"/>
  <c r="Q90" i="1"/>
  <c r="P90" i="1"/>
  <c r="O90" i="1"/>
  <c r="H90" i="1"/>
  <c r="Q89" i="1"/>
  <c r="P89" i="1"/>
  <c r="O89" i="1"/>
  <c r="R93" i="1" l="1"/>
  <c r="R94" i="1"/>
  <c r="R97" i="1"/>
  <c r="R90" i="1"/>
  <c r="M76" i="1"/>
  <c r="R83" i="1"/>
  <c r="H412" i="1"/>
  <c r="G417" i="1"/>
  <c r="G416" i="1"/>
  <c r="G415" i="1"/>
  <c r="G414" i="1"/>
  <c r="G420" i="1" s="1"/>
  <c r="G413" i="1"/>
  <c r="G412" i="1"/>
  <c r="G418" i="1" s="1"/>
  <c r="Q252" i="1"/>
  <c r="R290" i="1"/>
  <c r="R289" i="1"/>
  <c r="R55" i="1"/>
  <c r="R6" i="1"/>
  <c r="R342" i="1"/>
  <c r="R343" i="1"/>
  <c r="O342" i="1"/>
  <c r="O343" i="1"/>
  <c r="H347" i="1"/>
  <c r="H346" i="1"/>
  <c r="H6" i="1"/>
  <c r="H7" i="1"/>
  <c r="H8" i="1"/>
  <c r="H10" i="1"/>
  <c r="H11" i="1"/>
  <c r="H12" i="1"/>
  <c r="H13" i="1"/>
  <c r="H14" i="1"/>
  <c r="H15" i="1"/>
  <c r="H18" i="1"/>
  <c r="H19" i="1"/>
  <c r="H17" i="1"/>
  <c r="H21" i="1"/>
  <c r="H22" i="1"/>
  <c r="H23" i="1"/>
  <c r="H24" i="1"/>
  <c r="H25" i="1"/>
  <c r="H26" i="1"/>
  <c r="H27" i="1"/>
  <c r="H28" i="1"/>
  <c r="H29" i="1"/>
  <c r="H32" i="1"/>
  <c r="H31" i="1"/>
  <c r="H30" i="1"/>
  <c r="H33" i="1"/>
  <c r="H34" i="1"/>
  <c r="H35" i="1"/>
  <c r="H36" i="1"/>
  <c r="H37" i="1"/>
  <c r="H38" i="1"/>
  <c r="H39" i="1"/>
  <c r="H48" i="1"/>
  <c r="H47" i="1"/>
  <c r="H46" i="1"/>
  <c r="H60" i="1"/>
  <c r="H59" i="1"/>
  <c r="H58" i="1"/>
  <c r="H69" i="1"/>
  <c r="H68" i="1"/>
  <c r="H67" i="1"/>
  <c r="H72" i="1"/>
  <c r="H71" i="1"/>
  <c r="H70" i="1"/>
  <c r="H75" i="1"/>
  <c r="H74" i="1"/>
  <c r="H73" i="1"/>
  <c r="H110" i="1"/>
  <c r="H109" i="1"/>
  <c r="H108" i="1"/>
  <c r="H180" i="1"/>
  <c r="H179" i="1"/>
  <c r="H178" i="1"/>
  <c r="H177" i="1"/>
  <c r="H176" i="1"/>
  <c r="H175" i="1"/>
  <c r="M174" i="1"/>
  <c r="M173" i="1"/>
  <c r="M172" i="1"/>
  <c r="H182" i="1"/>
  <c r="H183" i="1"/>
  <c r="H184" i="1"/>
  <c r="H185" i="1"/>
  <c r="H186" i="1"/>
  <c r="H187" i="1"/>
  <c r="H188" i="1"/>
  <c r="H189" i="1"/>
  <c r="H190" i="1"/>
  <c r="H193" i="1"/>
  <c r="H192" i="1"/>
  <c r="H191" i="1"/>
  <c r="H195" i="1"/>
  <c r="H194" i="1"/>
  <c r="H201" i="1"/>
  <c r="H202" i="1"/>
  <c r="H203" i="1"/>
  <c r="H205" i="1"/>
  <c r="H206" i="1"/>
  <c r="H207" i="1"/>
  <c r="H208" i="1"/>
  <c r="H209" i="1"/>
  <c r="H212" i="1"/>
  <c r="H211" i="1"/>
  <c r="H241" i="1"/>
  <c r="H248" i="1"/>
  <c r="H249" i="1"/>
  <c r="H247" i="1"/>
  <c r="H254" i="1"/>
  <c r="G307" i="1"/>
  <c r="H307" i="1"/>
  <c r="H321" i="1"/>
  <c r="H320" i="1"/>
  <c r="H319" i="1"/>
  <c r="H318" i="1"/>
  <c r="H322" i="1"/>
  <c r="H326" i="1"/>
  <c r="H333" i="1"/>
  <c r="Q268" i="1"/>
  <c r="P268" i="1"/>
  <c r="O268" i="1"/>
  <c r="M268" i="1"/>
  <c r="H268" i="1"/>
  <c r="H354" i="1" s="1"/>
  <c r="Q267" i="1"/>
  <c r="P267" i="1"/>
  <c r="O267" i="1"/>
  <c r="M267" i="1"/>
  <c r="H267" i="1"/>
  <c r="H353" i="1" s="1"/>
  <c r="L265" i="1"/>
  <c r="H265" i="1"/>
  <c r="R268" i="1" l="1"/>
  <c r="G419" i="1"/>
  <c r="M265" i="1"/>
  <c r="R267" i="1"/>
  <c r="I417" i="1"/>
  <c r="I416" i="1"/>
  <c r="I415" i="1"/>
  <c r="H417" i="1"/>
  <c r="H416" i="1"/>
  <c r="H415" i="1"/>
  <c r="I414" i="1"/>
  <c r="I413" i="1"/>
  <c r="I419" i="1" s="1"/>
  <c r="I412" i="1"/>
  <c r="H414" i="1"/>
  <c r="H413" i="1"/>
  <c r="H418" i="1"/>
  <c r="F415" i="1"/>
  <c r="F418" i="1" s="1"/>
  <c r="E401" i="1"/>
  <c r="R118" i="1"/>
  <c r="R119" i="1"/>
  <c r="Q41" i="1"/>
  <c r="Q40" i="1"/>
  <c r="Q38" i="1"/>
  <c r="Q37" i="1"/>
  <c r="Q35" i="1"/>
  <c r="Q34" i="1"/>
  <c r="Q32" i="1"/>
  <c r="Q31" i="1"/>
  <c r="Q29" i="1"/>
  <c r="Q28" i="1"/>
  <c r="Q26" i="1"/>
  <c r="Q25" i="1"/>
  <c r="Q23" i="1"/>
  <c r="Q22" i="1"/>
  <c r="Q74" i="1"/>
  <c r="Q71" i="1"/>
  <c r="Q72" i="1"/>
  <c r="Q121" i="1"/>
  <c r="Q117" i="1"/>
  <c r="Q118" i="1"/>
  <c r="Q124" i="1"/>
  <c r="Q207" i="1"/>
  <c r="Q210" i="1"/>
  <c r="Q220" i="1"/>
  <c r="Q213" i="1"/>
  <c r="Q216" i="1"/>
  <c r="Q233" i="1"/>
  <c r="Q234" i="1"/>
  <c r="Q235" i="1"/>
  <c r="Q238" i="1"/>
  <c r="Q237" i="1"/>
  <c r="Q241" i="1"/>
  <c r="Q244" i="1"/>
  <c r="Q247" i="1"/>
  <c r="Q250" i="1"/>
  <c r="Q254" i="1"/>
  <c r="Q258" i="1"/>
  <c r="Q262" i="1"/>
  <c r="Q260" i="1"/>
  <c r="Q259" i="1"/>
  <c r="Q276" i="1"/>
  <c r="Q280" i="1"/>
  <c r="Q284" i="1"/>
  <c r="Q288" i="1"/>
  <c r="Q289" i="1"/>
  <c r="Q290" i="1"/>
  <c r="Q293" i="1"/>
  <c r="Q292" i="1"/>
  <c r="Q291" i="1"/>
  <c r="Q297" i="1"/>
  <c r="Q299" i="1"/>
  <c r="Q300" i="1"/>
  <c r="Q301" i="1"/>
  <c r="Q303" i="1"/>
  <c r="Q304" i="1"/>
  <c r="Q305" i="1"/>
  <c r="Q306" i="1"/>
  <c r="Q309" i="1"/>
  <c r="Q310" i="1"/>
  <c r="Q311" i="1"/>
  <c r="Q312" i="1"/>
  <c r="Q313" i="1"/>
  <c r="Q314" i="1"/>
  <c r="Q315" i="1"/>
  <c r="Q316" i="1"/>
  <c r="Q317" i="1"/>
  <c r="Q319" i="1"/>
  <c r="Q321" i="1"/>
  <c r="Q323" i="1"/>
  <c r="Q324" i="1"/>
  <c r="Q326" i="1"/>
  <c r="Q333" i="1"/>
  <c r="Q341" i="1"/>
  <c r="Q345" i="1"/>
  <c r="Q351" i="1"/>
  <c r="Q350" i="1"/>
  <c r="Q349" i="1"/>
  <c r="R334" i="1"/>
  <c r="R335" i="1"/>
  <c r="R333" i="1"/>
  <c r="R350" i="1"/>
  <c r="R349" i="1"/>
  <c r="E20" i="1"/>
  <c r="L20" i="1"/>
  <c r="K20" i="1"/>
  <c r="J20" i="1"/>
  <c r="O20" i="1"/>
  <c r="P30" i="1"/>
  <c r="P29" i="1"/>
  <c r="P28" i="1"/>
  <c r="P27" i="1"/>
  <c r="O27" i="1"/>
  <c r="P26" i="1"/>
  <c r="P25" i="1"/>
  <c r="P24" i="1"/>
  <c r="O24" i="1"/>
  <c r="P41" i="1"/>
  <c r="O41" i="1"/>
  <c r="P40" i="1"/>
  <c r="O40" i="1"/>
  <c r="P39" i="1"/>
  <c r="O39" i="1"/>
  <c r="P38" i="1"/>
  <c r="O38" i="1"/>
  <c r="P37" i="1"/>
  <c r="O37" i="1"/>
  <c r="P36" i="1"/>
  <c r="O36" i="1"/>
  <c r="P35" i="1"/>
  <c r="O35" i="1"/>
  <c r="P34" i="1"/>
  <c r="O34" i="1"/>
  <c r="P33" i="1"/>
  <c r="O33" i="1"/>
  <c r="P32" i="1"/>
  <c r="P31" i="1"/>
  <c r="O31" i="1"/>
  <c r="O32" i="1"/>
  <c r="O30" i="1"/>
  <c r="O22" i="1"/>
  <c r="O21" i="1"/>
  <c r="Q156" i="1"/>
  <c r="O156" i="1"/>
  <c r="R320" i="1"/>
  <c r="P326" i="1"/>
  <c r="R326" i="1"/>
  <c r="O326" i="1"/>
  <c r="F416" i="1"/>
  <c r="F419" i="1" s="1"/>
  <c r="F417" i="1"/>
  <c r="F420" i="1" s="1"/>
  <c r="H115" i="1"/>
  <c r="H116" i="1"/>
  <c r="H114" i="1"/>
  <c r="H113" i="1"/>
  <c r="F250" i="1"/>
  <c r="K340" i="1"/>
  <c r="P340" i="1" s="1"/>
  <c r="L340" i="1"/>
  <c r="Q340" i="1" s="1"/>
  <c r="J340" i="1"/>
  <c r="O340" i="1" s="1"/>
  <c r="F340" i="1"/>
  <c r="G340" i="1"/>
  <c r="H340" i="1"/>
  <c r="E340" i="1"/>
  <c r="D340" i="1"/>
  <c r="O332" i="1"/>
  <c r="Q335" i="1"/>
  <c r="P335" i="1"/>
  <c r="O335" i="1"/>
  <c r="Q334" i="1"/>
  <c r="P334" i="1"/>
  <c r="O334" i="1"/>
  <c r="P333" i="1"/>
  <c r="P332" i="1" s="1"/>
  <c r="Q332" i="1"/>
  <c r="O333" i="1"/>
  <c r="K332" i="1"/>
  <c r="L332" i="1"/>
  <c r="J332" i="1"/>
  <c r="F332" i="1"/>
  <c r="G332" i="1"/>
  <c r="E332" i="1"/>
  <c r="H334" i="1"/>
  <c r="H335" i="1"/>
  <c r="H332" i="1"/>
  <c r="H345" i="1"/>
  <c r="P351" i="1"/>
  <c r="O351" i="1"/>
  <c r="P350" i="1"/>
  <c r="O350" i="1"/>
  <c r="P349" i="1"/>
  <c r="O349" i="1"/>
  <c r="P348" i="1"/>
  <c r="R348" i="1"/>
  <c r="Q347" i="1"/>
  <c r="P347" i="1"/>
  <c r="O347" i="1"/>
  <c r="Q346" i="1"/>
  <c r="P346" i="1"/>
  <c r="O346" i="1"/>
  <c r="P345" i="1"/>
  <c r="O345" i="1"/>
  <c r="P344" i="1"/>
  <c r="H348" i="1"/>
  <c r="G348" i="1"/>
  <c r="Q348" i="1" s="1"/>
  <c r="F348" i="1"/>
  <c r="E348" i="1"/>
  <c r="O348" i="1" s="1"/>
  <c r="D348" i="1"/>
  <c r="D344" i="1"/>
  <c r="F344" i="1"/>
  <c r="G344" i="1"/>
  <c r="Q344" i="1" s="1"/>
  <c r="H344" i="1"/>
  <c r="R344" i="1" s="1"/>
  <c r="E344" i="1"/>
  <c r="O344" i="1" s="1"/>
  <c r="Q231" i="1"/>
  <c r="P231" i="1"/>
  <c r="O231" i="1"/>
  <c r="Q230" i="1"/>
  <c r="P230" i="1"/>
  <c r="O230" i="1"/>
  <c r="Q229" i="1"/>
  <c r="P229" i="1"/>
  <c r="P228" i="1" s="1"/>
  <c r="O229" i="1"/>
  <c r="O228" i="1" s="1"/>
  <c r="Q228" i="1"/>
  <c r="M231" i="1"/>
  <c r="M230" i="1"/>
  <c r="M229" i="1"/>
  <c r="M228" i="1" s="1"/>
  <c r="L228" i="1"/>
  <c r="K228" i="1"/>
  <c r="J228" i="1"/>
  <c r="H231" i="1"/>
  <c r="H230" i="1"/>
  <c r="R230" i="1" s="1"/>
  <c r="G228" i="1"/>
  <c r="E228" i="1"/>
  <c r="F228" i="1"/>
  <c r="Q227" i="1"/>
  <c r="P227" i="1"/>
  <c r="O227" i="1"/>
  <c r="Q226" i="1"/>
  <c r="P226" i="1"/>
  <c r="O226" i="1"/>
  <c r="Q225" i="1"/>
  <c r="P225" i="1"/>
  <c r="O225" i="1"/>
  <c r="Q224" i="1"/>
  <c r="P224" i="1"/>
  <c r="O224" i="1"/>
  <c r="K223" i="1"/>
  <c r="P223" i="1" s="1"/>
  <c r="L223" i="1"/>
  <c r="Q223" i="1" s="1"/>
  <c r="M223" i="1"/>
  <c r="J223" i="1"/>
  <c r="O223" i="1" s="1"/>
  <c r="F223" i="1"/>
  <c r="G223" i="1"/>
  <c r="E223" i="1"/>
  <c r="H225" i="1"/>
  <c r="R225" i="1" s="1"/>
  <c r="H226" i="1"/>
  <c r="R226" i="1" s="1"/>
  <c r="H227" i="1"/>
  <c r="R227" i="1" s="1"/>
  <c r="H224" i="1"/>
  <c r="R224" i="1" s="1"/>
  <c r="Q19" i="1"/>
  <c r="P19" i="1"/>
  <c r="O19" i="1"/>
  <c r="Q18" i="1"/>
  <c r="P18" i="1"/>
  <c r="O18" i="1"/>
  <c r="Q17" i="1"/>
  <c r="Q16" i="1" s="1"/>
  <c r="P17" i="1"/>
  <c r="P16" i="1" s="1"/>
  <c r="O17" i="1"/>
  <c r="O16" i="1" s="1"/>
  <c r="K16" i="1"/>
  <c r="L16" i="1"/>
  <c r="J16" i="1"/>
  <c r="F16" i="1"/>
  <c r="G16" i="1"/>
  <c r="E16" i="1"/>
  <c r="M19" i="1"/>
  <c r="M18" i="1"/>
  <c r="R18" i="1" s="1"/>
  <c r="M17" i="1"/>
  <c r="R17" i="1" s="1"/>
  <c r="R16" i="1" s="1"/>
  <c r="H16" i="1"/>
  <c r="Q15" i="1"/>
  <c r="P15" i="1"/>
  <c r="O15" i="1"/>
  <c r="Q14" i="1"/>
  <c r="P14" i="1"/>
  <c r="O14" i="1"/>
  <c r="Q9" i="1"/>
  <c r="P13" i="1"/>
  <c r="O13" i="1"/>
  <c r="P12" i="1"/>
  <c r="Q12" i="1"/>
  <c r="P11" i="1"/>
  <c r="Q11" i="1"/>
  <c r="O11" i="1"/>
  <c r="O12" i="1"/>
  <c r="P10" i="1"/>
  <c r="P9" i="1" s="1"/>
  <c r="O10" i="1"/>
  <c r="O9" i="1" s="1"/>
  <c r="M15" i="1"/>
  <c r="R15" i="1" s="1"/>
  <c r="M14" i="1"/>
  <c r="R14" i="1" s="1"/>
  <c r="M13" i="1"/>
  <c r="F9" i="1"/>
  <c r="G9" i="1"/>
  <c r="E9" i="1"/>
  <c r="K9" i="1"/>
  <c r="L9" i="1"/>
  <c r="J9" i="1"/>
  <c r="M12" i="1"/>
  <c r="R12" i="1" s="1"/>
  <c r="O5" i="1"/>
  <c r="R5" i="1"/>
  <c r="R8" i="1"/>
  <c r="P8" i="1"/>
  <c r="O8" i="1"/>
  <c r="R7" i="1"/>
  <c r="P7" i="1"/>
  <c r="O7" i="1"/>
  <c r="O6" i="1"/>
  <c r="P6" i="1"/>
  <c r="P5" i="1" s="1"/>
  <c r="Q5" i="1"/>
  <c r="L5" i="1"/>
  <c r="K5" i="1"/>
  <c r="J5" i="1"/>
  <c r="M8" i="1"/>
  <c r="M7" i="1"/>
  <c r="M6" i="1"/>
  <c r="M5" i="1" s="1"/>
  <c r="H5" i="1"/>
  <c r="F5" i="1"/>
  <c r="G5" i="1"/>
  <c r="E5" i="1"/>
  <c r="R231" i="1" l="1"/>
  <c r="I418" i="1"/>
  <c r="R35" i="1"/>
  <c r="P20" i="1"/>
  <c r="Q20" i="1"/>
  <c r="R33" i="1"/>
  <c r="H419" i="1"/>
  <c r="I420" i="1"/>
  <c r="H420" i="1"/>
  <c r="R34" i="1"/>
  <c r="R19" i="1"/>
  <c r="R13" i="1"/>
  <c r="H9" i="1"/>
  <c r="M16" i="1"/>
  <c r="H223" i="1"/>
  <c r="R223" i="1" s="1"/>
  <c r="M351" i="1"/>
  <c r="R351" i="1" s="1"/>
  <c r="M350" i="1"/>
  <c r="M349" i="1"/>
  <c r="M347" i="1"/>
  <c r="R347" i="1" s="1"/>
  <c r="M346" i="1"/>
  <c r="R346" i="1" s="1"/>
  <c r="M345" i="1"/>
  <c r="R345" i="1" s="1"/>
  <c r="M260" i="1"/>
  <c r="H260" i="1"/>
  <c r="M259" i="1"/>
  <c r="H259" i="1"/>
  <c r="M258" i="1"/>
  <c r="H258" i="1"/>
  <c r="K171" i="1"/>
  <c r="L171" i="1"/>
  <c r="J171" i="1"/>
  <c r="F171" i="1"/>
  <c r="G171" i="1"/>
  <c r="E171" i="1"/>
  <c r="H174" i="1"/>
  <c r="H173" i="1"/>
  <c r="M171" i="1"/>
  <c r="H172" i="1"/>
  <c r="H171" i="1" s="1"/>
  <c r="H126" i="1"/>
  <c r="H125" i="1"/>
  <c r="H124" i="1"/>
  <c r="M121" i="1"/>
  <c r="H121" i="1"/>
  <c r="H120" i="1"/>
  <c r="H119" i="1"/>
  <c r="M118" i="1"/>
  <c r="H118" i="1"/>
  <c r="H41" i="1"/>
  <c r="H40" i="1"/>
  <c r="M35" i="1"/>
  <c r="M34" i="1"/>
  <c r="M33" i="1"/>
  <c r="M30" i="1"/>
  <c r="M29" i="1"/>
  <c r="M28" i="1"/>
  <c r="M27" i="1"/>
  <c r="M26" i="1"/>
  <c r="M25" i="1"/>
  <c r="M24" i="1"/>
  <c r="H327" i="1" l="1"/>
  <c r="M326" i="1"/>
  <c r="G326" i="1"/>
  <c r="F326" i="1"/>
  <c r="H325" i="1"/>
  <c r="E324" i="1"/>
  <c r="H324" i="1" s="1"/>
  <c r="H323" i="1"/>
  <c r="M322" i="1"/>
  <c r="L322" i="1"/>
  <c r="K322" i="1"/>
  <c r="J322" i="1"/>
  <c r="G322" i="1"/>
  <c r="F322" i="1"/>
  <c r="E322" i="1"/>
  <c r="D322" i="1"/>
  <c r="M321" i="1"/>
  <c r="M320" i="1"/>
  <c r="M319" i="1"/>
  <c r="G319" i="1"/>
  <c r="L318" i="1"/>
  <c r="K318" i="1"/>
  <c r="J318" i="1"/>
  <c r="G318" i="1"/>
  <c r="F318" i="1"/>
  <c r="E318" i="1"/>
  <c r="D318" i="1"/>
  <c r="M317" i="1"/>
  <c r="H317" i="1"/>
  <c r="M316" i="1"/>
  <c r="G316" i="1"/>
  <c r="F316" i="1"/>
  <c r="E316" i="1"/>
  <c r="M315" i="1"/>
  <c r="H315" i="1"/>
  <c r="M314" i="1"/>
  <c r="H314" i="1"/>
  <c r="M313" i="1"/>
  <c r="H313" i="1"/>
  <c r="R313" i="1" s="1"/>
  <c r="M312" i="1"/>
  <c r="H312" i="1"/>
  <c r="M311" i="1"/>
  <c r="H311" i="1"/>
  <c r="R311" i="1" s="1"/>
  <c r="M310" i="1"/>
  <c r="H310" i="1"/>
  <c r="M309" i="1"/>
  <c r="H309" i="1"/>
  <c r="R309" i="1" s="1"/>
  <c r="M308" i="1"/>
  <c r="H308" i="1"/>
  <c r="L307" i="1"/>
  <c r="K307" i="1"/>
  <c r="J307" i="1"/>
  <c r="F307" i="1"/>
  <c r="E307" i="1"/>
  <c r="D307" i="1"/>
  <c r="M306" i="1"/>
  <c r="H306" i="1"/>
  <c r="M305" i="1"/>
  <c r="L305" i="1"/>
  <c r="H305" i="1"/>
  <c r="M304" i="1"/>
  <c r="H304" i="1"/>
  <c r="M303" i="1"/>
  <c r="H303" i="1"/>
  <c r="R310" i="1"/>
  <c r="R312" i="1"/>
  <c r="R314" i="1"/>
  <c r="P309" i="1"/>
  <c r="P310" i="1"/>
  <c r="P311" i="1"/>
  <c r="P312" i="1"/>
  <c r="P313" i="1"/>
  <c r="P314" i="1"/>
  <c r="P315" i="1"/>
  <c r="P316" i="1"/>
  <c r="P317" i="1"/>
  <c r="O309" i="1"/>
  <c r="O310" i="1"/>
  <c r="O311" i="1"/>
  <c r="O312" i="1"/>
  <c r="O313" i="1"/>
  <c r="O314" i="1"/>
  <c r="O315" i="1"/>
  <c r="O317" i="1"/>
  <c r="O308" i="1"/>
  <c r="P308" i="1"/>
  <c r="P301" i="1"/>
  <c r="P300" i="1"/>
  <c r="O300" i="1"/>
  <c r="O301" i="1"/>
  <c r="P299" i="1"/>
  <c r="O299" i="1"/>
  <c r="M301" i="1"/>
  <c r="H301" i="1"/>
  <c r="M300" i="1"/>
  <c r="H300" i="1"/>
  <c r="M299" i="1"/>
  <c r="H299" i="1"/>
  <c r="M286" i="1"/>
  <c r="H286" i="1"/>
  <c r="M285" i="1"/>
  <c r="H285" i="1"/>
  <c r="M284" i="1"/>
  <c r="H284" i="1"/>
  <c r="M282" i="1"/>
  <c r="H282" i="1"/>
  <c r="M281" i="1"/>
  <c r="H281" i="1"/>
  <c r="M280" i="1"/>
  <c r="H280" i="1"/>
  <c r="M278" i="1"/>
  <c r="H278" i="1"/>
  <c r="M277" i="1"/>
  <c r="H277" i="1"/>
  <c r="M276" i="1"/>
  <c r="H276" i="1"/>
  <c r="M256" i="1"/>
  <c r="H256" i="1"/>
  <c r="M255" i="1"/>
  <c r="H255" i="1"/>
  <c r="M254" i="1"/>
  <c r="M239" i="1"/>
  <c r="H239" i="1"/>
  <c r="D239" i="1"/>
  <c r="M238" i="1"/>
  <c r="H238" i="1"/>
  <c r="D238" i="1"/>
  <c r="L237" i="1"/>
  <c r="M237" i="1" s="1"/>
  <c r="H237" i="1"/>
  <c r="D237" i="1"/>
  <c r="P235" i="1"/>
  <c r="O235" i="1"/>
  <c r="M235" i="1"/>
  <c r="H235" i="1"/>
  <c r="P234" i="1"/>
  <c r="O234" i="1"/>
  <c r="M234" i="1"/>
  <c r="H234" i="1"/>
  <c r="P233" i="1"/>
  <c r="O233" i="1"/>
  <c r="M233" i="1"/>
  <c r="M232" i="1" s="1"/>
  <c r="H233" i="1"/>
  <c r="L232" i="1"/>
  <c r="K232" i="1"/>
  <c r="J232" i="1"/>
  <c r="H232" i="1"/>
  <c r="G232" i="1"/>
  <c r="F232" i="1"/>
  <c r="E232" i="1"/>
  <c r="M222" i="1"/>
  <c r="H222" i="1"/>
  <c r="M221" i="1"/>
  <c r="H221" i="1"/>
  <c r="M220" i="1"/>
  <c r="H220" i="1"/>
  <c r="M196" i="1"/>
  <c r="H196" i="1"/>
  <c r="M195" i="1"/>
  <c r="M194" i="1"/>
  <c r="M193" i="1"/>
  <c r="M192" i="1"/>
  <c r="M191" i="1"/>
  <c r="M190" i="1"/>
  <c r="M189" i="1"/>
  <c r="M188" i="1"/>
  <c r="M187" i="1"/>
  <c r="M186" i="1"/>
  <c r="M185" i="1"/>
  <c r="M184" i="1"/>
  <c r="M183" i="1"/>
  <c r="M182" i="1"/>
  <c r="D182" i="1"/>
  <c r="P72" i="1"/>
  <c r="P71" i="1"/>
  <c r="O71" i="1"/>
  <c r="O72" i="1"/>
  <c r="P70" i="1"/>
  <c r="O70" i="1"/>
  <c r="M75" i="1"/>
  <c r="M74" i="1"/>
  <c r="M73" i="1"/>
  <c r="M42" i="1" s="1"/>
  <c r="M72" i="1"/>
  <c r="M71" i="1"/>
  <c r="M70" i="1"/>
  <c r="R70" i="1"/>
  <c r="M69" i="1"/>
  <c r="M68" i="1"/>
  <c r="M67" i="1"/>
  <c r="M63" i="1"/>
  <c r="M62" i="1"/>
  <c r="M61" i="1"/>
  <c r="M60" i="1"/>
  <c r="M59" i="1"/>
  <c r="M58" i="1"/>
  <c r="M57" i="1"/>
  <c r="H57" i="1"/>
  <c r="M56" i="1"/>
  <c r="H56" i="1"/>
  <c r="M55" i="1"/>
  <c r="H55" i="1"/>
  <c r="H51" i="1"/>
  <c r="H50" i="1"/>
  <c r="M49" i="1"/>
  <c r="H49" i="1"/>
  <c r="M48" i="1"/>
  <c r="M47" i="1"/>
  <c r="M46" i="1"/>
  <c r="G46" i="1"/>
  <c r="E46" i="1"/>
  <c r="M45" i="1"/>
  <c r="H45" i="1"/>
  <c r="H44" i="1"/>
  <c r="H43" i="1"/>
  <c r="R299" i="1" l="1"/>
  <c r="R300" i="1"/>
  <c r="R317" i="1"/>
  <c r="M318" i="1"/>
  <c r="R71" i="1"/>
  <c r="H316" i="1"/>
  <c r="R316" i="1" s="1"/>
  <c r="R301" i="1"/>
  <c r="R72" i="1"/>
  <c r="R315" i="1"/>
  <c r="M307" i="1"/>
  <c r="P307" i="1"/>
  <c r="O316" i="1"/>
  <c r="O307" i="1" s="1"/>
  <c r="R234" i="1"/>
  <c r="R235" i="1"/>
  <c r="R233" i="1"/>
  <c r="R46" i="1"/>
  <c r="Q362" i="1" l="1"/>
  <c r="P362" i="1"/>
  <c r="O362" i="1"/>
  <c r="Q361" i="1"/>
  <c r="P361" i="1"/>
  <c r="O361" i="1"/>
  <c r="Q360" i="1"/>
  <c r="P360" i="1"/>
  <c r="O360" i="1"/>
  <c r="H400" i="1"/>
  <c r="M399" i="1"/>
  <c r="H399" i="1"/>
  <c r="M398" i="1"/>
  <c r="H398" i="1"/>
  <c r="M397" i="1"/>
  <c r="H397" i="1"/>
  <c r="M396" i="1"/>
  <c r="H396" i="1"/>
  <c r="M395" i="1"/>
  <c r="H395" i="1"/>
  <c r="M394" i="1"/>
  <c r="H394" i="1"/>
  <c r="M393" i="1"/>
  <c r="G393" i="1"/>
  <c r="F393" i="1"/>
  <c r="E393" i="1"/>
  <c r="M392" i="1"/>
  <c r="H392" i="1"/>
  <c r="M391" i="1"/>
  <c r="H391" i="1"/>
  <c r="M390" i="1"/>
  <c r="H390" i="1"/>
  <c r="M389" i="1"/>
  <c r="G389" i="1"/>
  <c r="F389" i="1"/>
  <c r="E389" i="1"/>
  <c r="M388" i="1"/>
  <c r="H388" i="1"/>
  <c r="M387" i="1"/>
  <c r="H387" i="1"/>
  <c r="M386" i="1"/>
  <c r="H386" i="1"/>
  <c r="M384" i="1"/>
  <c r="M383" i="1"/>
  <c r="M382" i="1"/>
  <c r="H384" i="1"/>
  <c r="H383" i="1"/>
  <c r="H382" i="1"/>
  <c r="H380" i="1"/>
  <c r="H379" i="1"/>
  <c r="H378" i="1"/>
  <c r="M376" i="1"/>
  <c r="M375" i="1"/>
  <c r="M374" i="1"/>
  <c r="H376" i="1"/>
  <c r="H375" i="1"/>
  <c r="H374" i="1"/>
  <c r="M372" i="1"/>
  <c r="M371" i="1"/>
  <c r="M370" i="1"/>
  <c r="M369" i="1"/>
  <c r="M368" i="1"/>
  <c r="M367" i="1"/>
  <c r="M366" i="1"/>
  <c r="M365" i="1"/>
  <c r="M364" i="1"/>
  <c r="H372" i="1"/>
  <c r="H371" i="1"/>
  <c r="H370" i="1"/>
  <c r="H369" i="1"/>
  <c r="H368" i="1"/>
  <c r="H367" i="1"/>
  <c r="H366" i="1"/>
  <c r="H365" i="1"/>
  <c r="H364" i="1"/>
  <c r="H362" i="1"/>
  <c r="H361" i="1"/>
  <c r="H360" i="1"/>
  <c r="P293" i="1"/>
  <c r="O293" i="1"/>
  <c r="P292" i="1"/>
  <c r="O292" i="1"/>
  <c r="P291" i="1"/>
  <c r="O291" i="1"/>
  <c r="P290" i="1"/>
  <c r="O290" i="1"/>
  <c r="P289" i="1"/>
  <c r="O289" i="1"/>
  <c r="P288" i="1"/>
  <c r="O288" i="1"/>
  <c r="M293" i="1"/>
  <c r="R293" i="1" s="1"/>
  <c r="M292" i="1"/>
  <c r="M291" i="1"/>
  <c r="R291" i="1" s="1"/>
  <c r="M288" i="1"/>
  <c r="R288" i="1" s="1"/>
  <c r="M264" i="1"/>
  <c r="M263" i="1"/>
  <c r="M262" i="1"/>
  <c r="H264" i="1"/>
  <c r="H263" i="1"/>
  <c r="H262" i="1"/>
  <c r="G143" i="1"/>
  <c r="F143" i="1"/>
  <c r="E143" i="1"/>
  <c r="Q170" i="1"/>
  <c r="P170" i="1"/>
  <c r="O170" i="1"/>
  <c r="M170" i="1"/>
  <c r="R170" i="1" s="1"/>
  <c r="Q169" i="1"/>
  <c r="P169" i="1"/>
  <c r="O169" i="1"/>
  <c r="M169" i="1"/>
  <c r="R169" i="1" s="1"/>
  <c r="Q168" i="1"/>
  <c r="P168" i="1"/>
  <c r="O168" i="1"/>
  <c r="M168" i="1"/>
  <c r="R168" i="1" s="1"/>
  <c r="Q167" i="1"/>
  <c r="P167" i="1"/>
  <c r="O167" i="1"/>
  <c r="M167" i="1"/>
  <c r="R167" i="1" s="1"/>
  <c r="Q166" i="1"/>
  <c r="P166" i="1"/>
  <c r="O166" i="1"/>
  <c r="M166" i="1"/>
  <c r="R166" i="1" s="1"/>
  <c r="Q165" i="1"/>
  <c r="P165" i="1"/>
  <c r="O165" i="1"/>
  <c r="M165" i="1"/>
  <c r="R165" i="1" s="1"/>
  <c r="Q164" i="1"/>
  <c r="P164" i="1"/>
  <c r="O164" i="1"/>
  <c r="M164" i="1"/>
  <c r="R164" i="1" s="1"/>
  <c r="Q163" i="1"/>
  <c r="P163" i="1"/>
  <c r="O163" i="1"/>
  <c r="M163" i="1"/>
  <c r="R163" i="1" s="1"/>
  <c r="Q162" i="1"/>
  <c r="P162" i="1"/>
  <c r="O162" i="1"/>
  <c r="M162" i="1"/>
  <c r="R162" i="1" s="1"/>
  <c r="Q161" i="1"/>
  <c r="P161" i="1"/>
  <c r="O161" i="1"/>
  <c r="M161" i="1"/>
  <c r="R161" i="1" s="1"/>
  <c r="Q160" i="1"/>
  <c r="P160" i="1"/>
  <c r="O160" i="1"/>
  <c r="M160" i="1"/>
  <c r="R160" i="1" s="1"/>
  <c r="Q159" i="1"/>
  <c r="P159" i="1"/>
  <c r="O159" i="1"/>
  <c r="M159" i="1"/>
  <c r="R159" i="1" s="1"/>
  <c r="Q158" i="1"/>
  <c r="P158" i="1"/>
  <c r="O158" i="1"/>
  <c r="M158" i="1"/>
  <c r="Q157" i="1"/>
  <c r="P157" i="1"/>
  <c r="O157" i="1"/>
  <c r="M157" i="1"/>
  <c r="P156" i="1"/>
  <c r="M156" i="1"/>
  <c r="Q155" i="1"/>
  <c r="P155" i="1"/>
  <c r="O155" i="1"/>
  <c r="M155" i="1"/>
  <c r="Q154" i="1"/>
  <c r="P154" i="1"/>
  <c r="O154" i="1"/>
  <c r="M154" i="1"/>
  <c r="Q153" i="1"/>
  <c r="P153" i="1"/>
  <c r="O153" i="1"/>
  <c r="M153" i="1"/>
  <c r="O152" i="1"/>
  <c r="M152" i="1"/>
  <c r="O151" i="1"/>
  <c r="M151" i="1"/>
  <c r="Q150" i="1"/>
  <c r="O150" i="1"/>
  <c r="M150" i="1"/>
  <c r="Q149" i="1"/>
  <c r="M149" i="1"/>
  <c r="Q148" i="1"/>
  <c r="M148" i="1"/>
  <c r="Q147" i="1"/>
  <c r="M147" i="1"/>
  <c r="Q146" i="1"/>
  <c r="P146" i="1"/>
  <c r="O146" i="1"/>
  <c r="M146" i="1"/>
  <c r="Q145" i="1"/>
  <c r="P145" i="1"/>
  <c r="O145" i="1"/>
  <c r="M145" i="1"/>
  <c r="Q144" i="1"/>
  <c r="P144" i="1"/>
  <c r="O144" i="1"/>
  <c r="M144"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R287" i="1" l="1"/>
  <c r="Q287" i="1"/>
  <c r="P287" i="1"/>
  <c r="H143" i="1"/>
  <c r="R152" i="1"/>
  <c r="R148" i="1"/>
  <c r="R150" i="1"/>
  <c r="R156" i="1"/>
  <c r="R157" i="1"/>
  <c r="R158" i="1"/>
  <c r="R144" i="1"/>
  <c r="R145" i="1"/>
  <c r="R146" i="1"/>
  <c r="R147" i="1"/>
  <c r="H393" i="1"/>
  <c r="R151" i="1"/>
  <c r="R153" i="1"/>
  <c r="R154" i="1"/>
  <c r="R155" i="1"/>
  <c r="H389" i="1"/>
  <c r="F101" i="1" l="1"/>
  <c r="G101" i="1"/>
  <c r="F20" i="1"/>
  <c r="G20" i="1"/>
  <c r="P21" i="1"/>
  <c r="R21" i="1"/>
  <c r="P22" i="1"/>
  <c r="R22" i="1"/>
  <c r="O23" i="1"/>
  <c r="P23" i="1"/>
  <c r="R23" i="1"/>
  <c r="O25" i="1"/>
  <c r="O26" i="1"/>
  <c r="O28" i="1"/>
  <c r="O29" i="1"/>
  <c r="R31" i="1"/>
  <c r="R32" i="1"/>
  <c r="R39" i="1"/>
  <c r="R40" i="1"/>
  <c r="R41" i="1"/>
  <c r="R43" i="1"/>
  <c r="P43" i="1"/>
  <c r="R44" i="1"/>
  <c r="P44" i="1"/>
  <c r="Q44" i="1"/>
  <c r="R45" i="1"/>
  <c r="P45" i="1"/>
  <c r="Q45" i="1"/>
  <c r="O46" i="1"/>
  <c r="P46" i="1"/>
  <c r="O47" i="1"/>
  <c r="P47" i="1"/>
  <c r="Q47" i="1"/>
  <c r="R48" i="1"/>
  <c r="O48" i="1"/>
  <c r="P48" i="1"/>
  <c r="Q48" i="1"/>
  <c r="O49" i="1"/>
  <c r="P49" i="1"/>
  <c r="O50" i="1"/>
  <c r="P50" i="1"/>
  <c r="Q50" i="1"/>
  <c r="R50" i="1"/>
  <c r="R51" i="1"/>
  <c r="O51" i="1"/>
  <c r="P51" i="1"/>
  <c r="Q51" i="1"/>
  <c r="O52" i="1"/>
  <c r="P52" i="1"/>
  <c r="R52" i="1"/>
  <c r="R53" i="1"/>
  <c r="O53" i="1"/>
  <c r="P53" i="1"/>
  <c r="Q53" i="1"/>
  <c r="O54" i="1"/>
  <c r="P54" i="1"/>
  <c r="Q54" i="1"/>
  <c r="R54" i="1"/>
  <c r="O55" i="1"/>
  <c r="O56" i="1"/>
  <c r="P56" i="1"/>
  <c r="Q56" i="1"/>
  <c r="R56" i="1"/>
  <c r="R57" i="1"/>
  <c r="O57" i="1"/>
  <c r="P57" i="1"/>
  <c r="Q57" i="1"/>
  <c r="P58" i="1"/>
  <c r="O59" i="1"/>
  <c r="P59" i="1"/>
  <c r="Q59" i="1"/>
  <c r="O60" i="1"/>
  <c r="P60" i="1"/>
  <c r="Q60" i="1"/>
  <c r="R61" i="1"/>
  <c r="O61" i="1"/>
  <c r="P61" i="1"/>
  <c r="R62" i="1"/>
  <c r="O62" i="1"/>
  <c r="P62" i="1"/>
  <c r="Q62" i="1"/>
  <c r="O63" i="1"/>
  <c r="P63" i="1"/>
  <c r="Q63" i="1"/>
  <c r="R63" i="1"/>
  <c r="R64" i="1"/>
  <c r="O64" i="1"/>
  <c r="P64" i="1"/>
  <c r="Q64" i="1"/>
  <c r="O65" i="1"/>
  <c r="P65" i="1"/>
  <c r="Q65" i="1"/>
  <c r="R65" i="1"/>
  <c r="R66" i="1"/>
  <c r="O66" i="1"/>
  <c r="P66" i="1"/>
  <c r="Q66" i="1"/>
  <c r="O67" i="1"/>
  <c r="P67" i="1"/>
  <c r="R68" i="1"/>
  <c r="O68" i="1"/>
  <c r="P68" i="1"/>
  <c r="Q68" i="1"/>
  <c r="O69" i="1"/>
  <c r="P69" i="1"/>
  <c r="Q69" i="1"/>
  <c r="R73" i="1"/>
  <c r="O73" i="1"/>
  <c r="P73" i="1"/>
  <c r="O74" i="1"/>
  <c r="P74" i="1"/>
  <c r="O75" i="1"/>
  <c r="P75" i="1"/>
  <c r="Q75" i="1"/>
  <c r="O77" i="1"/>
  <c r="P77" i="1"/>
  <c r="H78" i="1"/>
  <c r="R78" i="1" s="1"/>
  <c r="O78" i="1"/>
  <c r="P78" i="1"/>
  <c r="Q78" i="1"/>
  <c r="H79" i="1"/>
  <c r="R79" i="1" s="1"/>
  <c r="O79" i="1"/>
  <c r="P79" i="1"/>
  <c r="Q79" i="1"/>
  <c r="O80" i="1"/>
  <c r="P80" i="1"/>
  <c r="H81" i="1"/>
  <c r="O81" i="1"/>
  <c r="P81" i="1"/>
  <c r="Q81" i="1"/>
  <c r="H82" i="1"/>
  <c r="R82" i="1" s="1"/>
  <c r="O82" i="1"/>
  <c r="P82" i="1"/>
  <c r="Q82" i="1"/>
  <c r="O83" i="1"/>
  <c r="P83" i="1"/>
  <c r="Q83" i="1"/>
  <c r="H84" i="1"/>
  <c r="O84" i="1"/>
  <c r="P84" i="1"/>
  <c r="Q84" i="1"/>
  <c r="H85" i="1"/>
  <c r="O85" i="1"/>
  <c r="P85" i="1"/>
  <c r="Q85" i="1"/>
  <c r="H98" i="1"/>
  <c r="O98" i="1"/>
  <c r="P98" i="1"/>
  <c r="Q98" i="1"/>
  <c r="H99" i="1"/>
  <c r="O99" i="1"/>
  <c r="P99" i="1"/>
  <c r="Q99" i="1"/>
  <c r="H100" i="1"/>
  <c r="R100" i="1" s="1"/>
  <c r="O100" i="1"/>
  <c r="P100" i="1"/>
  <c r="Q100" i="1"/>
  <c r="E101" i="1"/>
  <c r="J101" i="1"/>
  <c r="K101" i="1"/>
  <c r="L101" i="1"/>
  <c r="H102" i="1"/>
  <c r="R102" i="1" s="1"/>
  <c r="O102" i="1"/>
  <c r="P102" i="1"/>
  <c r="Q102" i="1"/>
  <c r="H103" i="1"/>
  <c r="R103" i="1" s="1"/>
  <c r="O103" i="1"/>
  <c r="P103" i="1"/>
  <c r="Q103" i="1"/>
  <c r="H104" i="1"/>
  <c r="R104" i="1" s="1"/>
  <c r="O104" i="1"/>
  <c r="P104" i="1"/>
  <c r="Q104" i="1"/>
  <c r="H105" i="1"/>
  <c r="O105" i="1"/>
  <c r="P105" i="1"/>
  <c r="Q105" i="1"/>
  <c r="R105" i="1"/>
  <c r="H106" i="1"/>
  <c r="R106" i="1" s="1"/>
  <c r="O106" i="1"/>
  <c r="P106" i="1"/>
  <c r="Q106" i="1"/>
  <c r="H107" i="1"/>
  <c r="R107" i="1" s="1"/>
  <c r="O107" i="1"/>
  <c r="P107" i="1"/>
  <c r="Q107" i="1"/>
  <c r="R108" i="1"/>
  <c r="O108" i="1"/>
  <c r="P108" i="1"/>
  <c r="Q108" i="1"/>
  <c r="R109" i="1"/>
  <c r="O109" i="1"/>
  <c r="P109" i="1"/>
  <c r="Q109" i="1"/>
  <c r="R110" i="1"/>
  <c r="O110" i="1"/>
  <c r="P110" i="1"/>
  <c r="Q110" i="1"/>
  <c r="H111" i="1"/>
  <c r="R111" i="1" s="1"/>
  <c r="O111" i="1"/>
  <c r="P111" i="1"/>
  <c r="Q111" i="1"/>
  <c r="H112" i="1"/>
  <c r="R112" i="1" s="1"/>
  <c r="O112" i="1"/>
  <c r="P112" i="1"/>
  <c r="Q112" i="1"/>
  <c r="O113" i="1"/>
  <c r="P113" i="1"/>
  <c r="Q113" i="1"/>
  <c r="R113" i="1"/>
  <c r="M114" i="1"/>
  <c r="M101" i="1" s="1"/>
  <c r="O114" i="1"/>
  <c r="P114" i="1"/>
  <c r="Q114" i="1"/>
  <c r="R114" i="1"/>
  <c r="M115" i="1"/>
  <c r="R115" i="1" s="1"/>
  <c r="O115" i="1"/>
  <c r="P115" i="1"/>
  <c r="Q115" i="1"/>
  <c r="M116" i="1"/>
  <c r="O116" i="1"/>
  <c r="P116" i="1"/>
  <c r="Q116" i="1"/>
  <c r="R116" i="1"/>
  <c r="E117" i="1"/>
  <c r="F117" i="1"/>
  <c r="G117" i="1"/>
  <c r="J117" i="1"/>
  <c r="K117" i="1"/>
  <c r="L117" i="1"/>
  <c r="M117" i="1"/>
  <c r="O118" i="1"/>
  <c r="P118" i="1"/>
  <c r="O119" i="1"/>
  <c r="P119" i="1"/>
  <c r="Q119" i="1"/>
  <c r="R120" i="1"/>
  <c r="O120" i="1"/>
  <c r="P120" i="1"/>
  <c r="Q120" i="1"/>
  <c r="O121" i="1"/>
  <c r="P121" i="1"/>
  <c r="R121" i="1"/>
  <c r="O122" i="1"/>
  <c r="P122" i="1"/>
  <c r="Q122" i="1"/>
  <c r="R122" i="1"/>
  <c r="O123" i="1"/>
  <c r="P123" i="1"/>
  <c r="Q123" i="1"/>
  <c r="R123" i="1"/>
  <c r="R124" i="1"/>
  <c r="O124" i="1"/>
  <c r="P124" i="1"/>
  <c r="R125" i="1"/>
  <c r="O125" i="1"/>
  <c r="P125" i="1"/>
  <c r="Q125" i="1"/>
  <c r="O126" i="1"/>
  <c r="P126" i="1"/>
  <c r="Q126" i="1"/>
  <c r="R126" i="1"/>
  <c r="D127" i="1"/>
  <c r="E127" i="1"/>
  <c r="F127" i="1"/>
  <c r="G127" i="1"/>
  <c r="H128" i="1"/>
  <c r="M128" i="1"/>
  <c r="O128" i="1"/>
  <c r="P128" i="1"/>
  <c r="Q128" i="1"/>
  <c r="H129" i="1"/>
  <c r="M129" i="1"/>
  <c r="O129" i="1"/>
  <c r="P129" i="1"/>
  <c r="Q129" i="1"/>
  <c r="H130" i="1"/>
  <c r="M130" i="1"/>
  <c r="O130" i="1"/>
  <c r="P130" i="1"/>
  <c r="Q130" i="1"/>
  <c r="H131" i="1"/>
  <c r="M131" i="1"/>
  <c r="O131" i="1"/>
  <c r="P131" i="1"/>
  <c r="Q131" i="1"/>
  <c r="H132" i="1"/>
  <c r="M132" i="1"/>
  <c r="O132" i="1"/>
  <c r="P132" i="1"/>
  <c r="Q132" i="1"/>
  <c r="H133" i="1"/>
  <c r="M133" i="1"/>
  <c r="O133" i="1"/>
  <c r="P133" i="1"/>
  <c r="Q133" i="1"/>
  <c r="H134" i="1"/>
  <c r="M134" i="1"/>
  <c r="O134" i="1"/>
  <c r="P134" i="1"/>
  <c r="Q134" i="1"/>
  <c r="H135" i="1"/>
  <c r="M135" i="1"/>
  <c r="O135" i="1"/>
  <c r="P135" i="1"/>
  <c r="Q135" i="1"/>
  <c r="H136" i="1"/>
  <c r="M136" i="1"/>
  <c r="O136" i="1"/>
  <c r="P136" i="1"/>
  <c r="Q136" i="1"/>
  <c r="H137" i="1"/>
  <c r="M137" i="1"/>
  <c r="O137" i="1"/>
  <c r="P137" i="1"/>
  <c r="Q137" i="1"/>
  <c r="H138" i="1"/>
  <c r="M138" i="1"/>
  <c r="O138" i="1"/>
  <c r="P138" i="1"/>
  <c r="Q138" i="1"/>
  <c r="H139" i="1"/>
  <c r="M139" i="1"/>
  <c r="O139" i="1"/>
  <c r="P139" i="1"/>
  <c r="Q139" i="1"/>
  <c r="H140" i="1"/>
  <c r="P140" i="1"/>
  <c r="Q140" i="1"/>
  <c r="H141" i="1"/>
  <c r="M141" i="1"/>
  <c r="O141" i="1"/>
  <c r="P141" i="1"/>
  <c r="Q141" i="1"/>
  <c r="H142" i="1"/>
  <c r="M142" i="1"/>
  <c r="O142" i="1"/>
  <c r="P142" i="1"/>
  <c r="Q142" i="1"/>
  <c r="J143" i="1"/>
  <c r="K143" i="1"/>
  <c r="L143" i="1"/>
  <c r="P172" i="1"/>
  <c r="Q172" i="1"/>
  <c r="O173" i="1"/>
  <c r="P173" i="1"/>
  <c r="Q173" i="1"/>
  <c r="R173" i="1"/>
  <c r="R174" i="1"/>
  <c r="O174" i="1"/>
  <c r="P174" i="1"/>
  <c r="Q174" i="1"/>
  <c r="O175" i="1"/>
  <c r="P175" i="1"/>
  <c r="Q175" i="1"/>
  <c r="R175" i="1"/>
  <c r="O176" i="1"/>
  <c r="P176" i="1"/>
  <c r="Q176" i="1"/>
  <c r="R176" i="1"/>
  <c r="O177" i="1"/>
  <c r="P177" i="1"/>
  <c r="Q177" i="1"/>
  <c r="R177" i="1"/>
  <c r="O178" i="1"/>
  <c r="P178" i="1"/>
  <c r="Q178" i="1"/>
  <c r="R178" i="1"/>
  <c r="O179" i="1"/>
  <c r="P179" i="1"/>
  <c r="Q179" i="1"/>
  <c r="R179" i="1"/>
  <c r="O180" i="1"/>
  <c r="P180" i="1"/>
  <c r="Q180" i="1"/>
  <c r="R180" i="1"/>
  <c r="D181" i="1"/>
  <c r="E181" i="1"/>
  <c r="F181" i="1"/>
  <c r="G181" i="1"/>
  <c r="J181" i="1"/>
  <c r="K181" i="1"/>
  <c r="L181" i="1"/>
  <c r="O182" i="1"/>
  <c r="P182" i="1"/>
  <c r="Q182" i="1"/>
  <c r="O183" i="1"/>
  <c r="P183" i="1"/>
  <c r="Q183" i="1"/>
  <c r="O184" i="1"/>
  <c r="P184" i="1"/>
  <c r="Q184" i="1"/>
  <c r="O185" i="1"/>
  <c r="P185" i="1"/>
  <c r="Q185" i="1"/>
  <c r="O186" i="1"/>
  <c r="R187" i="1"/>
  <c r="O187" i="1"/>
  <c r="P187" i="1"/>
  <c r="Q187" i="1"/>
  <c r="O188" i="1"/>
  <c r="P188" i="1"/>
  <c r="Q188" i="1"/>
  <c r="O189" i="1"/>
  <c r="P189" i="1"/>
  <c r="Q189" i="1"/>
  <c r="R190" i="1"/>
  <c r="O190" i="1"/>
  <c r="P190" i="1"/>
  <c r="Q190" i="1"/>
  <c r="O191" i="1"/>
  <c r="P191" i="1"/>
  <c r="Q191" i="1"/>
  <c r="R192" i="1"/>
  <c r="O192" i="1"/>
  <c r="P192" i="1"/>
  <c r="Q192" i="1"/>
  <c r="O193" i="1"/>
  <c r="P193" i="1"/>
  <c r="Q193" i="1"/>
  <c r="R194" i="1"/>
  <c r="O194" i="1"/>
  <c r="P194" i="1"/>
  <c r="Q194" i="1"/>
  <c r="O195" i="1"/>
  <c r="P195" i="1"/>
  <c r="Q195" i="1"/>
  <c r="O196" i="1"/>
  <c r="P196" i="1"/>
  <c r="Q196" i="1"/>
  <c r="E197" i="1"/>
  <c r="F197" i="1"/>
  <c r="G197" i="1"/>
  <c r="J197" i="1"/>
  <c r="K197" i="1"/>
  <c r="L197" i="1"/>
  <c r="H198" i="1"/>
  <c r="M198" i="1"/>
  <c r="O198" i="1"/>
  <c r="P198" i="1"/>
  <c r="Q198" i="1"/>
  <c r="H199" i="1"/>
  <c r="M199" i="1"/>
  <c r="O199" i="1"/>
  <c r="P199" i="1"/>
  <c r="Q199" i="1"/>
  <c r="H200" i="1"/>
  <c r="M200" i="1"/>
  <c r="O200" i="1"/>
  <c r="P200" i="1"/>
  <c r="Q200" i="1"/>
  <c r="M201" i="1"/>
  <c r="O201" i="1"/>
  <c r="P201" i="1"/>
  <c r="Q201" i="1"/>
  <c r="M202" i="1"/>
  <c r="O202" i="1"/>
  <c r="P202" i="1"/>
  <c r="Q202" i="1"/>
  <c r="M203" i="1"/>
  <c r="O203" i="1"/>
  <c r="P203" i="1"/>
  <c r="Q203" i="1"/>
  <c r="M204" i="1"/>
  <c r="O204" i="1"/>
  <c r="P204" i="1"/>
  <c r="Q204" i="1"/>
  <c r="M205" i="1"/>
  <c r="O205" i="1"/>
  <c r="P205" i="1"/>
  <c r="Q205" i="1"/>
  <c r="M206" i="1"/>
  <c r="O206" i="1"/>
  <c r="P206" i="1"/>
  <c r="Q206" i="1"/>
  <c r="M207" i="1"/>
  <c r="O207" i="1"/>
  <c r="P207" i="1"/>
  <c r="M208" i="1"/>
  <c r="O208" i="1"/>
  <c r="P208" i="1"/>
  <c r="Q208" i="1"/>
  <c r="M209" i="1"/>
  <c r="O209" i="1"/>
  <c r="P209" i="1"/>
  <c r="Q209" i="1"/>
  <c r="H210" i="1"/>
  <c r="M210" i="1"/>
  <c r="O210" i="1"/>
  <c r="P210" i="1"/>
  <c r="M211" i="1"/>
  <c r="O211" i="1"/>
  <c r="P211" i="1"/>
  <c r="Q211" i="1"/>
  <c r="M212" i="1"/>
  <c r="O212" i="1"/>
  <c r="P212" i="1"/>
  <c r="Q212" i="1"/>
  <c r="H213" i="1"/>
  <c r="M213" i="1"/>
  <c r="O213" i="1"/>
  <c r="P213" i="1"/>
  <c r="H214" i="1"/>
  <c r="M214" i="1"/>
  <c r="O214" i="1"/>
  <c r="P214" i="1"/>
  <c r="Q214" i="1"/>
  <c r="H215" i="1"/>
  <c r="M215" i="1"/>
  <c r="O215" i="1"/>
  <c r="P215" i="1"/>
  <c r="Q215" i="1"/>
  <c r="H216" i="1"/>
  <c r="M216" i="1"/>
  <c r="O216" i="1"/>
  <c r="P216" i="1"/>
  <c r="H217" i="1"/>
  <c r="M217" i="1"/>
  <c r="O217" i="1"/>
  <c r="P217" i="1"/>
  <c r="Q217" i="1"/>
  <c r="H218" i="1"/>
  <c r="M218" i="1"/>
  <c r="O218" i="1"/>
  <c r="P218" i="1"/>
  <c r="Q218" i="1"/>
  <c r="E219" i="1"/>
  <c r="F219" i="1"/>
  <c r="G219" i="1"/>
  <c r="J219" i="1"/>
  <c r="K219" i="1"/>
  <c r="L219" i="1"/>
  <c r="H219" i="1"/>
  <c r="M219" i="1"/>
  <c r="O220" i="1"/>
  <c r="O219" i="1" s="1"/>
  <c r="P220" i="1"/>
  <c r="P219" i="1" s="1"/>
  <c r="Q219" i="1"/>
  <c r="O221" i="1"/>
  <c r="P221" i="1"/>
  <c r="Q221" i="1"/>
  <c r="O222" i="1"/>
  <c r="P222" i="1"/>
  <c r="Q222" i="1"/>
  <c r="R222" i="1"/>
  <c r="H229" i="1"/>
  <c r="D236" i="1"/>
  <c r="E236" i="1"/>
  <c r="F236" i="1"/>
  <c r="G236" i="1"/>
  <c r="K236" i="1"/>
  <c r="L236" i="1"/>
  <c r="P237" i="1"/>
  <c r="P238" i="1"/>
  <c r="P239" i="1"/>
  <c r="Q239" i="1"/>
  <c r="D240" i="1"/>
  <c r="E240" i="1"/>
  <c r="F240" i="1"/>
  <c r="G240" i="1"/>
  <c r="J240" i="1"/>
  <c r="K240" i="1"/>
  <c r="L240" i="1"/>
  <c r="O241" i="1"/>
  <c r="P241" i="1"/>
  <c r="R241" i="1"/>
  <c r="O242" i="1"/>
  <c r="P242" i="1"/>
  <c r="Q242" i="1"/>
  <c r="R242" i="1"/>
  <c r="O243" i="1"/>
  <c r="P243" i="1"/>
  <c r="Q243" i="1"/>
  <c r="R243" i="1"/>
  <c r="M244" i="1"/>
  <c r="O244" i="1"/>
  <c r="P244" i="1"/>
  <c r="O245" i="1"/>
  <c r="P245" i="1"/>
  <c r="Q245" i="1"/>
  <c r="R245" i="1"/>
  <c r="O246" i="1"/>
  <c r="P246" i="1"/>
  <c r="Q246" i="1"/>
  <c r="R246" i="1"/>
  <c r="M247" i="1"/>
  <c r="R247" i="1" s="1"/>
  <c r="O247" i="1"/>
  <c r="P247" i="1"/>
  <c r="O248" i="1"/>
  <c r="P248" i="1"/>
  <c r="Q248" i="1"/>
  <c r="R248" i="1"/>
  <c r="O249" i="1"/>
  <c r="P249" i="1"/>
  <c r="Q249" i="1"/>
  <c r="R249" i="1"/>
  <c r="H250" i="1"/>
  <c r="M250" i="1"/>
  <c r="O250" i="1"/>
  <c r="P250" i="1"/>
  <c r="M251" i="1"/>
  <c r="O251" i="1"/>
  <c r="P251" i="1"/>
  <c r="Q251" i="1"/>
  <c r="R251" i="1"/>
  <c r="O252" i="1"/>
  <c r="P252" i="1"/>
  <c r="R252" i="1" s="1"/>
  <c r="E253" i="1"/>
  <c r="F253" i="1"/>
  <c r="G253" i="1"/>
  <c r="H253" i="1"/>
  <c r="O254" i="1"/>
  <c r="P254" i="1"/>
  <c r="O255" i="1"/>
  <c r="P255" i="1"/>
  <c r="O256" i="1"/>
  <c r="P256" i="1"/>
  <c r="E257" i="1"/>
  <c r="F257" i="1"/>
  <c r="G257" i="1"/>
  <c r="J257" i="1"/>
  <c r="K257" i="1"/>
  <c r="L257" i="1"/>
  <c r="O258" i="1"/>
  <c r="P258" i="1"/>
  <c r="O259" i="1"/>
  <c r="P259" i="1"/>
  <c r="R260" i="1"/>
  <c r="O260" i="1"/>
  <c r="P260" i="1"/>
  <c r="D261" i="1"/>
  <c r="E261" i="1"/>
  <c r="F261" i="1"/>
  <c r="G261" i="1"/>
  <c r="J261" i="1"/>
  <c r="K261" i="1"/>
  <c r="L261" i="1"/>
  <c r="R262" i="1"/>
  <c r="O262" i="1"/>
  <c r="P262" i="1"/>
  <c r="O263" i="1"/>
  <c r="P263" i="1"/>
  <c r="Q263" i="1"/>
  <c r="R264" i="1"/>
  <c r="O264" i="1"/>
  <c r="P264" i="1"/>
  <c r="Q264" i="1"/>
  <c r="E275" i="1"/>
  <c r="F275" i="1"/>
  <c r="G275" i="1"/>
  <c r="J275" i="1"/>
  <c r="K275" i="1"/>
  <c r="L275" i="1"/>
  <c r="O276" i="1"/>
  <c r="P276" i="1"/>
  <c r="R276" i="1"/>
  <c r="O277" i="1"/>
  <c r="P277" i="1"/>
  <c r="Q277" i="1"/>
  <c r="R277" i="1"/>
  <c r="O278" i="1"/>
  <c r="P278" i="1"/>
  <c r="Q278" i="1"/>
  <c r="R278" i="1"/>
  <c r="D279" i="1"/>
  <c r="E279" i="1"/>
  <c r="F279" i="1"/>
  <c r="G279" i="1"/>
  <c r="J279" i="1"/>
  <c r="K279" i="1"/>
  <c r="L279" i="1"/>
  <c r="O280" i="1"/>
  <c r="O279" i="1" s="1"/>
  <c r="P280" i="1"/>
  <c r="P279" i="1" s="1"/>
  <c r="Q279" i="1"/>
  <c r="O281" i="1"/>
  <c r="P281" i="1"/>
  <c r="Q281" i="1"/>
  <c r="R282" i="1"/>
  <c r="O282" i="1"/>
  <c r="P282" i="1"/>
  <c r="Q282" i="1"/>
  <c r="D283" i="1"/>
  <c r="E283" i="1"/>
  <c r="F283" i="1"/>
  <c r="G283" i="1"/>
  <c r="J283" i="1"/>
  <c r="K283" i="1"/>
  <c r="L283" i="1"/>
  <c r="O284" i="1"/>
  <c r="P284" i="1"/>
  <c r="R285" i="1"/>
  <c r="O285" i="1"/>
  <c r="P285" i="1"/>
  <c r="Q285" i="1"/>
  <c r="O286" i="1"/>
  <c r="P286" i="1"/>
  <c r="Q286" i="1"/>
  <c r="H292" i="1"/>
  <c r="R292" i="1" s="1"/>
  <c r="M295" i="1"/>
  <c r="R295" i="1" s="1"/>
  <c r="O295" i="1"/>
  <c r="P295" i="1"/>
  <c r="Q295" i="1"/>
  <c r="M296" i="1"/>
  <c r="R296" i="1" s="1"/>
  <c r="O296" i="1"/>
  <c r="P296" i="1"/>
  <c r="Q296" i="1"/>
  <c r="O297" i="1"/>
  <c r="P297" i="1"/>
  <c r="R297" i="1"/>
  <c r="R303" i="1"/>
  <c r="O303" i="1"/>
  <c r="P303" i="1"/>
  <c r="O304" i="1"/>
  <c r="P304" i="1"/>
  <c r="O305" i="1"/>
  <c r="P305" i="1"/>
  <c r="R305" i="1"/>
  <c r="O306" i="1"/>
  <c r="P306" i="1"/>
  <c r="Q308" i="1"/>
  <c r="Q307" i="1" s="1"/>
  <c r="R319" i="1"/>
  <c r="O319" i="1"/>
  <c r="P319" i="1"/>
  <c r="O320" i="1"/>
  <c r="P320" i="1"/>
  <c r="O321" i="1"/>
  <c r="P321" i="1"/>
  <c r="R321" i="1"/>
  <c r="O323" i="1"/>
  <c r="P323" i="1"/>
  <c r="R323" i="1"/>
  <c r="O324" i="1"/>
  <c r="P324" i="1"/>
  <c r="O325" i="1"/>
  <c r="P325" i="1"/>
  <c r="Q325" i="1"/>
  <c r="R325" i="1"/>
  <c r="O327" i="1"/>
  <c r="P327" i="1"/>
  <c r="Q327" i="1"/>
  <c r="R327" i="1"/>
  <c r="M329" i="1"/>
  <c r="R329" i="1" s="1"/>
  <c r="O329" i="1"/>
  <c r="P329" i="1"/>
  <c r="Q329" i="1"/>
  <c r="M330" i="1"/>
  <c r="O330" i="1"/>
  <c r="P330" i="1"/>
  <c r="Q330" i="1"/>
  <c r="R330" i="1"/>
  <c r="M331" i="1"/>
  <c r="O331" i="1"/>
  <c r="P331" i="1"/>
  <c r="Q331" i="1"/>
  <c r="R331" i="1"/>
  <c r="M333" i="1"/>
  <c r="M334" i="1"/>
  <c r="M335" i="1"/>
  <c r="M341" i="1"/>
  <c r="M340" i="1" s="1"/>
  <c r="R340" i="1" s="1"/>
  <c r="O341" i="1"/>
  <c r="P341" i="1"/>
  <c r="R341" i="1"/>
  <c r="M342" i="1"/>
  <c r="M343" i="1"/>
  <c r="H401" i="1"/>
  <c r="M360" i="1"/>
  <c r="R360" i="1" s="1"/>
  <c r="M361" i="1"/>
  <c r="R361" i="1" s="1"/>
  <c r="M362" i="1"/>
  <c r="R362" i="1" s="1"/>
  <c r="E363" i="1"/>
  <c r="F363" i="1"/>
  <c r="G363" i="1"/>
  <c r="J363" i="1"/>
  <c r="K363" i="1"/>
  <c r="L363" i="1"/>
  <c r="M363" i="1"/>
  <c r="O364" i="1"/>
  <c r="P364" i="1"/>
  <c r="Q364" i="1"/>
  <c r="O365" i="1"/>
  <c r="P365" i="1"/>
  <c r="Q365" i="1"/>
  <c r="R365" i="1"/>
  <c r="R366" i="1"/>
  <c r="O366" i="1"/>
  <c r="P366" i="1"/>
  <c r="Q366" i="1"/>
  <c r="O367" i="1"/>
  <c r="P367" i="1"/>
  <c r="Q367" i="1"/>
  <c r="R367" i="1"/>
  <c r="R368" i="1"/>
  <c r="O368" i="1"/>
  <c r="P368" i="1"/>
  <c r="Q368" i="1"/>
  <c r="O369" i="1"/>
  <c r="P369" i="1"/>
  <c r="Q369" i="1"/>
  <c r="R369" i="1"/>
  <c r="O370" i="1"/>
  <c r="P370" i="1"/>
  <c r="Q370" i="1"/>
  <c r="R371" i="1"/>
  <c r="O371" i="1"/>
  <c r="P371" i="1"/>
  <c r="Q371" i="1"/>
  <c r="R372" i="1"/>
  <c r="O372" i="1"/>
  <c r="P372" i="1"/>
  <c r="Q372" i="1"/>
  <c r="H373" i="1"/>
  <c r="M373" i="1"/>
  <c r="O374" i="1"/>
  <c r="P374" i="1"/>
  <c r="Q374" i="1"/>
  <c r="O375" i="1"/>
  <c r="P375" i="1"/>
  <c r="Q375" i="1"/>
  <c r="R375" i="1"/>
  <c r="O376" i="1"/>
  <c r="P376" i="1"/>
  <c r="Q376" i="1"/>
  <c r="H377" i="1"/>
  <c r="M377" i="1"/>
  <c r="M378" i="1"/>
  <c r="O378" i="1"/>
  <c r="P378" i="1"/>
  <c r="Q378" i="1"/>
  <c r="M379" i="1"/>
  <c r="R379" i="1" s="1"/>
  <c r="O379" i="1"/>
  <c r="P379" i="1"/>
  <c r="Q379" i="1"/>
  <c r="M380" i="1"/>
  <c r="R380" i="1" s="1"/>
  <c r="O380" i="1"/>
  <c r="P380" i="1"/>
  <c r="Q380" i="1"/>
  <c r="H381" i="1"/>
  <c r="M381" i="1"/>
  <c r="R382" i="1"/>
  <c r="O382" i="1"/>
  <c r="P382" i="1"/>
  <c r="Q382" i="1"/>
  <c r="O383" i="1"/>
  <c r="P383" i="1"/>
  <c r="Q383" i="1"/>
  <c r="R383" i="1"/>
  <c r="O384" i="1"/>
  <c r="P384" i="1"/>
  <c r="Q384" i="1"/>
  <c r="H385" i="1"/>
  <c r="M385" i="1"/>
  <c r="R386" i="1"/>
  <c r="P386" i="1"/>
  <c r="Q386" i="1"/>
  <c r="R387" i="1"/>
  <c r="P387" i="1"/>
  <c r="Q387" i="1"/>
  <c r="R388" i="1"/>
  <c r="P388" i="1"/>
  <c r="Q388" i="1"/>
  <c r="R390" i="1"/>
  <c r="O390" i="1"/>
  <c r="P390" i="1"/>
  <c r="Q390" i="1"/>
  <c r="O391" i="1"/>
  <c r="P391" i="1"/>
  <c r="Q391" i="1"/>
  <c r="R392" i="1"/>
  <c r="O392" i="1"/>
  <c r="P392" i="1"/>
  <c r="Q392" i="1"/>
  <c r="O394" i="1"/>
  <c r="P394" i="1"/>
  <c r="Q394" i="1"/>
  <c r="R394" i="1"/>
  <c r="R395" i="1"/>
  <c r="O395" i="1"/>
  <c r="P395" i="1"/>
  <c r="Q395" i="1"/>
  <c r="O396" i="1"/>
  <c r="P396" i="1"/>
  <c r="Q396" i="1"/>
  <c r="O398" i="1"/>
  <c r="Q398" i="1"/>
  <c r="D401" i="1"/>
  <c r="F401" i="1"/>
  <c r="G401" i="1"/>
  <c r="J401" i="1"/>
  <c r="K401" i="1"/>
  <c r="L401" i="1"/>
  <c r="D402" i="1"/>
  <c r="E402" i="1"/>
  <c r="F402" i="1"/>
  <c r="G402" i="1"/>
  <c r="J402" i="1"/>
  <c r="K402" i="1"/>
  <c r="L402" i="1"/>
  <c r="D403" i="1"/>
  <c r="E403" i="1"/>
  <c r="F403" i="1"/>
  <c r="G403" i="1"/>
  <c r="H403" i="1"/>
  <c r="J403" i="1"/>
  <c r="K403" i="1"/>
  <c r="L403" i="1"/>
  <c r="H76" i="1" l="1"/>
  <c r="R85" i="1"/>
  <c r="R84" i="1"/>
  <c r="Q76" i="1"/>
  <c r="O76" i="1"/>
  <c r="P76" i="1"/>
  <c r="R99" i="1"/>
  <c r="R98" i="1"/>
  <c r="P171" i="1"/>
  <c r="R207" i="1"/>
  <c r="R203" i="1"/>
  <c r="R199" i="1"/>
  <c r="R139" i="1"/>
  <c r="R332" i="1"/>
  <c r="M332" i="1"/>
  <c r="H228" i="1"/>
  <c r="R229" i="1"/>
  <c r="R228" i="1" s="1"/>
  <c r="Q171" i="1"/>
  <c r="R217" i="1"/>
  <c r="R131" i="1"/>
  <c r="R258" i="1"/>
  <c r="O42" i="1"/>
  <c r="H236" i="1"/>
  <c r="R201" i="1"/>
  <c r="R141" i="1"/>
  <c r="R200" i="1"/>
  <c r="H283" i="1"/>
  <c r="R215" i="1"/>
  <c r="P42" i="1"/>
  <c r="Q42" i="1"/>
  <c r="R256" i="1"/>
  <c r="R209" i="1"/>
  <c r="R206" i="1"/>
  <c r="R212" i="1"/>
  <c r="R308" i="1"/>
  <c r="R307" i="1" s="1"/>
  <c r="R183" i="1"/>
  <c r="Q402" i="1"/>
  <c r="P363" i="1"/>
  <c r="P401" i="1"/>
  <c r="P403" i="1"/>
  <c r="F302" i="1"/>
  <c r="R398" i="1"/>
  <c r="M279" i="1"/>
  <c r="R218" i="1"/>
  <c r="R208" i="1"/>
  <c r="R193" i="1"/>
  <c r="R189" i="1"/>
  <c r="H20" i="1"/>
  <c r="O402" i="1"/>
  <c r="R284" i="1"/>
  <c r="R214" i="1"/>
  <c r="R196" i="1"/>
  <c r="R188" i="1"/>
  <c r="R142" i="1"/>
  <c r="R138" i="1"/>
  <c r="R134" i="1"/>
  <c r="R69" i="1"/>
  <c r="R58" i="1"/>
  <c r="O403" i="1"/>
  <c r="P402" i="1"/>
  <c r="O363" i="1"/>
  <c r="O401" i="1"/>
  <c r="M283" i="1"/>
  <c r="R280" i="1"/>
  <c r="R279" i="1" s="1"/>
  <c r="R220" i="1"/>
  <c r="R219" i="1" s="1"/>
  <c r="R211" i="1"/>
  <c r="R205" i="1"/>
  <c r="R202" i="1"/>
  <c r="R129" i="1"/>
  <c r="R59" i="1"/>
  <c r="R49" i="1"/>
  <c r="Q403" i="1"/>
  <c r="Q363" i="1"/>
  <c r="Q401" i="1"/>
  <c r="L302" i="1"/>
  <c r="R306" i="1"/>
  <c r="H275" i="1"/>
  <c r="R216" i="1"/>
  <c r="R213" i="1"/>
  <c r="R195" i="1"/>
  <c r="R137" i="1"/>
  <c r="R133" i="1"/>
  <c r="R128" i="1"/>
  <c r="M20" i="1"/>
  <c r="R27" i="1"/>
  <c r="R136" i="1"/>
  <c r="R130" i="1"/>
  <c r="R74" i="1"/>
  <c r="R60" i="1"/>
  <c r="R47" i="1"/>
  <c r="R75" i="1"/>
  <c r="R67" i="1"/>
  <c r="R135" i="1"/>
  <c r="R132" i="1"/>
  <c r="H117" i="1"/>
  <c r="M403" i="1"/>
  <c r="R384" i="1"/>
  <c r="R378" i="1"/>
  <c r="R374" i="1"/>
  <c r="R376" i="1"/>
  <c r="R370" i="1"/>
  <c r="R364" i="1"/>
  <c r="M401" i="1"/>
  <c r="R396" i="1"/>
  <c r="H363" i="1"/>
  <c r="R191" i="1"/>
  <c r="R281" i="1"/>
  <c r="M275" i="1"/>
  <c r="M261" i="1"/>
  <c r="R263" i="1"/>
  <c r="R259" i="1"/>
  <c r="P240" i="1"/>
  <c r="R244" i="1"/>
  <c r="R250" i="1"/>
  <c r="O240" i="1"/>
  <c r="R221" i="1"/>
  <c r="R198" i="1"/>
  <c r="O197" i="1"/>
  <c r="R204" i="1"/>
  <c r="R210" i="1"/>
  <c r="R185" i="1"/>
  <c r="R184" i="1"/>
  <c r="R29" i="1"/>
  <c r="R28" i="1"/>
  <c r="K302" i="1"/>
  <c r="P318" i="1"/>
  <c r="O318" i="1"/>
  <c r="Q322" i="1"/>
  <c r="D302" i="1"/>
  <c r="Q318" i="1"/>
  <c r="H279" i="1"/>
  <c r="H261" i="1"/>
  <c r="H257" i="1"/>
  <c r="R254" i="1"/>
  <c r="Q240" i="1"/>
  <c r="O181" i="1"/>
  <c r="P127" i="1"/>
  <c r="Q127" i="1"/>
  <c r="H127" i="1"/>
  <c r="R117" i="1"/>
  <c r="O117" i="1"/>
  <c r="O101" i="1"/>
  <c r="R37" i="1"/>
  <c r="R25" i="1"/>
  <c r="R24" i="1"/>
  <c r="R36" i="1"/>
  <c r="R26" i="1"/>
  <c r="R38" i="1"/>
  <c r="G302" i="1"/>
  <c r="P101" i="1"/>
  <c r="R286" i="1"/>
  <c r="M197" i="1"/>
  <c r="M181" i="1"/>
  <c r="R391" i="1"/>
  <c r="R402" i="1" s="1"/>
  <c r="H402" i="1"/>
  <c r="M402" i="1"/>
  <c r="R318" i="1"/>
  <c r="R238" i="1"/>
  <c r="O238" i="1"/>
  <c r="Q186" i="1"/>
  <c r="Q181" i="1"/>
  <c r="R182" i="1"/>
  <c r="H181" i="1"/>
  <c r="J302" i="1"/>
  <c r="M257" i="1"/>
  <c r="H101" i="1"/>
  <c r="O322" i="1"/>
  <c r="M302" i="1"/>
  <c r="R304" i="1"/>
  <c r="Q256" i="1"/>
  <c r="M240" i="1"/>
  <c r="Q197" i="1"/>
  <c r="P186" i="1"/>
  <c r="M140" i="1"/>
  <c r="R140" i="1" s="1"/>
  <c r="O140" i="1"/>
  <c r="Q101" i="1"/>
  <c r="R30" i="1"/>
  <c r="R324" i="1"/>
  <c r="R322" i="1" s="1"/>
  <c r="P322" i="1"/>
  <c r="J236" i="1"/>
  <c r="M236" i="1" s="1"/>
  <c r="R237" i="1"/>
  <c r="O237" i="1"/>
  <c r="H197" i="1"/>
  <c r="P181" i="1"/>
  <c r="M143" i="1"/>
  <c r="R101" i="1"/>
  <c r="E302" i="1"/>
  <c r="H302" i="1"/>
  <c r="R255" i="1"/>
  <c r="Q255" i="1"/>
  <c r="H240" i="1"/>
  <c r="R239" i="1"/>
  <c r="O239" i="1"/>
  <c r="P197" i="1"/>
  <c r="O172" i="1"/>
  <c r="O171" i="1" s="1"/>
  <c r="P117" i="1"/>
  <c r="O127" i="1" l="1"/>
  <c r="R127" i="1"/>
  <c r="R20" i="1"/>
  <c r="R42" i="1"/>
  <c r="R240" i="1"/>
  <c r="R363" i="1"/>
  <c r="R197" i="1"/>
  <c r="Q302" i="1"/>
  <c r="R181" i="1"/>
  <c r="R403" i="1"/>
  <c r="R401" i="1"/>
  <c r="R186" i="1"/>
  <c r="O302" i="1"/>
  <c r="R172" i="1"/>
  <c r="R171" i="1" s="1"/>
  <c r="P302" i="1"/>
  <c r="R302" i="1"/>
  <c r="J416" i="1" l="1"/>
  <c r="J415" i="1"/>
  <c r="J414" i="1"/>
  <c r="J417" i="1"/>
  <c r="J418" i="1"/>
  <c r="J419" i="1"/>
  <c r="J413" i="1" l="1"/>
  <c r="J412" i="1"/>
  <c r="J420" i="1"/>
  <c r="M10" i="1" l="1"/>
  <c r="R10" i="1" l="1"/>
  <c r="M9" i="1"/>
  <c r="Q71" i="2"/>
  <c r="O71" i="2"/>
  <c r="H71" i="2"/>
  <c r="R71" i="2" s="1"/>
  <c r="F71" i="2"/>
  <c r="P71" i="2" s="1"/>
  <c r="Q70" i="2"/>
  <c r="P70" i="2"/>
  <c r="O70" i="2"/>
  <c r="M70" i="2"/>
  <c r="H70" i="2"/>
  <c r="Q69" i="2"/>
  <c r="P69" i="2"/>
  <c r="O69" i="2"/>
  <c r="M69" i="2"/>
  <c r="R69" i="2" s="1"/>
  <c r="Q68" i="2"/>
  <c r="P68" i="2"/>
  <c r="O68" i="2"/>
  <c r="M68" i="2"/>
  <c r="H68" i="2"/>
  <c r="R68" i="2" s="1"/>
  <c r="Q67" i="2"/>
  <c r="O67" i="2"/>
  <c r="L67" i="2"/>
  <c r="K67" i="2"/>
  <c r="J67" i="2"/>
  <c r="G67" i="2"/>
  <c r="F67" i="2"/>
  <c r="E67" i="2"/>
  <c r="D67" i="2"/>
  <c r="Q66" i="2"/>
  <c r="P66" i="2"/>
  <c r="O66" i="2"/>
  <c r="M66" i="2"/>
  <c r="Q65" i="2"/>
  <c r="P65" i="2"/>
  <c r="O65" i="2"/>
  <c r="M65" i="2"/>
  <c r="H65" i="2"/>
  <c r="Q63" i="2"/>
  <c r="O63" i="2"/>
  <c r="L63" i="2"/>
  <c r="K63" i="2"/>
  <c r="J63" i="2"/>
  <c r="G63" i="2"/>
  <c r="F63" i="2"/>
  <c r="E63" i="2"/>
  <c r="D63" i="2"/>
  <c r="Q61" i="2"/>
  <c r="P61" i="2"/>
  <c r="O61" i="2"/>
  <c r="H61" i="2"/>
  <c r="R61" i="2" s="1"/>
  <c r="Q60" i="2"/>
  <c r="P60" i="2"/>
  <c r="O60" i="2"/>
  <c r="H60" i="2"/>
  <c r="R60" i="2" s="1"/>
  <c r="Q59" i="2"/>
  <c r="P59" i="2"/>
  <c r="O59" i="2"/>
  <c r="H59" i="2"/>
  <c r="R59" i="2" s="1"/>
  <c r="P56" i="2"/>
  <c r="L56" i="2"/>
  <c r="Q56" i="2" s="1"/>
  <c r="J56" i="2"/>
  <c r="M56" i="2" s="1"/>
  <c r="M53" i="2" s="1"/>
  <c r="H56" i="2"/>
  <c r="Q54" i="2"/>
  <c r="P54" i="2"/>
  <c r="O54" i="2"/>
  <c r="M54" i="2"/>
  <c r="H54" i="2"/>
  <c r="R54" i="2" s="1"/>
  <c r="L53" i="2"/>
  <c r="K53" i="2"/>
  <c r="J53" i="2"/>
  <c r="G53" i="2"/>
  <c r="F53" i="2"/>
  <c r="E53" i="2"/>
  <c r="D53" i="2"/>
  <c r="Q52" i="2"/>
  <c r="P52" i="2"/>
  <c r="O52" i="2"/>
  <c r="M52" i="2"/>
  <c r="R52" i="2" s="1"/>
  <c r="H52" i="2"/>
  <c r="Q51" i="2"/>
  <c r="O51" i="2"/>
  <c r="M51" i="2"/>
  <c r="F51" i="2"/>
  <c r="P51" i="2" s="1"/>
  <c r="Q50" i="2"/>
  <c r="P50" i="2"/>
  <c r="O50" i="2"/>
  <c r="H50" i="2"/>
  <c r="R50" i="2" s="1"/>
  <c r="Q49" i="2"/>
  <c r="P49" i="2"/>
  <c r="O49" i="2"/>
  <c r="H49" i="2"/>
  <c r="R49" i="2" s="1"/>
  <c r="Q48" i="2"/>
  <c r="Q47" i="2" s="1"/>
  <c r="P48" i="2"/>
  <c r="O48" i="2"/>
  <c r="O47" i="2" s="1"/>
  <c r="M48" i="2"/>
  <c r="R48" i="2" s="1"/>
  <c r="R47" i="2" s="1"/>
  <c r="P47" i="2"/>
  <c r="M47" i="2"/>
  <c r="L47" i="2"/>
  <c r="K47" i="2"/>
  <c r="K44" i="2" s="1"/>
  <c r="J47" i="2"/>
  <c r="H47" i="2"/>
  <c r="G47" i="2"/>
  <c r="F47" i="2"/>
  <c r="F44" i="2" s="1"/>
  <c r="E47" i="2"/>
  <c r="D47" i="2"/>
  <c r="D44" i="2" s="1"/>
  <c r="Q46" i="2"/>
  <c r="P46" i="2"/>
  <c r="O46" i="2"/>
  <c r="M46" i="2"/>
  <c r="H46" i="2"/>
  <c r="Q45" i="2"/>
  <c r="P45" i="2"/>
  <c r="O45" i="2"/>
  <c r="M45" i="2"/>
  <c r="H45" i="2"/>
  <c r="R45" i="2" s="1"/>
  <c r="L44" i="2"/>
  <c r="J44" i="2"/>
  <c r="G44" i="2"/>
  <c r="E44" i="2"/>
  <c r="Q42" i="2"/>
  <c r="P42" i="2"/>
  <c r="O42" i="2"/>
  <c r="M42" i="2"/>
  <c r="R42" i="2" s="1"/>
  <c r="H42" i="2"/>
  <c r="Q41" i="2"/>
  <c r="P41" i="2"/>
  <c r="O41" i="2"/>
  <c r="M41" i="2"/>
  <c r="H41" i="2"/>
  <c r="Q40" i="2"/>
  <c r="P40" i="2"/>
  <c r="O40" i="2"/>
  <c r="M40" i="2"/>
  <c r="R40" i="2" s="1"/>
  <c r="H40" i="2"/>
  <c r="Q37" i="2"/>
  <c r="P37" i="2"/>
  <c r="O37" i="2"/>
  <c r="H37" i="2"/>
  <c r="R37" i="2" s="1"/>
  <c r="Q36" i="2"/>
  <c r="P36" i="2"/>
  <c r="O36" i="2"/>
  <c r="H36" i="2"/>
  <c r="R36" i="2" s="1"/>
  <c r="Q35" i="2"/>
  <c r="P35" i="2"/>
  <c r="O35" i="2"/>
  <c r="M35" i="2"/>
  <c r="H35" i="2"/>
  <c r="Q32" i="2"/>
  <c r="R32" i="2" s="1"/>
  <c r="P32" i="2"/>
  <c r="H32" i="2"/>
  <c r="Q31" i="2"/>
  <c r="R31" i="2" s="1"/>
  <c r="P31" i="2"/>
  <c r="M31" i="2"/>
  <c r="H31" i="2"/>
  <c r="Q30" i="2"/>
  <c r="R30" i="2" s="1"/>
  <c r="P30" i="2"/>
  <c r="M30" i="2"/>
  <c r="H30" i="2"/>
  <c r="Q27" i="2"/>
  <c r="H27" i="2"/>
  <c r="R27" i="2" s="1"/>
  <c r="L26" i="2"/>
  <c r="Q26" i="2" s="1"/>
  <c r="H26" i="2"/>
  <c r="L25" i="2"/>
  <c r="Q25" i="2" s="1"/>
  <c r="H25" i="2"/>
  <c r="Q22" i="2"/>
  <c r="P22" i="2"/>
  <c r="O22" i="2"/>
  <c r="M22" i="2"/>
  <c r="H22" i="2"/>
  <c r="R22" i="2" s="1"/>
  <c r="Q21" i="2"/>
  <c r="P21" i="2"/>
  <c r="O21" i="2"/>
  <c r="M21" i="2"/>
  <c r="H21" i="2"/>
  <c r="O20" i="2"/>
  <c r="L20" i="2"/>
  <c r="M20" i="2" s="1"/>
  <c r="F20" i="2"/>
  <c r="P20" i="2" s="1"/>
  <c r="Q17" i="2"/>
  <c r="O17" i="2"/>
  <c r="F17" i="2"/>
  <c r="P17" i="2" s="1"/>
  <c r="Q16" i="2"/>
  <c r="O16" i="2"/>
  <c r="F16" i="2"/>
  <c r="P16" i="2" s="1"/>
  <c r="Q15" i="2"/>
  <c r="O15" i="2"/>
  <c r="F15" i="2"/>
  <c r="P15" i="2" s="1"/>
  <c r="Q14" i="2"/>
  <c r="P14" i="2"/>
  <c r="O14" i="2"/>
  <c r="M14" i="2"/>
  <c r="H14" i="2"/>
  <c r="Q13" i="2"/>
  <c r="P13" i="2"/>
  <c r="O13" i="2"/>
  <c r="M13" i="2"/>
  <c r="H13" i="2"/>
  <c r="R13" i="2" s="1"/>
  <c r="Q12" i="2"/>
  <c r="P12" i="2"/>
  <c r="O12" i="2"/>
  <c r="M12" i="2"/>
  <c r="H12" i="2"/>
  <c r="R12" i="2" s="1"/>
  <c r="Q11" i="2"/>
  <c r="P11" i="2"/>
  <c r="O11" i="2"/>
  <c r="M11" i="2"/>
  <c r="R11" i="2" s="1"/>
  <c r="Q10" i="2"/>
  <c r="P10" i="2"/>
  <c r="O10" i="2"/>
  <c r="M10" i="2"/>
  <c r="R10" i="2" s="1"/>
  <c r="Q9" i="2"/>
  <c r="P9" i="2"/>
  <c r="O9" i="2"/>
  <c r="M9" i="2"/>
  <c r="R9" i="2" s="1"/>
  <c r="Q8" i="2"/>
  <c r="O8" i="2"/>
  <c r="M8" i="2"/>
  <c r="F8" i="2"/>
  <c r="H8" i="2" s="1"/>
  <c r="R8" i="2" s="1"/>
  <c r="Q7" i="2"/>
  <c r="O7" i="2"/>
  <c r="M7" i="2"/>
  <c r="H7" i="2"/>
  <c r="R7" i="2" s="1"/>
  <c r="F7" i="2"/>
  <c r="P7" i="2" s="1"/>
  <c r="O6" i="2"/>
  <c r="M6" i="2"/>
  <c r="G6" i="2"/>
  <c r="Q6" i="2" s="1"/>
  <c r="F6" i="2"/>
  <c r="H6" i="2" s="1"/>
  <c r="R6" i="2" s="1"/>
  <c r="Q5" i="2"/>
  <c r="P5" i="2"/>
  <c r="O5" i="2"/>
  <c r="M5" i="2"/>
  <c r="R5" i="2" s="1"/>
  <c r="H5" i="2"/>
  <c r="Q4" i="2"/>
  <c r="P4" i="2"/>
  <c r="O4" i="2"/>
  <c r="M4" i="2"/>
  <c r="H4" i="2"/>
  <c r="Q3" i="2"/>
  <c r="O3" i="2"/>
  <c r="O2" i="2" s="1"/>
  <c r="M3" i="2"/>
  <c r="M2" i="2" s="1"/>
  <c r="F3" i="2"/>
  <c r="H3" i="2" s="1"/>
  <c r="L2" i="2"/>
  <c r="K2" i="2"/>
  <c r="J2" i="2"/>
  <c r="G2" i="2"/>
  <c r="E2" i="2"/>
  <c r="D2" i="2"/>
  <c r="R9" i="1" l="1"/>
  <c r="R4" i="2"/>
  <c r="Q2" i="2"/>
  <c r="R21" i="2"/>
  <c r="M25" i="2"/>
  <c r="R25" i="2" s="1"/>
  <c r="Q53" i="2"/>
  <c r="R65" i="2"/>
  <c r="P67" i="2"/>
  <c r="P6" i="2"/>
  <c r="R14" i="2"/>
  <c r="R35" i="2"/>
  <c r="R41" i="2"/>
  <c r="R46" i="2"/>
  <c r="Q44" i="2"/>
  <c r="O56" i="2"/>
  <c r="O53" i="2" s="1"/>
  <c r="O44" i="2" s="1"/>
  <c r="P53" i="2"/>
  <c r="P44" i="2" s="1"/>
  <c r="M63" i="2"/>
  <c r="P63" i="2"/>
  <c r="R66" i="2"/>
  <c r="R70" i="2"/>
  <c r="R67" i="2" s="1"/>
  <c r="R56" i="2"/>
  <c r="R53" i="2" s="1"/>
  <c r="H51" i="2"/>
  <c r="R51" i="2" s="1"/>
  <c r="H53" i="2"/>
  <c r="H63" i="2"/>
  <c r="H67" i="2"/>
  <c r="M67" i="2"/>
  <c r="M44" i="2" s="1"/>
  <c r="M26" i="2"/>
  <c r="R26" i="2" s="1"/>
  <c r="Q20" i="2"/>
  <c r="H20" i="2"/>
  <c r="R20" i="2" s="1"/>
  <c r="R3" i="2"/>
  <c r="P3" i="2"/>
  <c r="P2" i="2" s="1"/>
  <c r="P8" i="2"/>
  <c r="F2" i="2"/>
  <c r="H15" i="2"/>
  <c r="R15" i="2" s="1"/>
  <c r="H16" i="2"/>
  <c r="R16" i="2" s="1"/>
  <c r="H17" i="2"/>
  <c r="R17" i="2" s="1"/>
  <c r="R63" i="2" l="1"/>
  <c r="R44" i="2" s="1"/>
  <c r="H2" i="2"/>
  <c r="H44" i="2"/>
  <c r="R2" i="2"/>
  <c r="Z352" i="1" l="1"/>
  <c r="V353" i="1" l="1"/>
  <c r="V354" i="1"/>
  <c r="X354" i="1"/>
  <c r="M11" i="1" l="1"/>
  <c r="R11" i="1" l="1"/>
  <c r="X353" i="1" l="1"/>
  <c r="X186" i="1" l="1"/>
  <c r="X185" i="1"/>
  <c r="W354" i="1"/>
  <c r="W353" i="1"/>
  <c r="U186" i="1" l="1"/>
  <c r="V352" i="1"/>
  <c r="X352" i="1"/>
  <c r="X191" i="1"/>
  <c r="V186" i="1"/>
  <c r="Y354" i="1" l="1"/>
  <c r="Y352" i="1"/>
  <c r="Y353" i="1"/>
  <c r="W352" i="1"/>
  <c r="W191" i="1"/>
  <c r="Y350" i="1" l="1"/>
</calcChain>
</file>

<file path=xl/sharedStrings.xml><?xml version="1.0" encoding="utf-8"?>
<sst xmlns="http://schemas.openxmlformats.org/spreadsheetml/2006/main" count="653" uniqueCount="449">
  <si>
    <t>Kostoja e Politikave Ekzistuese ne krahasim me tavanin(Diferenca Politika Ekzistuese - Tavanin e miratuar)</t>
  </si>
  <si>
    <t>Kostoja e Politikave te Reja</t>
  </si>
  <si>
    <t xml:space="preserve">Kostoja Totale Politika Ekzistuese dhe Politika te Reja </t>
  </si>
  <si>
    <t>Kodi i Programit</t>
  </si>
  <si>
    <t>Programet Buxhetore</t>
  </si>
  <si>
    <t>Viti</t>
  </si>
  <si>
    <t>Nr punonjesve</t>
  </si>
  <si>
    <t>600+601</t>
  </si>
  <si>
    <t>602-606</t>
  </si>
  <si>
    <t>230-231</t>
  </si>
  <si>
    <t>Totali</t>
  </si>
  <si>
    <t>Komente MoFE</t>
  </si>
  <si>
    <t>Sipas grup artikujve</t>
  </si>
  <si>
    <t>01</t>
  </si>
  <si>
    <t>Presidenca</t>
  </si>
  <si>
    <t>Veprimtaria e Presidentit të Republikës</t>
  </si>
  <si>
    <t>02</t>
  </si>
  <si>
    <t>Kuvendi</t>
  </si>
  <si>
    <t>Planifikimi, Menaxhimi dhe Administrimi</t>
  </si>
  <si>
    <t>Veprimtaria ligjvënëse</t>
  </si>
  <si>
    <t>03</t>
  </si>
  <si>
    <t>Kryeministria</t>
  </si>
  <si>
    <t>05</t>
  </si>
  <si>
    <t>Ministria e Bujqësisë dhe Zhvillimit Rural</t>
  </si>
  <si>
    <t>04220</t>
  </si>
  <si>
    <t>Siguria Ushqimore dhe Mbrojtja e Konsumatorit</t>
  </si>
  <si>
    <t>04230</t>
  </si>
  <si>
    <t>Mbështetje për Peshkimin</t>
  </si>
  <si>
    <t>04240</t>
  </si>
  <si>
    <t>Menaxhimi i Infrastrukturës së Kullimit dhe Ujitjes</t>
  </si>
  <si>
    <t>04250</t>
  </si>
  <si>
    <t>Zhvillimi Rural duke mbështetur prodhimin bujqësor, blegtoral, agroindustrinë dhe marketingun</t>
  </si>
  <si>
    <t>04260</t>
  </si>
  <si>
    <t xml:space="preserve">Këshillimi dhe Informacioni Bujqësor </t>
  </si>
  <si>
    <t>05470</t>
  </si>
  <si>
    <t>Menaxhim i Qëndrueshëm i Tokës Bujqësore</t>
  </si>
  <si>
    <t>Ministria e Financave dhe Ekonomise</t>
  </si>
  <si>
    <t>Ministria e Arsimit, Sportit dhe Rinise</t>
  </si>
  <si>
    <t>Arsimi Baze</t>
  </si>
  <si>
    <t>Arsimi I Mesem</t>
  </si>
  <si>
    <t>Arsimi I Larte</t>
  </si>
  <si>
    <t>Zhvillimi I Sportit</t>
  </si>
  <si>
    <t>Ministria e Kultures</t>
  </si>
  <si>
    <t xml:space="preserve">Trashegimia Kulturore dhe Muzete </t>
  </si>
  <si>
    <t xml:space="preserve">Arti dhe Kultura </t>
  </si>
  <si>
    <t>Ministria e Shendetesise dhe Mbrotjes Sociale</t>
  </si>
  <si>
    <t>Sherbimet te Kujdesit Dytesor</t>
  </si>
  <si>
    <t>MINISTRIA E DREJTESISE</t>
  </si>
  <si>
    <t>01110</t>
  </si>
  <si>
    <t>Planifikim, Menaxhim, Administrim</t>
  </si>
  <si>
    <t>01120</t>
  </si>
  <si>
    <t>Publikimet zyrtare</t>
  </si>
  <si>
    <t>01130</t>
  </si>
  <si>
    <t>Mjekësia ligjore</t>
  </si>
  <si>
    <t>03440</t>
  </si>
  <si>
    <t>Sistemi i burgjeve</t>
  </si>
  <si>
    <t>03350</t>
  </si>
  <si>
    <t>Shërbimi i Përmbarimit Gjyqësor</t>
  </si>
  <si>
    <t xml:space="preserve">01160 </t>
  </si>
  <si>
    <t xml:space="preserve">Shërbimet për çështjet e birësimeve </t>
  </si>
  <si>
    <t>01180</t>
  </si>
  <si>
    <t>Shërbimi i kthimit dhe i kompensimit të pronave</t>
  </si>
  <si>
    <t>03490</t>
  </si>
  <si>
    <t>Shërbimi i provës</t>
  </si>
  <si>
    <t xml:space="preserve">Ministria për Europën dhe Punët e Jashtme </t>
  </si>
  <si>
    <t>Planifikim/Menaxhim/Administrim</t>
  </si>
  <si>
    <t>Mbështetje Diplomatike Jashtë Vendit</t>
  </si>
  <si>
    <t>Aktiviteti diplomatik dhe konsullor i MEPJ</t>
  </si>
  <si>
    <t xml:space="preserve">Ministria e Brendshme </t>
  </si>
  <si>
    <t>Planifikim/Menaxhim/ Administrim</t>
  </si>
  <si>
    <t>03140</t>
  </si>
  <si>
    <t>Policia e Shtetit</t>
  </si>
  <si>
    <t>03150</t>
  </si>
  <si>
    <t>Garda e Republikes</t>
  </si>
  <si>
    <t>01160</t>
  </si>
  <si>
    <t>Prefekturat dhe Fuksionet e Deleguara</t>
  </si>
  <si>
    <t>01170</t>
  </si>
  <si>
    <t>Gjendja Civile</t>
  </si>
  <si>
    <t>Shërbimi Informativ Shtetëror</t>
  </si>
  <si>
    <t>Veprimtaria Informative Shteterore</t>
  </si>
  <si>
    <t>Radio Televizioni Shqiptar</t>
  </si>
  <si>
    <t>08310</t>
  </si>
  <si>
    <t>Sherbimi per Shqiptaret Jashte kufirit e sherbimet ne gjuhe te huaj</t>
  </si>
  <si>
    <t>08520</t>
  </si>
  <si>
    <t>Prodhime filmike ose veprimtari artistike  mbarekombetare</t>
  </si>
  <si>
    <t>08330</t>
  </si>
  <si>
    <t>Orkestra Simfonike RTSH e Kinematografise</t>
  </si>
  <si>
    <t>08340</t>
  </si>
  <si>
    <t>Projekte  Teknike per Futjen e Teknologjive te reja</t>
  </si>
  <si>
    <t>Drejtoria e Pergjithshme e Arkivave</t>
  </si>
  <si>
    <t>Planifikimi, Menaxhimi, Administrimi</t>
  </si>
  <si>
    <t>Kontrolli i Larte i Shtetit</t>
  </si>
  <si>
    <t>Veprimtaria Audituese e KLSH</t>
  </si>
  <si>
    <t>MINISTRIA E TURIZMIT DHE MJEDISIT</t>
  </si>
  <si>
    <t>05320</t>
  </si>
  <si>
    <t>Programe per mbrojtjen e Mjedisit</t>
  </si>
  <si>
    <t>Administrimi i Pyjeve</t>
  </si>
  <si>
    <t>04760</t>
  </si>
  <si>
    <t>Zhvillimi i Turizmit</t>
  </si>
  <si>
    <t>Instituti I Statistikave</t>
  </si>
  <si>
    <t>Veprimtaria  Statistikore</t>
  </si>
  <si>
    <t>SHKOLLA E MAGJISTRATURËS</t>
  </si>
  <si>
    <t>Veprimtaria Arsimore</t>
  </si>
  <si>
    <t>Qendra Kombetare e Kinematografise</t>
  </si>
  <si>
    <t>Mbeshtetja e Veprimtarise  kinematografike</t>
  </si>
  <si>
    <t xml:space="preserve">Avokati i popullit </t>
  </si>
  <si>
    <t>Sherbimi i Avokatures</t>
  </si>
  <si>
    <t>Komisioneri per Mbikeqyrjen e Sherbimit Civil</t>
  </si>
  <si>
    <t>KOMISIONI QENDROR I ZGJDHJEVE</t>
  </si>
  <si>
    <t>Zgjedhjet e pergjithshme dhe lokale</t>
  </si>
  <si>
    <t>Inspektoriati i Lartë i  Deklarimit dhe Kontrollit të Pasurive dhe Konfliktit të Interesit</t>
  </si>
  <si>
    <t>Autoriteti I Konkurrences</t>
  </si>
  <si>
    <t>04120</t>
  </si>
  <si>
    <t>Mbikeqyrja e Tregut dhe Advokacia e Konkurrences</t>
  </si>
  <si>
    <t xml:space="preserve">Institucione te Tjera Qeveritare </t>
  </si>
  <si>
    <t>2020</t>
  </si>
  <si>
    <t>Agjencia e Prokurimit Publik</t>
  </si>
  <si>
    <t>Komiteti Shteteror i Minoriteteve</t>
  </si>
  <si>
    <t>Inspektoriati Qendror</t>
  </si>
  <si>
    <t xml:space="preserve">Agjencia per Diasporen </t>
  </si>
  <si>
    <t>Agjencia per Hapje, Dialog dhe Bashkeqeverisje</t>
  </si>
  <si>
    <t>Agjencia e Zhvillimit te Territorit</t>
  </si>
  <si>
    <t>Agjencia e Auditimit te Fondeve te BE</t>
  </si>
  <si>
    <t>Agjencia Kombetare e Shoqerise se Informacionit</t>
  </si>
  <si>
    <t>Departamenti i Administrates Publike</t>
  </si>
  <si>
    <t>Shkolla Shqiptare e Administrtes Publike</t>
  </si>
  <si>
    <t>Mbështetje për shoqërinë civile</t>
  </si>
  <si>
    <t>Mbështetje financiare dhe asistencë teknike për Shoqërinë Civile</t>
  </si>
  <si>
    <t>Komisioneri per te Drejten e Informimit dhe Mbrojtjen e te Dhenave Personale</t>
  </si>
  <si>
    <t>KOMISIONI I PROKURIMEVE PUBLIKE</t>
  </si>
  <si>
    <t>Komisioneri për Mbrojtjen nga Diskriminimi</t>
  </si>
  <si>
    <t>Instituti i studimeve të krimeve të komunizmit</t>
  </si>
  <si>
    <t>Autoriteti për Informimin mbi Dokumentet e ish-Sigurimit të Shtetit</t>
  </si>
  <si>
    <t>TOTAL</t>
  </si>
  <si>
    <t>REFORMA NE DREJTESI</t>
  </si>
  <si>
    <t>PROKURORIA E PËRGJITHSHME</t>
  </si>
  <si>
    <t>03310</t>
  </si>
  <si>
    <t>Buxheti Gjyqesor</t>
  </si>
  <si>
    <t>GJYKATA KUSHTETUESE</t>
  </si>
  <si>
    <t>03320</t>
  </si>
  <si>
    <t xml:space="preserve">Veprimtaria gjyqësore kushtetuese </t>
  </si>
  <si>
    <t>KOMISIONERI PUBLIK</t>
  </si>
  <si>
    <t>03360</t>
  </si>
  <si>
    <t>Veprimtaria e komisionerit publik</t>
  </si>
  <si>
    <t>KOMISIONI I PAVARUR I KUALIFIKIMIT</t>
  </si>
  <si>
    <t>03330</t>
  </si>
  <si>
    <t>Veprimtaria e rivlerësimit kalimtar të magjistratit</t>
  </si>
  <si>
    <t>KOMISIONI I APELIMIT</t>
  </si>
  <si>
    <t>03340</t>
  </si>
  <si>
    <t>Veprimtaria e apelimit të rivlerësimit kalimtar</t>
  </si>
  <si>
    <t xml:space="preserve">Kekresa shtese per paga, argumentohet per mangesi ne financim e efektit te rritjes se pagave, shtimi i 30 punonjesve per vettingun e policise, si dhe paraqet kerkese shtese per 9 punonjes me kontrate ne QKPA. Kerkesa per shpenzime operative (602+606)per te pwrballuar nevojat per ushqim te azil kerkuesve dhe per pagese kalimatre. kekresa per shp.kapitale paraqite per projekt ekzistues, kur nderohe ka propozuar 2 porukte te reja per ti financuar brenda tavaneve buxhetore.  </t>
  </si>
  <si>
    <t>Propozohen financim per politika te reja, per disa projkete investimi, si psh. Rikostruksion ambjentesh, blerje programi per analiz te dhenash dhe blerje license antivirus</t>
  </si>
  <si>
    <t>Kerkesat totale shtese per financimin e politikave ekzistuese dhe te reja</t>
  </si>
  <si>
    <t xml:space="preserve">Kerkesa shtese per paga, per pagesen e turneve te dyta te treta, puna jashte orrarit, shtese e 100 Punonjesve nga M.Mbrojtjes, efekti i ligjit dhe pagesa per grada Inspektor i I,II,III. Kerkesa per shpenzime operative per blerje uniforma, kompesime legale, pagese kalimtare. Kerkesa per shp. Kapitale per projektet ekzistuese, edhe pse jane propozuar projekte te reja per tu financuar brenda tavane dhe paraqitet kerkese shtese per projektet ekzistuese. </t>
  </si>
  <si>
    <t xml:space="preserve">Kekrese shtese per financimin e politikave te reja, per 1042 punonjes se zbatim te startegjise, pagese per individet per pages ne natyre dhe qe i shtohet pageses se pushimve vjetore, per 11058 punonjes dhe porpozime per financimin e projekt te inevestimet krejtesisht te reja. </t>
  </si>
  <si>
    <t>Programi "Garda e Republikes", nuk paraqet keresa shtese per financimin e poltikave ekzistuese</t>
  </si>
  <si>
    <t>Kerkesa shtese per financimin e politkave te reja, vetem per projekte investimesh, e konkretisht per rikostruksion ambjentesh, blerje pajisjesh, artatime, ndertimi i dhomes se servave, integrimi i sistemeve te sigurise etj.</t>
  </si>
  <si>
    <t>Kerkesa totale eshte vete per financimin e politikave te reja</t>
  </si>
  <si>
    <t xml:space="preserve">Kerkesa shtese per paga, me argumentin e efektit te rritjes se pagave, si dhe kerkese shtese per financimin e projektit ne vazhdim "Restaurim i godines se Prefektures Tirane". </t>
  </si>
  <si>
    <t>Kekrese shtese per financimin e politkave te reja vetem per pojekte investimesh, me finacim te huaj ku paraqitet keresa shtese per finacim te brendshem per pagesen e TVSH. Kerkesa per financim te huaj eshte 50,5 milion leke dhe per pagesen e TVSH eshte 3,4 milion leke</t>
  </si>
  <si>
    <t>Kekresa Totale per financimin e politikave ekzistues dhe politika te reja</t>
  </si>
  <si>
    <t>Kekrese shtese per paga, me argumentin e perfshirjes se efektit te rritjes se pagave, si dhe kerkese shtese per shpenzime operative per mirembajtjen e sistemit te RKGJC, rrjetit te komunikimit online si dhe per deyrimet e prapambetura qe paraqiten rreth 259,8 milion leke</t>
  </si>
  <si>
    <t>Nuk paraqet kerkesa shtese per poltika te reja</t>
  </si>
  <si>
    <t>Kerkesat totale shtese paraqiten vetem per financimin e poltikave ekzistuese</t>
  </si>
  <si>
    <t>Kekresat Totale shtese per financimin e poltikave ekzistuese dhe politikat e reja</t>
  </si>
  <si>
    <t>Drejtoria e Sherbimeve Qeveritare</t>
  </si>
  <si>
    <t xml:space="preserve">Sherbimi per Diasporen </t>
  </si>
  <si>
    <t xml:space="preserve">Qendra e Botimeve per Diasporen </t>
  </si>
  <si>
    <t xml:space="preserve">Fondi i Zhvillimit per Diasporen </t>
  </si>
  <si>
    <t>Agjencia e Menaxhimit te Burimeve Ujore</t>
  </si>
  <si>
    <t>Avokatura e Shtetit</t>
  </si>
  <si>
    <t>Sherbime te tjera</t>
  </si>
  <si>
    <t>Drejtoria e Informacionit te Klasifikuar</t>
  </si>
  <si>
    <t>Qendra Kunder Ekstremizmit te Dhunshem dhe Radikalizmit</t>
  </si>
  <si>
    <t>Agjencia Kombetare e Planifikimit te Territorit</t>
  </si>
  <si>
    <t>KEK (Institucion i ri ne 2019)</t>
  </si>
  <si>
    <t>e-Qeverisja</t>
  </si>
  <si>
    <t>ASIG</t>
  </si>
  <si>
    <t>ACESK</t>
  </si>
  <si>
    <t>Menaxhimi i Administrates Publike</t>
  </si>
  <si>
    <t>ADISA</t>
  </si>
  <si>
    <t>Mbeshtetjet per Kultet Fetare</t>
  </si>
  <si>
    <t>KLSH nuk ka paraqitur kerkesa shtese per financimin e Politikave ekzistuese, por ka paraqitur ulje te tavanit per shpenzime kapitale</t>
  </si>
  <si>
    <t>Paraqite kerkese shtese per financimin e poltikave te reja, per zerin (604), Rimbursimi i pjesshëm i investimeve të produksioneve të huaja, që zhvillojnë xhirime filmi në territorin e Republikës së Shqipërisë”, projekt i cili do të realizohet nëpërmjet miratimit të një projekt VKM, si dhe kerkese shtese per blerje autoveture</t>
  </si>
  <si>
    <t>Kerkesa totale per financimin e poltikave te reja dhe ekzistuese</t>
  </si>
  <si>
    <t>Paraqitet kerkese shtese per financimin e politikave ekzistuese per shpenzime personeli, me argumentin mangesi ne financim si pasoje e ndryshimit te pragut te aplikimit te tatimeve dhe plotesimit te struktures. Gjithashtu kerkese shtese per shpenzime per mallra dhe sherbime ne periudhat zgjedhore, per shkak te rritjes se monitorimeve ne keto periudha.</t>
  </si>
  <si>
    <t>Kerkese shtese per financimin e poltikave te reja per 4 punonjes shtese per fondim e pagave dhe shpenzime operative. Dhe kerkese shtese per blerjen e nje automjeti</t>
  </si>
  <si>
    <t>Kerkesa totale per financimin  politikave ekzistuese dhe politikat e reja</t>
  </si>
  <si>
    <t>Paraqitet kerkese shtese, te cilen nuk e argumentojme dot per sa kohe nuk ka paraqitur relacion shpjegues te kerkesave shtese</t>
  </si>
  <si>
    <t xml:space="preserve">Paraqite kerkese shtese per financimin e projekteve te reja te investimeve </t>
  </si>
  <si>
    <t>Paraqitet, pakesimi i fondit ne 602, per mirembajtjen e sistemit per ti kaluar AKSHIT</t>
  </si>
  <si>
    <t xml:space="preserve">Kekrese shetse per Blerje kompjuterash, tavolina, per shkak te shtimit te nr te punonjesve </t>
  </si>
  <si>
    <t>Kerkese shtese per finnacimin e shpenzimeve kapitale per financimin si politike ekzistuese, per arsye se eshte miratuar VKM nr.321 date 15.5.2019</t>
  </si>
  <si>
    <t xml:space="preserve">Kerkese shtese per 4 punonjes sanitare ne ZABU. Kerkese shtese per shpenizme operative per ndergjegjesimin e publikut parashikuar ne Srategji. Si dhe kerkesa per financimin e projekteve te reja te inevestimeve ku propozohte financimi i blerjes se pajisjeve kompjuterike rreth 5 milion leke, si pasoje e rritjes se nr te punonjesve. gjithashtu propozohet financimi i tvsh i grandi midis qeverise Suedeze per nje marreveshje qe ende nuk finanlizuar ende, kekrese shtese rreth 4 milion leke vetem TVSH dhe projekti 80 milion leke </t>
  </si>
  <si>
    <t>Kerkese shtese per financimin e politikave te reja, per shpenzime kapitale e konkretisht per Rikotruksion zyrash,</t>
  </si>
  <si>
    <t>Kerkesat totale per financimin e politikave ekzistuese dhe politika te reja</t>
  </si>
  <si>
    <t xml:space="preserve">Paraqitet kerkese shtese per shpenzime operative, per zhvillimin e vijimesise se aktivitetit, si dhe pagesen e detyrimit ndaj dy nënpunësve gjyqfitues. </t>
  </si>
  <si>
    <t>Paraqitet kerkese shtese prej 5 punonjesh, si dhe kerkese shtese per shpenizime kapitale, me argumentin e zhvendosjes se zyrave ne ambjente te tjera</t>
  </si>
  <si>
    <t>Nuk ka paraqitur PBA</t>
  </si>
  <si>
    <t>Nuk paraqiten kerkesa shtese, vetem rialokim nga shpenziemt operative 602 tek shpenizme personeli, per te cilin nuk sqarohen ne relacion. Eshte bere koment ne analize</t>
  </si>
  <si>
    <t xml:space="preserve">Paraqitet kerkese shtese per shpenziem personeli, me argumentin mangesi ne financim per paga. Nderkohe konstatoj qe ne formatin 2, sh.kapitale jane paarqitur 0,5 milion me pak </t>
  </si>
  <si>
    <t>Nuk paraqitte kerkese shtese per politika te reja</t>
  </si>
  <si>
    <t xml:space="preserve">Paraqitet kerkese shtese per projektet ne vazhdim. </t>
  </si>
  <si>
    <t>Nuk paraqiten kerkesa per financimin e politkave te reja</t>
  </si>
  <si>
    <t>Agjencia Telegrafike Shqiptare</t>
  </si>
  <si>
    <t>Veprimtaria Telegrafike e ATSH-se</t>
  </si>
  <si>
    <t>Nuk e ka sjell PBA</t>
  </si>
  <si>
    <t>Paraqitet si kerkese shtese per financimin e politikave ekzistuese per 3 praktikane sipas programit te punesimit nga MASR, qe meren cdo vit, si dhe pretendohet mangesi ne financim per paga per shkak te rritje se vjeterise. Gjithashtu kerkese shtese per projketin ne vazhdim Ndertimi i Giz kombetar</t>
  </si>
  <si>
    <t xml:space="preserve">Kekrese shtese per financimin e nje projketi te ri krijimi i hartes baze ne shqiperi </t>
  </si>
  <si>
    <t xml:space="preserve">Paraqitet kerkese shtese per shpenizme personeli, pasi parashikohet shtimi i struktures me 7 punonjes. Gjithashtu propozoeht financimi i 3 projkteve te reja, ku per vitin 2020 propozohet projekti Malicious Traffic Operation Center </t>
  </si>
  <si>
    <t xml:space="preserve">Kerkse shtese per shpenzime personeli, me asyentimin e ndryshimit dhe shtimit te struktures gjate vitit 2019. gjithashtu, propozohet kerkesa shtese per shpenzime operative, me argumentin e ndryshimit te politikes se trajnimeve. Gjithashtu paraqitet kerkese shtese per shp.kapitale me argumentin e zevendesimit te pajisje IT dhe permiresimit te sistemmit aktual dhe riksotruksion godine, te cilat disa prej tyre jane projekte ne vazhdim </t>
  </si>
  <si>
    <t>Kerkese shtese per financimin e nje projketi te ri "Ngritjen e Qendrave të Integruar të Shërbimeve Publike lëvizëse.</t>
  </si>
  <si>
    <t xml:space="preserve">Paraqitet kerkese shtese per financimin e asistencë financiare nga bashkësia e pestë fetare, “Vëllazëria Ungjillore e Shqipërisë”. Kerkes shtese eshte vetem per 4 milion leke, per shkak se 2 milion propozohet te pakesohet 602 dhe te rialokohet tek 604. </t>
  </si>
  <si>
    <t>Kekrese shtese per blerje pajisje komjuterike te sistemit HRMS</t>
  </si>
  <si>
    <t>Jane paraqitur tek formati 2, por ne mungese te nje relacioni shpjegues nuk mund te argumentojme kerkesat shtese</t>
  </si>
  <si>
    <t>MINISTRIA E MBROJTJES</t>
  </si>
  <si>
    <t>Planifikim, Menaxhim dhe  Administrim</t>
  </si>
  <si>
    <t>02120</t>
  </si>
  <si>
    <t>Forcat e Luftimit</t>
  </si>
  <si>
    <t>02150</t>
  </si>
  <si>
    <t>Mbështetja e Luftimit</t>
  </si>
  <si>
    <t>09430</t>
  </si>
  <si>
    <t>Arsimi Ushtarak</t>
  </si>
  <si>
    <t>07340</t>
  </si>
  <si>
    <t>Mbështetje për shëndetësinë</t>
  </si>
  <si>
    <t>10270</t>
  </si>
  <si>
    <t>Mbështetje Sociale për Ushtarakët</t>
  </si>
  <si>
    <t>10910</t>
  </si>
  <si>
    <t>Emergjencat Civile</t>
  </si>
  <si>
    <t>ATSH, nuk ka paraqitur relacion shpjegues dhe as format 3. ne keto kushte eshte analizuar formati 2 me tavanet buxhetore. Paraqitet kerkese shtese per shp.kapitale prej 3 milion leke shtese, pasi dhe ne vitin aktual ka te miratuar 4 milion leke. Si dhe ka paraqitur shp.korrente me 0,5 milion leke me shume per te cilat nuk gjejme argumenta</t>
  </si>
  <si>
    <t xml:space="preserve">Instucioni nuk ka paraqitur formatin 3 te poltikave te reja. </t>
  </si>
  <si>
    <t>Ndihma Juridike</t>
  </si>
  <si>
    <t>Nuk argumentohet rritja prej 650 mije leke, ne politikat ekzistuese per vitet 2020-2022</t>
  </si>
  <si>
    <t xml:space="preserve">Propozohen 3 politika te reja. Konkretisht per vitin 2020 Ndertimi i nje Godine te re te IQ.       Nderkohe propozohen Pajisje Laboratorike ye akredituara per godinen e re. Pershtatja e dhomes se servavve ne godinen e re te IQ             </t>
  </si>
  <si>
    <t>TOTALI</t>
  </si>
  <si>
    <t>06</t>
  </si>
  <si>
    <t>Ministria e Infrastruktures dhe Energjise</t>
  </si>
  <si>
    <t>Transporti Rrugor</t>
  </si>
  <si>
    <t>Transporti Detar</t>
  </si>
  <si>
    <t>Transporti Hekurudhor</t>
  </si>
  <si>
    <t>Transporti Ajror</t>
  </si>
  <si>
    <t>Furnizimi me Uje dhe Kanalizime</t>
  </si>
  <si>
    <t>Menaxhimi I Mbetjeve Urbane</t>
  </si>
  <si>
    <t>Mbeshtetje per Energjine</t>
  </si>
  <si>
    <t>Mbeshtetje per Burimet Natyrore</t>
  </si>
  <si>
    <t>Mbeshtetje per Industrine</t>
  </si>
  <si>
    <t>Planifikimi Urban</t>
  </si>
  <si>
    <t xml:space="preserve">Kekrese shtese per fondin e pagave, me argumetin e miratimit te VKM per rritjen e page, si dhe paraqite kerkese shtese per 4 punonjes santiare me kontrate, efekti financiar i paraqitur tek poltikat e reja. Kerkese shtese per shpenzime operative per per detyrime te vendimeve gjyqesore, si dhe per pagesen kalimtare te punonjesve ne reforme. kerkese shtese per projekt ne vazhdim, duke propozuar projekte te reja qe do te financohen brenda tavaneve.  </t>
  </si>
  <si>
    <t>Paraqitet kerkesa shtese per financimin e projekteve te reja te investimit, te cilat 6 politika propozohen te finnacohen me tavanet buxhetore, duke lene pa financuar projektet ne vazhdim. Nderkohe, gjate seancave degjimore u komunika qe me prioritare eshte projekti "Ekspertize teknike per qendrueshmerine e godines SHISH durre"me kosto rreth 4,5 milion leke. gjithashtu paarqitet kerkese shtese rreth rreth 1 milion leke per 4 punonjese snitare shtese</t>
  </si>
  <si>
    <t xml:space="preserve">Paraqitet kerkese shtese per financimin e politikave te reja, ku propozohet shtimi i struktures prej 7 punonjesish. Eshte propozuar qe kjo politike e re te financohet brenda tavaneve buxhetore duke realizuar rialokim nga shpenzime operatibe tek shpenizme personeli. gjithashtu per vitin 2020parashikon dhe 3 milion leke per sh.kapitale qe jane brenda tavanit buxhetor te programit per diasporen </t>
  </si>
  <si>
    <t xml:space="preserve">Kerkese shtese per financimin e politikave ekzistuese, per shpenizme personeli, me argumentin e rritjes se ne viitn 2019 eshte miratuar struktura e re e institucionit. Gjithashtu paraqitet dhe kerkese shtese per blerje pajisje informatike </t>
  </si>
  <si>
    <t xml:space="preserve">Instucioni paraqet kerkesa shtese per financimin e projekti te ri "Forcimi i rolit te Auditimit te jashtem ne mbikeqyrjen e partnerittetit publik-privta ne shqiperi", ku propozohet qe finnacimi i brendshme te financohet brenda tavanev buxhetore prej 2,7 milion leke dhe kerkese shtese per finnacim te huaj prej 24,2 milion leke.  </t>
  </si>
  <si>
    <t>Kerkese shtese per financimin e politikave ekzistuese per shpenzime per mallra dhe sherbime per 2 produkte ekzsituese, per zhvillimin e kadastres se ujit, me argumentin e zhvillimit te databaze dixhitale per matjen e cilesise se ujrave. Si dhe kerkese per hartimin e studimeve, raporteve per reduktimin e ndotjes. gjithashtu jane parashikuar dhe sherblimet per antaret e Keshillit te Baseneve ujore, kosto qe parashikohet rretj 4,4 milion leke</t>
  </si>
  <si>
    <t xml:space="preserve">Paraqiten si kerkesa shtese per financimin e politikave ekzsituese, me argumentin e hapjes se 2 qendrave te reja dhe rritjes se kolokimeve gjate vitit 2019, dhe 2 qendra te reja ne 2020 te cilat jane mirtatuar me VKM </t>
  </si>
  <si>
    <t xml:space="preserve">Kerkesa shtese nuk paraqiten, por  vetem rialokim nga 600 ne 601 prej 0.5 milion leke, per shkak te miratimit te struktures me 15 punonjes. Gjithashtu jane paraqitur shpenizmet kapitale me te larta se viti 2019 shtese prej 9.7 milion leke, por financohen brenda tavanit buxhetor te programit per diasporen </t>
  </si>
  <si>
    <t xml:space="preserve">Kekresa shtese nuk eshte paraqitur, vetem jane paraqitur 3 milion leke investime qe jane te parashikuara , brenda tavanit buxhetor te programit </t>
  </si>
  <si>
    <t>Nuk e di sa fonde ka mare per 2019</t>
  </si>
  <si>
    <t xml:space="preserve">Paraqitet kerkese shtese per financimin e politikave ekzistuese per (604), per festivalin e 14 Filmit Shqiptar, është menduar të jetë edhe një stacion shumë i rëndësishëm i analizës dhe ballafaqimit të sfidave, vështirësive e problemeve të kinemasë.
</t>
  </si>
  <si>
    <t>Sherbimet te Kujdesit Paresor</t>
  </si>
  <si>
    <t>Sherbimet e Shendetit Publik</t>
  </si>
  <si>
    <t>Perkujdesi Social</t>
  </si>
  <si>
    <t>PMA</t>
  </si>
  <si>
    <t>2023</t>
  </si>
  <si>
    <t>SASPAC (Krijuar ne 2021)</t>
  </si>
  <si>
    <t>AMI (Krijuar ne 2021)</t>
  </si>
  <si>
    <t>Planifikim Menaxhim Administrim</t>
  </si>
  <si>
    <t>Ekzekutimi I Pagesave te Ndryshme</t>
  </si>
  <si>
    <t>Tregu I Punes</t>
  </si>
  <si>
    <t>Fonde për Shkencën</t>
  </si>
  <si>
    <t>2024</t>
  </si>
  <si>
    <t>Këshilli i Lartë Gjyqësor</t>
  </si>
  <si>
    <t>01140</t>
  </si>
  <si>
    <t>Mbështetje për teknologjinë e sistemit të drejtësisë</t>
  </si>
  <si>
    <t>Keshilli i Lartë i Prokurorisë</t>
  </si>
  <si>
    <t>Veprimtaria e KLP</t>
  </si>
  <si>
    <t>Struktura e Posacme Antikorrupsion</t>
  </si>
  <si>
    <t>03390</t>
  </si>
  <si>
    <t>Veprimtaria e SPAK</t>
  </si>
  <si>
    <t>Kosto shtese per Politikat Ekzistuese</t>
  </si>
  <si>
    <t>Vitet</t>
  </si>
  <si>
    <t>Kosto shtese per Politikat e Reja</t>
  </si>
  <si>
    <t>Kosto shtese totale</t>
  </si>
  <si>
    <t>Ne 000/leke</t>
  </si>
  <si>
    <t>Nr pun</t>
  </si>
  <si>
    <t xml:space="preserve">Ne shpenzime personeli 535 milion leke kerkohet mangesi ne financim si pasoje e miratimit te struktures se re date 19.10.2022. Ne shpenzime operative: 769.5 milion lekë nevojiten për uniformat e Policisë së Burgjeve; 174.73 milion lekë nevojiten për blerjen e ushqimeve si pasojë e rritjes së çmimeve; 10 milion lekë nevojiten për blerje detergjentësh; 65 milion lekë nevojiten për blerje materiale gazermimi sipas normativave të miratuara nga Ministria e Drejtësisë; 54.2 milion lekë nevojiten për blerje karburanti; 35 milion lekë nevojiten për energjinë elektrike; 10 milion lekë nevojiten për ekzekutimin e vendimeve gjyqësore; 30.5 milion lekë nevojiten për mbulimin e shpenzimeve të mirëmbajtjes së ndërtesës, rrjeteve hidraulike dhe elektrike, etj. </t>
  </si>
  <si>
    <t xml:space="preserve">Ne shpenzime personeli 68 milion lekë nevojitet për përballimin e efekteve financiar të miratimit të ligjt nr. 8, datë 28.02.2023. Në pikën 2 të nenit 31 të këtij ligji përcaktohet që: “Në çdo rast, paga e përmbaruesve gjyqësorë shtetërorë nuk mund të jetë më e ulët se paga mujore e drejtorit të drejtorisë në ministri”. </t>
  </si>
  <si>
    <t>Kerkohet shtese nr punonjesish me 15 per Qendren e Parandalimit te Krimeve te te Miturve dhe 10 mln leke per perballimin e shpenzimeve te personeli.</t>
  </si>
  <si>
    <t>Kerkohet shtese nr punonjesish me 29 dhe 30 mln leke per perballimin e shpenzimeve te personeli. Ne shpenzime kapitale 80 milion lekë  nevojiten për blerjen e një pajisje për laboratorin e toksikologjisë GC MS, për përcaktimin cilësor ose identifikimin e lëndëve narkotike ose medikamenteve të marra, në ndihmë të organeve të drejtësisë.</t>
  </si>
  <si>
    <t>Ne shpenzime kapitale kerkohet fond shtesë në vlerën 923 milion lekë kryesisht për: blerje pajisje sigurie/kontrolli, pajisje logjistike, pajisje mobilimi si dhe blerje paisje zyre për administratën; Investime ndërtimore pjesore të domosdoshme ne IEVP; Rikonstruksion i ambienteve në IEVP Burrel dhe Ali Dem; Rikonstruksionet e rrjeteve elektrike ; Riparimet e sistemeve të ngrohjes/ftohjes në IEVPA Vlorë dhe Fier; Mirëmbajtjen e serverave për ruajtjen e të dhënave si dhe sistemeve të mbrojtjes antidron; Krijimin e Sistemit të Menaxhimit të Klasifikimit në vlerën 14 milion lekë,;  Krijimin e Sistemit të Protokollit në vlerën 16 milion lekë; Krijimin e Sallës Taktike Operative  në vlerën 10.8 milion lekë.</t>
  </si>
  <si>
    <t xml:space="preserve"> Ne shpenzime personeli 34 milion është efekti i shtesës së organikës me 20 punonjës. Ne shpenzime kapitale 59 milion lekë kerkohen per: Blerje 19 automjete transporti në vlerën 42.5 milion lekë;  Blerje kondicionerë në vlerën 3.4 milion lekët; Rikonstruksioni i Drejtorisë së Përgjithshme të Përmbarimit dhe Zyrës së Përmbarimit Tiranë në vlerën 14 milion lekë.</t>
  </si>
  <si>
    <t>Ne shpenzime operative kerkohen 52.9 milion lekë për mirëmbajtjen e sistemit të digjitalizimit të arkivës fizike të Shërbimit të Provës. Ne shpenzime kapitale kërkohet fondi prej 242.8 milion lekë për përmirësimin e sistemit të digjitalizimit të arkivës fizike.</t>
  </si>
  <si>
    <t>Per shpenzime operative kerkesa vjen per rillogaritjen e bursave te magjistrateve ne zbatim te vendimit te Gjykates Kushtetuese nr. 35/2022</t>
  </si>
  <si>
    <t>Për shpenzime personeli, për vitin 2024 kërkohet shuma prej 10.6 milion lekë si pasojë e shtesës së kërkuar të organikës me 1 punonjës si dhe diferenca e fondit të pagave dhe sigurimeve për pedagogët e brendshëm që barazohen në pagë me magjistratët e gjykatës së apelit, në zbatim të vendimit të Gjykatës Kushtetuese nr. 35/2022. Për vitin 2025, kërkohet shtesë në vlerën 12 milion lekë për dy punonjësit e kërkuar (1 në vitin 2024 dhe 1 në vitin 202). Po kështu, për vitin 2026 kërkohet shtesë në masën 12.3 milion lekë për 2 punonjës shtesë të kërkuar në vitin 2024 dhe 2025. Për shpenzimet kapitale, është paraqitur kërkesa shtesë për fillimin e ndërtimit të godinës së re të Shkollës së Magjistraturës në vlerën totale 576 milion lekë, e cila është shtrirë përgjatë viteve përkatësisht 192 milion lekë për çdo vit të ciklit të PBA 2024-2026.</t>
  </si>
  <si>
    <t xml:space="preserve">Ne shpenzime operative  64 milion lekë kërkohen për shpenzime qeraje për 2 magazina të reja dhe për shërbime të teknologjisë së informacionit. Ne shpenzime kapitale: 590 milion lekë kërkohen për ndërtim magazine dhe ruajtjen e pajisjeve elektronike PEI, PEVN dhe materialeve zgjedhore; 3 milion lekë për sistemin për indeksimin dhe kërkimin e pamjeve filmike dhe 40 milion lekë për shtimin e kapaciteteve për ruajtjen e pamjeve filmike. </t>
  </si>
  <si>
    <t xml:space="preserve">Për shpenzime personeli, kërkohen 1.1 milion lekë për vitin 2024 dhe rreth 355 milion lekë për vitin 2025 nga të cilat:105 milion lekë kërkohen për punonjësit e përkohshëm për zgjedhjet qendrore të vitit 2025; 250 milion lekë kërkohen për shpërblimin e 736 anëtarëve të KZAZ-ve, 38.500 anëtarët e KQV-ve, 3.600 anëtarët e GNV-ve dhe trajnuesve të tyre. 	Për shpenzime operative: 11 milion lekë nevojiten për bazë materiale zgjedhore si fletë votimi, kuti votimi, vula/kode sigurie; 2 milion lekë nevojiten për shtypshkrime; 270 mijë lekë për blerjen e materialeve për administratën zgjedhore; 4 milion lekë për shpenzime kancelarie; 2.3 milion lekë nevojiten për blerjen e materialeve promocionale; 10 milion lekë nevojiten për prodhimin e spoteve promocionale në televizion e radio; 1.2 milion lekë nevojiten për blerje karburanti për përmbushjen e detyrave funksionale të administratës së KQZ; 2.7 milion lekë nevojiten për blerjen e materialeve të ndryshme; 5 milion lekë nevoijten për shpenzime pritje-përcjellje për delegacionet e institucioneve homologe; 33.8 milion lekë nevojiten për shpenzimet e shërbimit të internetit, telefonit, monitorimit të fushatës zgjedhore, auditimit të fondeve të fushatës; 48 milion lekë nevojiten për shërbime të teknologjisë së informacionit; 1.8 milion lekë nevojiten për shërbime transporti; 2.5 milion lekë nëvojiten shpenzime për udhëtime dhe dieta; 51.6 milion lekë nevojiten për shërbime për fushtat informuese, ndërgjegjësuese dhe edukuese. Ne shpenzime kapitale 23.8 milion lekë kërkohen për projektin “Mbështetje për parlamentin dhe edukimin qytetar, 225 milion lekë kërkohen për platformën elektronike për regjistrimin e zgjedhësve nga jashtë vendit, 2.5 milion lekë kërkohen për sistemin e transmetimit live të aktiviteteve të KQZ dhe 48 milion lekë për pajisje elektronike identifikimi.  </t>
  </si>
  <si>
    <t>Për shpenzime personeli, mbështetur në vendimin nr. 35/2022 të Gjykatës Kushtetuese është paraqitur kërkesa shtesë në shumën 743.8 milion lekë, për rillogaritjen e pagës së magjistratëve.
Për shpenzime operative, kërkohet fondi në vlerën 90 milion lekë për ekzekutimin e vendimeve të Gjykatës Administrative të Shkallës së parë Tiranë, sipas së cilës Prokuroria e Përgjithshme detyrohet të pagojë kreditorët në shumën 45 milion lekë lidhur me rillogaritjet e pagës së magjistratit që nga viti 2019. Gjithashtu pjesa e mbetur e kërkesës (45 milion lekë) vjen si pasojë e rritjes së faturave të palikujduara për ekspertë të ndryshëm.</t>
  </si>
  <si>
    <t>Ne shpenzime personeli kerkohen 24.5 milion lekë  për mbulimin e efekteve të pagës së magjistratëve sipas vendimit nr. 35/2022 të Gjykatës Kushtetuese;</t>
  </si>
  <si>
    <t>Kerkohet redukim I shpenzimeve te personelit me 600 mije leke</t>
  </si>
  <si>
    <t xml:space="preserve">Ne shpenzime personeli kerkohen 1 miliard lekë pasi mbështetur në ligjin nr. 47/2021,  në nenin 10 ka ndryshuar masën e shpërblimit për vështirësi pune të nëpunësve civilë gjyqësore në gjykatat e posaçme në të dy nivelet nga 10% në 50% dhe ligjin nr. 50/2021, ka ndryshuar masën e shpërblimit për vështirësi në punë të gjyqtarëve që ushtrojnë funksionin pranë gjykatave të posaçme të të dyja niveleve nga 60 në 80%. </t>
  </si>
  <si>
    <t>Ne shpenzime kapitale kerkohen 119 milion lekë për blerje pajisjesh për transferimin e sistemit RDA nga AKSHI në KLGJ, blerje pajisjesh për instalimin dhe konfigurimin e serverave dhe storage për sistemin RDA, blerje sistem exchange-server për hostimin e e-maileve zyrtare në infrastrukturën IT të KLGJ.</t>
  </si>
  <si>
    <t>Për shpenzime operative, kërkohet  fond shtesë  në vlerën 2.2 milion lekë  për blerje materiale zyre të ndryshme, shpenzime udhëtimi, shërbime nga të tretë dhe shpenzime të tjera operative.</t>
  </si>
  <si>
    <t>Ne shpenzime personeli 72 milion lekë kërkohen për mbulimin e efekteve financiare shtesë për shtesën e organikës me 55 punonjës. Ne shpenzime kapitale  prej së cilës 66.8 milion lekë kerkohen për studime dhe projektime për projektet e ndërtimit të 5 gjykatave (Gjykata e Rrethit Gjyqësor Berat, Durrës, Tiranë, Lezhë dhe Kukës), 2 milion lekë për hartimin e projektit të instalimit të sistemit të ri BMS te godinës së Gjykatës së Rrethit KKO, 450 milion lekë për ndërtimin e Gjykatës së Lartë, 303 milion lekë për ndërtimin e Gjykatës së Apelit të Juridiksionit të Përgjithshëm Tiranë, 63 milion lekë për ndërtimin e Gjykatës së Rrethit Gjyqësor Fier, 18.6 milion lekë për projektin për digjitalizimin e dosjeve të arkivit gjyqësor, 310 milion lekë për projektin për zhvillimin e një sistemi të ri të menaxhimit të çështjeve gjyqësore.</t>
  </si>
  <si>
    <t xml:space="preserve">Ne shpenzime personeli fondi shtese kerkohet per mbulimin e efekte financiare per shtesen e kerkuar me 10 punonjes dhe zbatimin e vendimit te Gjykates Kushtetuese. Ne shpenzime operative kerkohet  16.8 milion lekë për vitin 2024 për të cilën është argumentuar që fondi i akorduar është i pamjaftueshëm për realizimin e një grup shpenzimesh të cilat rrezikojnë të mbeten të pambuluara. Ne shpenzime kapitale 20 milion lekë nevojiten për projektin në vazhdim të rinovimit të parkut të automjeteve. </t>
  </si>
  <si>
    <t>Ne shpenzime kapitale; 35 milion lekë nevojiten për zhvillimin e një projekti të ri rikonstruksioni të ambienteve të brendshme të gjykatës; 1.1 milionë lekë nevojiten për blerjen e pajisjeve, orendive dhe mjeteve të zyrës; 1.5 milion lekë nevojiten si fond shtesë për të financuar projektin e informatizimit të veprimtarisë së gjykatës.</t>
  </si>
  <si>
    <t xml:space="preserve">Ne shpenzime personeli kerkohet fond shtesë rreth 12 milion lekë për të përballuar efektet financiare të shtesës së numrit të personelit, me 7 punonjes, si dhe efekti shtesë financiar sipas vendimit të Gjykatës Kushtetuese. Ne shpenzime operative, kerkohet fone shtesë në vlerën 9.5 milion lekë për mirëmbajtje të zakonshme, bazë materiale për shpenzimet e konsumit të përditshëm, kancelari, mallra dhe shërbime.  </t>
  </si>
  <si>
    <t xml:space="preserve">Në shpenzime personeli, prej fondit total te kerkuar  168.2 milion lekë përllogariten diferencat e pamiratuara në tavanet buxhetore referuar strukturës së plotë të pagave edhe efekti shtesë i zbatimtit të vendimit të Gjykatës Kushtetuese nr. 35/2022 nga hyrja në fuqi në datën 09.01.2023 e në vijim, ndërkohë që efektet praparavepruese të këtij vendimi nga data 01.01.2019 deri në Dhjetor 2022 përllogariten rreth 130.4 milion lekë. Në shpenzime operative, kerkesa shtese vjen kryesisht për shkak të rritjes së konsumit të brendshëm si pasojë e krijimit të korpusit të përbashkët të intitucioneve të posaçme të krijuara kundër korrupsionit dhe krimit të organizuar.
Prej fondit total të kërkuar, rreth 10 milion lekë nevojiten për sigurimin e shëndetit dhe të jetës për hetuesit, 30 milion lekë nevojiten për mirëmbajtjen e sistemeve të Bërthamës Komanduese Elektronike, 26 milion lekë për mirëmbajtjen e teknologjive të Sektorit të Ekspertizës Laboratorike dhe 20 milion lekë për mirëmbajtjen e sistemit IT dhe sistemeve të tjera speciale që SPAK aktualisht përdor. 
Gjithashtu në vlerën totale të paraqitur janë përllogaritur dhe shpenzimet që lidhen me përgatitjen e dosjes penale..  </t>
  </si>
  <si>
    <t xml:space="preserve">Në shpenzime kapitale, SPAK ka paraqitur kërkesë shtesë në vlerën 43 milion lekë prej të cilave: 30 milion lekë nevojiten për blerjen pajisjeve elektronike dhe informatike; 3 milion lekë nevojiten për blerjen e pajisjeve speciale proaktive hetimore; 30 milion lekë nevojiten për pajisjen e godinës së re ku do të akomodohet SPAK. </t>
  </si>
  <si>
    <t>ILD</t>
  </si>
  <si>
    <t>Veprimtaria mbikqyrese e ILD (ILD)</t>
  </si>
  <si>
    <t>Ne shpenzime operative kerkohen 7 milion lekë, për mbulimin e shpenzimeve operative për aktivitetin e institucionit gjatë vitit buxhetor. Prej fondit total të kërkuar, rreth 1.2 milion nevojiten për mbulimin e shpenzimeve të celularëve.\</t>
  </si>
  <si>
    <t>Ne shpenzime personeli kerkohet fondi në vlerën 8.9 milion lekë, me argumentimin që është ndërmarrë nisma për propozimin e ndryshimeve ligjore në disa dispozita të ligjit nr. 115/2016, nëpërmjet së cilës synohet rishikimi i pagës bruto për inspektorët magjistratë që ushtrojnë funksionin pranë ILD. Ne shpenzime kapitale kerkohen ne total  29 milion lekë, prej të cilave: 3.7 milion lekë nevojiten për zhvillimin dhe mirëmbajtjen e sistemit SMAD; 3 milion lekë nevojiten për furnizim dhe vendosje pajisje për dhomën e serverave; 22.3 milion lekë nevojiten për blerje pajisje zyre.</t>
  </si>
  <si>
    <t>Ne shpenzime personeli për vitin 2024, kerkohen 53 milion lekë për mbulimin e efekteve financiare shtesë që rrjedhin nga vendimi i Gjykatës Kushtetuese nr. 35/2022</t>
  </si>
  <si>
    <t>Ne shpenzime personeli paraqitet kerkesa në vlerën 53 milionë lekë për vitin 2024, kjo pasi në zbatim të Vendimit nr. 36/2022, të Kuvendit, këshilltarët ligjorë dhe ekonomikë  përfitojnë një pagesë vjetore shtesë jo më shumë se 3 paga mujore dhe punonjësit e administratës përfitojnë shtesë mujore për natyrë të veçantë pune në masën 10% të pagës për pozicion. 
Gjithashtu shtesa në shpenzime personeli është kërkuar edhe në zbatim të vendimit nr. 27, datë 28.06.2022 të Mbledhjes së Komisionit,e cila vendosi rillogaritjen e pagës G3 të anëtarëve të KPK, duke përfshirë elementin e vjetërsisë në punë, në masën 2% të pagës referuese bazë për çdo vit shërbimi sipas nenit 12/3, të ligjit 96/2016 “Për statusin e Gjyqtarëve dhe Prokurorëve në Republikën e Shqipërisë”.</t>
  </si>
  <si>
    <t>Nuk ka dorezuar dokumentin e PBA</t>
  </si>
  <si>
    <r>
      <rPr>
        <sz val="10"/>
        <rFont val="Arial"/>
        <family val="2"/>
      </rPr>
      <t>Paraqitet kerkese shtese per shpenzimet operativ</t>
    </r>
    <r>
      <rPr>
        <b/>
        <sz val="10"/>
        <rFont val="Arial"/>
        <family val="2"/>
      </rPr>
      <t xml:space="preserve">(Kerkesa te cilat nuk jane paqyruar ne sistemin AFMIS)e </t>
    </r>
    <r>
      <rPr>
        <sz val="10"/>
        <rFont val="Arial"/>
        <family val="2"/>
      </rPr>
      <t>me argumentin qe ka detyrime për vendime gjyqësore në vlerën 500.000.000 lekë.
- Gjithashtu, ne zbatim të VKM nr.788, datë 26.11.2003 “Për përballimin e shpenzimeve të shërbimit të varrimit për shtetasit shqiptarë që vdesin jashtë shtetit”, për shkak të numrit të lartë të personave që kanë depozituar dokumentacionet përkatëse, janë në proces 1520 dosje nga viti 2021 dhe viti 2022 të cilat  nuk janë likujduar pasi fondi i miratuar për këtë qëllim, nuk mund ti mbulojë këto shpenzime. Për këtë qëllim nevojitet një fond shtesë prej 100.000.000 lekë.</t>
    </r>
  </si>
  <si>
    <r>
      <rPr>
        <sz val="10"/>
        <rFont val="Arial"/>
        <family val="2"/>
      </rPr>
      <t xml:space="preserve">Paraqitet kerkese shtese per fondin e pagave me argumentin qe është i pa mjaftueshëm për të mbuluar të gjithë nevojat buxhetore te Autoritetit Rrugor Shqiptar dhe katër Drejtoritë Rajonale Rrugor deri në fund të vitit. Per shpenzime operative për menaxhimin e kontratave të mirëmbajtjes dhe shp.administrative </t>
    </r>
    <r>
      <rPr>
        <b/>
        <sz val="10"/>
        <rFont val="Arial"/>
        <family val="2"/>
      </rPr>
      <t xml:space="preserve">(duhet te saktesohen si kerkesa shtese, pasi nuk perputhen kerkesat narrative me kerkesat e permbledhura ne tabele por dhe ne sistem AFMIS) </t>
    </r>
    <r>
      <rPr>
        <sz val="10"/>
        <rFont val="Arial"/>
        <family val="2"/>
      </rPr>
      <t xml:space="preserve">me argumentin qe janë të pamjaftueshme për mbulimin e shpenzimeve, çka do të krijojë probleme në mbështetjen e mirëmbajtjes rrugore, për vitet pasardhëse 2025-2026. </t>
    </r>
  </si>
  <si>
    <t>Paraqitet kerkese shtese per financimin e projekteve te rendesishme qe propozohen te reja si (Studim Projektim dhe Ndërtimi i Godinës së Kapitenerisë Vlorë; Studim projektim i dixhitalizimit të sistemeve të Drejtorisë së Përgjithshme Detare
Mirëmbajtje pajisje navigacionale per Sistemin Automatik të Identifikimit (AIS);  Blerje motoskafe për Kapiteneritë Shëngjin, Durrës; Projekti PORTO ROMANO Durrës; Porti  Integruar në Triport Vlorë</t>
  </si>
  <si>
    <t>Praqitet kerkese shtese kryesisht per financimin e projekteve te reja si (- Blerje çanta investigatori
- Poste te reja pune
- Pajisje Zyrash
- Projekt për rikonstruksion godine
- Pajisje te veçanta investigimi
- Blerje sistemesh informatike)</t>
  </si>
  <si>
    <t xml:space="preserve">Në zbatim edhe të Marrëveshjes së Huasë ndërmjet Republikës së Shqipërisë dhe Bankës Botërore për Programin Kombëtar të Modernizimit të Sektorit të Ujësjellës Kanalizime në Shqipëri të ratifikuar me ligjin 25/2023 e cila do të jetë në formën e mbështetjes buxhetore, për të cilën kërkohet rritje e tavaneve buxhetore për vitet 2024-2026 në vlerën 3.000.000.000 lekë, me nga 1.000.000.000 lekë në secilin vit. </t>
  </si>
  <si>
    <t>Ne sistemin AFMIS nuk paraqiten kerkesa shtese ne kete program buxhetor. Nderkohe ne relacionin shpjegues propozohen projekte te reja investimesh, për vitin 2026, per te cilat nuk sqarohen sa jane kostot respektive si dhe a paraqiten si kerkese shtese apo jo?</t>
  </si>
  <si>
    <t xml:space="preserve">Paraqitet kerkese shtese per fiancimin e 2 Projekte te reja si (Ndërtim objekti të ri për Laboratorin e Gjeologjisë dhe ambjenteve të tjera ndihmëse për SHGJSH) dhe paraqitet me prioritet Projekti “Blerje aparatura e paisje teknologjike pune e paisje pune profesionale për nevoja të Shërbimit Gjeologjik Shqiptar”, per te cilen propozohet qe 4 milion leke te financohet nga buxheti shtetit dhe 6 milion leke paraqitet kerkese shtese
 </t>
  </si>
  <si>
    <t xml:space="preserve">Paraqitet kerkese shtese (referuar AFMIS) per shpenzime operative me argumentin qe fondet jane te pamjaftueshme per kryerjen e aktivitetit te ( Inspektorati Shtetëror Teknik dhe Industrial  dhe Qendra e Grumbullimit dhe Trajtimit të Kimikateve të Rrezikshme). Per shpenzimet kapitale pjesen me te konsiderueshem e zene kerkesa per financimin  e (Ndërmarrja e Prodhim Çeliqeve Elbasan dhe Uzina e Plehrave Azotike Fier)  pasi fondet e miratuara në tavan nuk mbulojnë detyrimet për paga dhe sigurime shoqërore të ndërmarrjes. gjithashtu per vitin 2026 paraqitet kerkese e perseritur për projektin “Aparatura laboratorike për treguesit cilësor të naftës e gazit” </t>
  </si>
  <si>
    <t>Paraqitet kerkese shtese per financimin e projekteve te reja (	Zgjerim dhe shtesë kati AQTN dhe Blerje sistemi informatik për ASHSH)</t>
  </si>
  <si>
    <t>Mangesia ne financimin ne fondin e pagave per AMP. Shpenzime operative kryesisht per IKMT 9ku perfshihen dhe vendimet gjyqesore), shpenzime per AMP( uniforma, dieta etj), dhe per AAPSK dhe QKKEDH. Fondi per financimin e shpenzimeve kapitale lidhet kryesisht me projektet ekzistuese.</t>
  </si>
  <si>
    <t>Paraqitet kerkese shtesë personeli për Qendrën pritëse për  Azil, prej 6 punonjës dhe 17 punonjës shtesë për Qendra Kombëtare kundëër Ekstremizmit të Dhunshëm. Kerkesa shtese per shpenzime kapitale lidhet kryesisht per financimin e projekteve te reja si (Rikonstruksion i zyrave te AAPSK dhe Eskavator të blere për IKMT</t>
  </si>
  <si>
    <t xml:space="preserve">Kerkesa shtese per fondin e pagave argumentohen si mangësi në financimin e politikave ekzistuese, si rezultat e turneve të dyta (703 mln lekë), pagesat për punë jashtë orarit (370 mln lekë), efektet financiare në zbatim të detyrimeve që rrjedhin nga Ligji nr.108/2014 “Për Policinë  e Shtetit”, (248 mln lekë) si dhe çdo vit në strukturat e policisë shtohet staf i ri si rezultat e përfundimit të kursit në Akademinë e Policisë. Kerkesa shtese per shpenzim operative duke u argumentuar si mangësi në financim për politikat ekzistuese. Pjesën më të konsiderueshne e zë Blerja e uniformave prej rreth 500 milion lekë. Për financimin e shpenzimeve të nevojshme operative si (shp.udhetimi, transporti,shp. Qeramarje, mirembajtjen e aparateve, pajisje, etj), me kosto rreth 478 milion lekë; </t>
  </si>
  <si>
    <t>Paraqitet kerkese shtese ne fondin e pagave për financimin e politikës së re (shtesa prej 68 punonjës, efekt i zbatimit të strategjisë referuar VKM nr. 702/2015), duke argumentuar që organika në vitin 2024 parashikohet 12 000 punonjës. Per shpenzime operative për financimin kryesisht të politikave të reja në Programin “Policia e Shtetit” si rezultat e zbatimit të Ligji nr.108/2014 “Për Policinë  e Shtetit”. Per shpenzimet kapitale kryesisht paraqitet per projektet e reja si (Ngritja e Qëndrës me sistemet multi-aplikative të identifikimit biometrik të personit” me kosto 900 milion leke dhe Mjete te blindura  me kosto me 529 milion leke)</t>
  </si>
  <si>
    <t>Kerkese shtese per fondin e pagave argumentohet si mangësi në financimin e politikave ekzistuese, si rezultat e zbatimit të disa VKM-ve të miratuara për Gardën e Republikës, që kanë të bëjnë me shtesën e pagave për gradë, shtesë për natyrë të veçantë dhe shtesë për vjetërsi në punë për punonjësit e Gardës. Per shpenzime operative për financimin e nevojave për shërbimin e ushqimit për punonjësit e Gardës së Republikës, referuar dhe VKM nr.201/2023.</t>
  </si>
  <si>
    <t>Paraqitet kerkese shtese per financimin e projektit te ri Rikonstruksion i ambjenteve të Qendrës së Aftësimit Profesional (QAP), të Gardës Republikës, Mullet.</t>
  </si>
  <si>
    <t>Paraqitet kerkese shtese ne fondin e pagave me argumentin mangësi në financimin e politikave ekzistuese, si rezultat e ndryshimit strukturor shtesë numri prej 8 veta për Agjencinë e Mbështetjes së Vetëqeverisjes Vendore. Paraqitet kerkese shtese per financimin e projekteve ekzistuese.</t>
  </si>
  <si>
    <t>Paraqitet kerkese shtese per financimin e projekteve te reja (Rikonstruksion zyrsh per Prefekturen e qarkut Korce dhe Pagese TVSH per projektin "EU4Municipalities")</t>
  </si>
  <si>
    <t>Paraqitet kerkese shtese per shpenzime operative për financimin e detyrimeve të prapambetura lidhur me bonusin e bebes që i përkasin vitit 2020. Kerkesa shtese per shpenzime kapitale lidhet me projektet në vazhdim që kanë filluar në vitin 2022 (Permiresimi i infrastuktures hardware dhe software te RKGJC dhe Permiresimi i infrastruktures hardware dhe software te RKA)</t>
  </si>
  <si>
    <t xml:space="preserve">Paraqitet kerkesese shtese per fondin e pagave me argumentin për të përballuar efektet financiare që vijnë nga rritja e pagës minimale, sipas VKM nr.113/2023 “Për përcaktimin e pagës minimale në shkallë vendi”, me argumentin që në strukturën aktuale janë disa nënnivele pagash që rezultojnë nën pagën minimale aktuale prej 40 mijë lekë. Paraqitet kerkese shtese per shpenzime operative për financimin e politikave ekzistuese, me qëllim mos cënuar aktivitetin normal të institucionit. </t>
  </si>
  <si>
    <t>Paraqitet kerkese shtese per financimin  e projekteve te reja qe lidhen kryesisht me implentimine platformave elektronike te sigurise. Por me prioritet paraqitet dhe financimi I projektit (Hidroizolimi i tarracës së Godinës Sarandë”, me kosto rreth 1.7 milion lekë , me argumentin që është një investim i nevojshëm pasi tarraca është e dëmtuar)</t>
  </si>
  <si>
    <t>Akademia e Shkencave</t>
  </si>
  <si>
    <t>01520</t>
  </si>
  <si>
    <t>Veprimtaria Akademike</t>
  </si>
  <si>
    <t xml:space="preserve">Paraqitet kerkese shtese ne fondin e pagave me argumentin që në strukturën aktuale të institucionit janë reflektuar ndryshimet e pagave sipas VKM nr.242 datë 20.04.2023 “Për disa ndryshime në vendim nr.234 datë 20.04.2022 “Për pagat e punonjësve të tjerë të specialiteteve të ndryshme në disa institucione të administratës publike”, të ndryshuar. Per shpenzime operative paraqitet pjesen me te madhe e ze kerkesa per financimin e projektit madhor në Albanologji “Encikopedia shqiptare” me kosot 44.2 milion leke. gjithashtu praqitet dhe kerkese per artikullin 606 me nje kosot prej rreth 2 milion lekë, me argumentin që parashikohen për pagesat e 3 (tre) akademikëve që janë shtuar gjatë vitit 2023, përllogaritur me masën e shërblimit aktual të akademikëve. </t>
  </si>
  <si>
    <t>Paraqitet kerkese shtese per financimin e projekteve te reja si (Ndërtim godine e re për A.SH.”, me kosto rreth 50 milion lekë dhe Pajisje laboratorike për qendra kërkimore shkencore).</t>
  </si>
  <si>
    <t>Paraqitet kerkese shtese per fondin e pagave per financimin e politikave ekzistuese dhe politikave te reja(Nuk percaktojme dot efektin e ndare vetem per politiken ekzistuese). paraqitet kerkese shtese dhe per 	 5 auditues të rinj dhe per 5 ekspertë të jashtëm. per shpenzime operative paraqitet kerkese shtese për përballimin e shpenzimeve të shërbimit për shkak të angazhimit të audituesve larg qendrës së punës; Paraqitet kerkese shtese per kosto lokale dhe financim te huaj (Forcimi i kapaciteteve të auditimit të jashtëm</t>
  </si>
  <si>
    <t>Propozohen financim per projekte te reja si (Ndërtimi i godine të re, Blerje automjeti, Rinovimi i ambjentit të sallës së mbledhjeve)</t>
  </si>
  <si>
    <t>Paraqitet kerkese shtese per shpenzime operative( 1.5 milion lekë, me argumentin për të përgatitur një historik të ATSH-së, ku do të ketë të dhëna, informacione, foto të hershme që tregojnë të gjitha aktivitetin e ATSH-së në vite; Fondi prej 0.7 milion lekë, me argumentin që në vitin 2024 planifikohet që institucioni të organizojë Konferencën e radhës të EANA-s si dhe paraqitet dhe nje detyrim i prapambetur ndaj Agjencizë franceze e lajmeve). Paraqitet kerkese shtese per projektin Dixhitalizimi i arkivës</t>
  </si>
  <si>
    <t>Paraqitet kerkese shtese per projektin e ri "Blerje paisje informatike e elektronike", me argumentin që pjesa më e madhe e kompjuterave të gazetarëve kanë specifikime teknike që nuk janë të përshtatshme me sistemin informatik me standardet e kohës.</t>
  </si>
  <si>
    <t xml:space="preserve">Paraqitet kerkese shtese per 1 punonjes shtese ne strukturen (specialist) në organikën aktuale, me argumentin që institucioni përballon fluks dhe volum të lartë pune shume specifike me një staf të vogël. Paraqitet kerkese shtese per financimin e politikes se re “Student të financuar në bachelor në UA”, si rezultat e paktit për universitetin, ku institucioni, Ministria e Kulturës dhe Universiteti i Arteve kanë nënshkruar marrëveshjen e bashkëpunimit për mbështetjen financiare të temave të diplomave të studentëve të diplomuar në nivelin Bachelor, të Universiteti të Arteve.
</t>
  </si>
  <si>
    <t xml:space="preserve">Paraqitet kerkese shtese per fondin e pagave (Per zbatimin e vendimit të Gjykatës Kushtetuese nr.35, dat 22.11.2022, prej 8.5 mln leke, si dhe mangesi ne financimin per strukturen aktuale rreth 4 milion leke per 2 punonjes shtese qe I jane shtuar me ligjin e buxhetit). Per shpenzime operative per kryerjen e aktiviteteve </t>
  </si>
  <si>
    <t>Paraqitet kerkese shtese për blerjen e një automjeti transporti, me argumentin që është bërë pothuajse e pamundur lëvizja vetëm me 1 (një) automjet i grupeve të monitorimit në të gjithë hapsirën gjeografike të vendit, ku shtrihet kompetenca territoriale e KMSHC-së, dhe për më tepër gjatë periudhave zgjedhore rreth 2 (dy) mujore, grupet e monitorimit inspektojnë nga afër/në vend subjektet, mesatarisht dy herë.</t>
  </si>
  <si>
    <t xml:space="preserve">Paraqitet kerkese shtese per shpenzime operative me argumentin që institucioni ka një rritje të ndjeshme të volumit të punës në kuptim të hetimeve dhe të inspektimeve në vend të cilat shpeshherë ndodhen në distanca të largëta që sjellin shpërblimin e punonjësve me dieta. Disa nga arsyet që impakton rritjen e shpenzime kryesisht për dieta vjen si rezultat (Rritjes së ndjeshme e numrit të inspektimeve në distanca të largëta; Numri i lartë i firmave që operojnë në tregje të ndryshme si dhe Rritja e organizimeve, trajnimeve dhe eventeve që ndoshen jashte shtetit).
</t>
  </si>
  <si>
    <t>Mbeshtetje per Rinine dhe Femijet</t>
  </si>
  <si>
    <t>Paraqitet kerkese shtese per rritje te subvencionit me argumentin qe fusha e zhvillimit te veprimtarise se DSHQ per sherbime pa pagese ndaj personaliteteve te larta shteterore eshte zgjeruar dhe si rrjedhoje jane rritur sherbimet qe ajo ofron nga te cilat nuk gjenerohen te ardhura.</t>
  </si>
  <si>
    <t>Praqitet kerkese shtese per financimin e projektit te ri "Restaurim Vila Qeveritare Dajt"</t>
  </si>
  <si>
    <t>Praqitet kerkese shtese per shpenzime kapitale duke argumentuar që Kryeministri ka autorizuar Titullarin e Agjencisë së Prokurimit Publik, për të bërë klasifikimin origjinal “Sekret shtetëror” të informacioneve që prodhon institucioni dhe për këtë qëllim pajisjet elektronike që do të nevojiten për ruajtjen e informacionit të klasifikuar si “Sekret shtetëror”, për efekte sigurie kanë specifikime teknike të veçanta, për rrjedhoje dhe kosto me të lartë se të pajisjeve të zakonshme,</t>
  </si>
  <si>
    <t xml:space="preserve">Paraqitet kerkese shtese per financimin kryesisht te aktiviteteve qe implikon zbatimi i Strategjisë Kombëtare në Menaxhimin e Integruar të Burimeve Ujore. </t>
  </si>
  <si>
    <t>Paraqitet kerkese shtese per fondin e pagave per te cilen eshte paraqitur vetem me formatin 3, (lidhet me ri-organizimin e avokatures ne 2 nivele). Paraqitet kerkese shtese ne shp.kapitale per financimin e projekteve te reja (Rikostruksion I katit të katit të dytë dhe të tretë të godinës, pajisja e godines me anshensor dhe Pajisje me automjete)</t>
  </si>
  <si>
    <t>Nuk paraqet kerkesa shtese buxhetore, por te propozhet qe planifikimi ne fondin e investimeve prej 3 mln leke te planifikohet dhe ne vitet ne vijim 2026..</t>
  </si>
  <si>
    <t>Paraqitet kerkese shtese per artikullin 604 prej 5 milion leke per te finacuar vleren e plote te projekteve per 9 pakicat kombetare. Paraqitet kerkese shtese per mallra dhe sherbime 2 milion leke me argumentin  se institucioni aktualisht e zhvillon aktivitetin e tij në godinën e ish-Ministrisë së Mjedisit, godine e cila është në proces gjyqësor për shkaqe pronësie. Për këtë arsye do lindi nevoja e transferimit të institucionit në ambjente me qera, ku do të shtohen kostot e qerasë, kostot e transportit, shpenzime për energji dhe ujë. kerkesa per shpenzime kapitale nuk sqarohet nese eshte kerkese mbi tavanin buxhetor.</t>
  </si>
  <si>
    <t>Paraqitetk kerkese shtese per ekzekutimin e vendimit gjyqesor per lirimin nga sherbimi civil, vendim qe eshte paraqitur ne mars 2023</t>
  </si>
  <si>
    <t>Paraqitet propozim i nje projekti te ri "Ndertimi I nje godine te re te Inspektoriatit Qendror dhe Inspektoriateve shteterore"</t>
  </si>
  <si>
    <t>Paraqitet kerkese vetem ne Formatin 3"Politikat e reja" per platformen "Per ty, per Shqiperine qe duam", por mungon relacioni shpjegues per te argumentuar kete kerkese. Nderkohe per shp.kapitale paraqitet kerkese per financimin Blerje pajisje zyre dhe elektronike</t>
  </si>
  <si>
    <t>Referuar relacioni shpjegues dhe formatit 3 "politikat e reja", nuk paraqet kerkesa shtese buxhetore, por ne relacion citon qe qe nevojat per investime jane me te larta por nuk sqaron sa konkretisht.</t>
  </si>
  <si>
    <t>Mangesi ne financim per fondin e pagave si rezultat e rritjes se pagave me VKM nr.665/2022 shtator.</t>
  </si>
  <si>
    <t>Nuk paraqet kerkesa shtese buxhetore.</t>
  </si>
  <si>
    <t>Nuk ka paraqitur PBA, ne kete faze strategjike</t>
  </si>
  <si>
    <t xml:space="preserve">Mangesi ne financim per fondin e pagave me argumentin qe ne vitin 2024 plotesohet e plote struktura organike duke perfshire dhe efektet financiare qe implikon miratimi VKM te rritjes se pagave per administrten ne shtator dhe prill per punonjesit mbeshtetes. Per shpenzimet operative paraqitet kerkese shtese (8 milion leke-602 per shkak se institucioni ne mars 2023 ka kaluar ne ambiente me qera dhe 3 milion leke-605 per pagesen e fee per anetaresimin e Shqiperise ne OECD). Per shpenzimet kapitale paraqitet per financimin e projekteve ekzituese ne kuader IPA II, gjithashtu paraqitet kerkese per financimin e projekteve ne kuader te IPA III (pasi ne fund te 2023 perfundon IPA II), nga te cilat 101.7 milion leke jane financim i huaj </t>
  </si>
  <si>
    <t>Propozohet te pakesohet fondi i planifikuar ne shpenzimet kapitale</t>
  </si>
  <si>
    <t>Per fondin e pagave paraqitet mangesi ne financim per strukturen aktuale por nuk argumentohet ne relacionin shpjegues. Per shpenzime operative për mirëmbjatjen e sistemeve elektonike, me argumentin që mirëmbajtja e sistemeve ekzistuese në fushën TIK është shumë e rëndësishme pasi këto sisteme janë një instrument kyç me një impakt të drejtpërdrejt në cilësisnë e shërbimeve ndaj qytetarit, biznesit dhe administratës në të gjithë territorin e RSH. Per shpenzimet kapitale paraqitet kerkese shtese prej 700 milion leke financim i huaj lidhur me Kredine e Bankes Boterore.</t>
  </si>
  <si>
    <t>Paraqitet mangesi ne financim ne fondin e pagave me argumentin qe që gjatë vitit 2023 në zbatim të VKM nr.223/2023, institucioni i janë shtuar 27 punonjës shtesë duke e cuar numrin total të institucionit në 73 punonjës nga 46 punonjës të miratur në zbatim të ligjit nr.48/2022. (citohet VKM “Për një shtesë në numrin e punonjësve organikë në njësitë e qeverisjes qendrore, për vitin 2023, dhe për një shtesë fondi në buxhetin e Autoritetit Shtetëror për Informacionin Gjeohapësinor”).</t>
  </si>
  <si>
    <t>Institucioni propozon rishikim të kategorive të pagës për strukturën aktuale, duke propozuar rritje të kategorisë për çdo pozicion me një nivel më lartë, me argumentin që në këtë mënyrë paralelizohet me dy institucionet e tjera pjesë e këtij programi, pasi aktualisht është kategorizuar në një nivel më ulët se këto institucione. propozohen per financim dhe projekte te reja ku prioriatrizohet (Ndërtimi i infrastrukturës për të mbështetur veprimtarinë e Drejtorisë së përpunimit të informacionit të Territorit me Teknologji të Avancuar”)</t>
  </si>
  <si>
    <t>Paraqitet kerkese shtese per fondin e pagave, por nuk argumentohet ne relacionin shpjegues</t>
  </si>
  <si>
    <t xml:space="preserve">Paraqitet kerkese shtese per finacimin e projekteve te reja lidhur me fushen e sigurise kibernetike </t>
  </si>
  <si>
    <t>Nuk ka paraqitur kerkesa shtese referuar Formatit 3 "Politikat e reja" per me teper nuk ka paraqitur dhe relacion shpjegues</t>
  </si>
  <si>
    <t>Paraqitet kerkese shtese per finnacimin e fondit te pagave per te mbuluar pagat e 4 punonjesve me kontrate te perkohshme. Shpenzime operative te nevojshme per abonimin 1 vjecar ne platformen Articulate 360 per e learning</t>
  </si>
  <si>
    <t>Në këtë fazë strategjike të hartimit të PBA 2024-2026, institucioni referuar relacionit shpjegues si dhe formatit 3 “Politikat e reja”, nuk ka paraqitur kërkesa shtesë.</t>
  </si>
  <si>
    <t xml:space="preserve">Paraqitet kerkese shtese me e larte per artikullin 604 prej rreth 60.8 milion leke (nga te cilat propozohet qe 50 mln te perballohet brenda tavaneve duke pakesuar investimet prej 50 mln leke dhe alokuar ne artikullin 604). Paraqitet kerkese shtese per investime prej 8.5 milion leke per Ngritja e bazë së të dhënave për organizatat rinore”, Ngritja e Platformës për të rinjtë dhe rininë” </t>
  </si>
  <si>
    <t>Paraqitet kërkesë shtesë në fondin e pagave me argumentin për financimin e politikës së re për të arritur objektivat e përcaktuara në Strategjinë Kombëtare për Rininë 2022-2029.</t>
  </si>
  <si>
    <t>Nuk ka paraqitur kerkesa shtese</t>
  </si>
  <si>
    <t>Kerkesat shtese ne shpenzime korrente lidhen me rritjen e numrit te punonjesve te aparatit te ministrise gjate viteve 2024-2026 si dhe me zbatimin e vendimeve gjyqesore ne proces dhe te tjera qe mund te shtohen</t>
  </si>
  <si>
    <t>Kerkesat shtese per shpenzime personeli lidhen me shtimin e numrit te punonjesve tek ISUV, AKVMB, AKU.
Kerkesa per fonde shtese ne shpenzimet operative lidhen kryesisht me procesin e akreditimit te tsteve laboratorike, kryerjen e analizave , per fondin e emergjences per kryerjen e vaksinave etj.
Nevoja per fonde shtese tek investimet kapitale te huaja lidhet me mbeshtetjen me pajisje laboratorike ISUV, pikat e inspektimit kufitar etj.</t>
  </si>
  <si>
    <t>27</t>
  </si>
  <si>
    <t>Kerkesat shtese ne shpenzime personeli lidhe me nevojen e plotesimit ne total te struktures se MBZHR me 27 punonjes shtese per te plotesuar detyrimet kombetare dhe nderkombetare ne sektorin e peshkimit.
Kerkesat per fonde shtese ne shpenzimet operative lidhet me vazhdimësinë e mbështetjes së sektorit të peshkimit nga skema kombëtare e mbështetjes si pjesë e politikave strukturore, si psh për mbështetjen e anijeve të peshkimit për riparimin e tyre, zëvendësimin e motorëve dhe investime në bordin e anijeve të peshkimit.</t>
  </si>
  <si>
    <t>Kerkesa per fonde shtese ne zerin e shpenzimeve kapitale te huaja mbetet e paargumentuar ne relacionin shoqerues.</t>
  </si>
  <si>
    <t>182</t>
  </si>
  <si>
    <t>Kerkohet shtese fondi per shpenzimet e personelit ne vleren 107 milion leke, kerkese e cila lidhet me nevojen per shtimin e stafit teknik te DUK-ve prej 182 punonjesisht mbeshtetes.
Kerkesa per fonde shte ne zerin e investimeve lidhen me rehabilitimin e skemes ujitese te Maqellares si dhe investime per  objektet e mbrojtjes nga gërryerja të tokave bujqësore dhe mbrojtjes nga përmbytja nga lumenjtë</t>
  </si>
  <si>
    <t>20</t>
  </si>
  <si>
    <t>Kerkesa per fonde shtese ne zerin e shpenzimeve operative lidhet kryesisht me nevojen e mbeshtetjes se skemes kombetare e cila propozohet te shtohet me 4.6 miliard leke dhe skemes se mbeshtetjes me nafte me 872 milion leke mbi tavanet e miratuara.
Kerkesa per fonde shtese ne zerin e shpenzimeve kapitale lidhet me nevojen për fonde per projektet e huaja që operojnë në fushën e bujqësisë dhe zhvillimit rural dhe konkretisht për programin IPARD pasi pritet disbursimi sipas marrëveshjeve përkatëse dhe planit të veprimit</t>
  </si>
  <si>
    <t xml:space="preserve">Kerkesa shtese per shpenzime korrente lidhet me financimin e aktivitetit te QTTB-ve dhe kryesisht për të mbuluar nevojat bazë të punës në drejtim të testimit, rigjenerimit të farërave dhe fidanëve si dhe kryerjes së testimeve/përshtatjes në fermë.
Kerkesa shtese per shpenzimet kapitale kerkohen për ushtrimin dhe realizimin e detyrave funksionale 5 QTTB-të dhe 4 AREB-et per pajisje laboratorike dhe kompjuterike, mjete dhe pajisje zyrash, rikonstruksion abjentesh etj, si dhe 37 mln leke kerkohen per likuidim detyrimesh kontraktuale për objektin e Investimit "Rikonstruksion godine dhe ndërtim stalle lopësh në QTTB Fushë Krujë".
</t>
  </si>
  <si>
    <t>Kerkesat shtese lidhen me zerin e shpenzime kapitale per vitin 2024 ne vleren 20 mln leke dhe lidhen me per pajisle laboratorike dhe kompjuterike pasi pajisjet ekzistuese jane amortizuar.</t>
  </si>
  <si>
    <t xml:space="preserve">Kerkesat per fonde shtese ne shpenzimet e personelit lidhen me vendimin nr. 242, datë 20.4.2023 për disa ndryshime në Vendimin nr. 234, datë 20.4.2022, të Këshillit të Ministrave, “Për pagat e punonjësve mbështetës dhe punonjësve të tjerë të specialiteteve të ndryshme në disa institucione të administratës publike”, të ndryshuar.
Kerkesa per shpenzime operative lidhet me vendimet gjyqesore qe ne total jane 405 mln leke.
</t>
  </si>
  <si>
    <t>2,600</t>
  </si>
  <si>
    <t>Kerkesa per fonde shtese ne zerin e shpenzimeve kapitale eshte ne vleren 2.6 milion lekesh por mbetet e pa argumentuar kjo kerkese ne relacion</t>
  </si>
  <si>
    <t>14</t>
  </si>
  <si>
    <t>Kerkesat per fonde shtese ne shpenzimet e personelit lidhen me vendimin nr. 242, date 20.04.2023 dhe paraqiten ne vleren 26 mln leke.
Kerkesa per fonde shtese ne zerin e shpenzimeve operative lidhet me sigurimin me roje te monumenteve si dhe aktivitete te tjera te parashikuara per tu zhvilluar gjate tre viteve.
Kerkesa per fonde shtese ne zerin e shpenzimeve kapitale lidhet me shpronesimin e Amfiteatrit Durres, TVSH per projektet IPA "SMART-CUL-TOUR DRTK Korce" , • TVSH për Projekt “Qytetit nëntokësor të Kukësit” si dhe 17 Projekte që kërkojnë financim për ndërhyrje emergjente restauruese konsoliduese në objekte monumente kulture të kategorisë së I-rë të cilët rrezikojnë të zhduken me vlerën totale prej 148 mln leke.</t>
  </si>
  <si>
    <t xml:space="preserve">Kerkesa per fonde shtese ne zerin e shpenzimeve te personelit lidhen me efektin ne paga dhe sigurime per 7 punonjesit ne drejtorinë Rajonale në Konservim dhe Restaurim si dhe 7 punonjesit ne institucionin e ri te Muzeut te Arsimit, Korçë. </t>
  </si>
  <si>
    <t>Kerkesa per fonde shtese ne shpenzimet e personelit ne vleren 12 mln leke lidhet me vendimin nr. 242, datë 20.4.2023 për disa ndryshime në Vendimin nr. 234, datë 20.4.2022, të Këshillit të Ministrave, “Për pagat e punonjësve mbështetës dhe punonjësve të tjerë të specialiteteve të ndryshme në disa institucione të administratës publike”, të ndryshuar.
Kerkesa per fonde shtese ne shpenzimet operative paraqiten ne vleren 250 mln leke dhe lidhen me vendime gjyqesore mes CirkutKombetar dhe kreditorit "Shoqeria UFO sh.p.k", me shpenzimet per roje si dhe per aktivitete te ndryshme te tjera.
Kerkesa per fonde shtese ne zerin e shpenzimeve kapitale ne vleren 50.6 mln leke lidhet me blerjen e pajisjeve per TKOB si dhe 2 marreveshjeve me qeverine japoneze dhe kineze.</t>
  </si>
  <si>
    <t>3,800</t>
  </si>
  <si>
    <r>
      <rPr>
        <b/>
        <sz val="10"/>
        <rFont val="Arial"/>
        <family val="2"/>
      </rPr>
      <t xml:space="preserve">Kërkesat shtesë në këtë program për shpenzimet korrente lidhen me ngritjen e qendrës "Shtëpia e Arbëreshëve", e cila është konceptuar të ndërtohet me tre faza. Për ngritjen e kësaj qendre kërkohen shpenzime korrente mbi tavanet në vlerën 3.8 milion lekë për çdo vit.
Shpenzimet për investime lidhen me "Krijimin e bibliotekës", e cila do të jetë në shërbim të studiuesve shqiptar,studentëve, nxënësve etj. Për krijimin e saj nevojiten shpenzime për investime mbi tavanet në vlerat 3 milion lekë për vitin 2024, 2 milion lekë për vitin 2025 dhe 1.5 milion lekë për vitin 2026.
</t>
    </r>
    <r>
      <rPr>
        <b/>
        <sz val="12"/>
        <rFont val="Arial"/>
        <family val="2"/>
      </rPr>
      <t xml:space="preserve">
</t>
    </r>
  </si>
  <si>
    <t>13</t>
  </si>
  <si>
    <t xml:space="preserve">Kerkesa per fonde shtese ne shpenzimet e personelit paraqiten ne vleren 289 milion leke dhe lidhen me aktivitete te reja statistikore, zhvillimin e CENS-it te Bujqesise 2024, nderkohe kerkesa per fonde shtese ne zerin e shpenzimeve operative paraqitet ne vleren 81 milion leke, gjithashtu kjo kerkese nuk shpjegohet qartesisht ne relacion.
Kerkesa per fonde shtese per shpenzime kapitale eshte ne vleren 500 mije leke dhe lidhur me kete kerkese nga institucioni duhen dhene me teper detaje ne menyre qe te justifikohet fondi i kerkuar.
</t>
  </si>
  <si>
    <t>12</t>
  </si>
  <si>
    <t>3</t>
  </si>
  <si>
    <t>Kerkesa per fonde shtese ne zerin e shpenzimeve te personeli lidhet me kerkesen per te shtuar nje sektor me vete ne varesi te Drejtorise se Studimeve me 3 punonjes per ofrimin e një edukimi cilësor mbi historinë e komunizmit në Shqipëri.
Kerkesa per fonde shtese ne zerin e shpenzimeve operative paraqitet ne vleren 3 mln leke dhe lidhet me platformen e komunizmit ne shkolla per shpenzime honorare, per hartimin e teksteve, per pergatitjen e paketes didaktike, per transport, ristrukturimi dhe digjitalizimi i te gjitha vellimeve te Fjalorit Enciklopedik te Viktimave etj.</t>
  </si>
  <si>
    <t>Kerkesa per fonde shtese ne zerin e shpenzimeve te personelit lidhet me shtimin ne strukture te 8 punonjesve shtese si dhe numri I punonjesve me kontrate eshte rritur nga 5 ne 20.
Kerkesa per fonde shtese ne zerin e shpenzimeve operative lidhet me mbulimin me fonde të të gjitha aktiviteteve si dhe projekteve që janë hartuar në bashkëpunim me ekspertizën më të mirë ndërkombëtare, mbulimin e shpenzimeve për identifikimin dhe rikuperimin e personave të zhdukur.
Kerkesa per fonde shtese ne zerin e shpenzimeve kapitale lidhet me blerjen e pajisjeve kompjuterike, plotesimi me orendi dhe mobilje, blerja e pompes se sistemit te Mbrojtjes Kunder Zjarrit etj</t>
  </si>
  <si>
    <t>62,446</t>
  </si>
  <si>
    <t>57,704</t>
  </si>
  <si>
    <t xml:space="preserve">Kosot financiare per shpenzime personeli nga 86 punonjës janë 93 punonjës+ punonjesit me kontrate. Operativet jane per eksperte te huaj, aktivitete nderkombetare dhe pjesemarrje ne takime. </t>
  </si>
  <si>
    <t xml:space="preserve">• 400 milonë lekë-për ndërtimin e një godine të re e cila do të shërbeje përs tafin administrativ (eskpozitë, bibliotekë).
• 16.5 milionë lekë-llogaritja e vlerave të prokurimit sipas fazave për ndërtimin e godinës.
• 480 milionë lekë-rikonstruksion i godinës ekzistuee.
• 19 milionë lekë-llogaritja e vlerave të prokurimit sipas fazave për rikonstuksionin.
• 50 milionë lekë-rikonstruksion i infrastrukturës së rrjetit kompjuterik dhe dhomës së serverave duke qenë se janë vjetëruar.
• 45 milionë lekë-për blerje automjetesh. 
</t>
  </si>
  <si>
    <t>për krijimin e një strukture të re “Shërbimi i digjitalizimit të ligjeve”
për Institutin parlamentar, një strukturë e rë e cila ka si qëllim mundësimin e një Parlamenti të hapur nëpërmjet aktivitete edukuese
Projekte te ndryshme te reja investime per nevoja te godinave te Parlamentit</t>
  </si>
  <si>
    <t>Mangesi ne financim ne paga per shkak te rritje se numrit te punonjesve ne strukture nga 195 ne 203. Nje pjese e efektit eshte per punonjesit me kontrate sherbimi.</t>
  </si>
  <si>
    <t xml:space="preserve">Me fondet aktuale RTSH nuk arrin të mbulojë të gjitha aktivitetet mbarëkombëtare, për sa më sipër këkrohet shtesë fondi me 27 milionë lekë.
• Për programin “Orkestra simfonike e RTSH dhe Kinematografisë”, kërkesa për fonde shtesë në vlerën 17.8 milionë lekë vjen pasi edhe në dy vitet e fundit fondi për paga është përballuar nga të ardhurat e RTSH
• Për programin “Projekte teknike për futjen e teknologjive të reja” kërkesa për fonde shtesë në vlerën 492.3 milionë lekë  lidhet me mbështjetjen e teknologjisë së re DVB-S2, rinovim regjive TV, rinovim i ateliesë në ambientet e ish-kinostudios, blerje regji lëvizëse, rinovim i sistemit të transmetimit FM, blerje pajisje transmetimi studio TV për kanalin RTSH 24.
• Për programin “Shërbimet për shqiptarët jashtë kufirit”, kërkohen fonde shtesë në vlerën 39 milionë lekë për vijueshmërinë e transmetimit jashtë kufijve.
</t>
  </si>
  <si>
    <t>• Kërkesa e paraqitur për shtesë fondesh lidhet me dixhitalizmin e fondeve audio dhe video të para viteve 1990, proces i cili ka nisur dhe në vitin 2023 e për të cilin janë akorduar 10 milionë lekë. Kjo kërkesë vjen edhe për periudhën 2024-2026 në mënyrë që procesi i dixhitalizmit të përfundojë.</t>
  </si>
  <si>
    <t>Mangesi ne financim per paga per shkak te rritje se numrit ne 2023 dhe jo alokimit te fondit respektiv ne paga
(1) rritje me rreth 5,000 mijë lekë, si kosto administrative për mbulimin e aktiviteteve të shtuara në veprimtarinë e Zyrës 
(2) shtesë rreth 10.000 në mijë lekë, si rezultat i miratimit të ndryshimeve të reja ligjore, ku do të ndërrmerret një fushatë e gjerë ndërgjegjësuese në të gjithë territorin e vendit 
(3) shtesë në vlerën 5,000 mijë lekë për mirëmbajtjen e databazave shtetërore
(4) Blerje pajisjes zyrash, kompjuterash etj.</t>
  </si>
  <si>
    <t xml:space="preserve">22 mln lek kërkohet mbulimi financiar i Organizimit të edicionit të 15-të të Konferencës Ndërkombëtare të Komisionerëve të Informimit (ICIC) në vitin 2024. 
(1) Krijimi, zhvillimi, administrimi dhe monitorimi i Regjistrit elektronik të thirrjeve të pakërkuara”, në vlerën 11,000 mijë lekë i cili do të administrohet nga Zyra e Komisionerit
2) “Dixhitalizimi i Programit të Transparencës”, i cili parashikohet të jetë në vleren 3,500 mijë lekë, pa përfshirë edhe koston e mirëmbajtjes së tij, shërbim i cili do të financohet nga shpenzimet operative të një viti më pas. Platforma parashikohet të financohet me fondet e vitit 2024. </t>
  </si>
  <si>
    <t>2</t>
  </si>
  <si>
    <t>• Duke patur parasysh përfshirjen e Komisionerit për Mbrojtjen nga Diskriminimi në një sërë veprimtarish që lidhen me detyrat e tij funksionale të parashikuara në ligjin përkatës si dhe në një kompleks aktesh ndërkombëtare të ratifikuara nga Republika e Shqipërisë dhe kombëtare, kërkojnë një specialist në Drejtorinë Juridike dhe një specialist te Drejtoria e Monitorimit, Raportimit dhe Komunikimit.</t>
  </si>
  <si>
    <t>150 mln leke shtese per projektin "Pyllezimi"</t>
  </si>
  <si>
    <t>Per blerjen e 3 stacioneve te reja per monitorimin e cilesise se ajrit dhe per krijimin e nje databaze per regjistrimin e ndotesve te ajrit.</t>
  </si>
  <si>
    <t>500 tvsh e projektit JICA dhe 5000 per blerje fidanesh</t>
  </si>
  <si>
    <t>300 mln Pastrimi I Bregdetit per 11 Bashki
150 mln shtese per aktivitete ne kuader te realizimit te kalendarit turistik
7.350 mln leke shlyerje vendimi gjyqesor</t>
  </si>
  <si>
    <t>Pjesemarrja ne Panairin e Berlinit, per promovimin e Turizmit
20 mln per restaruimin e qendres se vizitoreve SAZAN dhe per 5 mln per piken e infopointit.</t>
  </si>
  <si>
    <t>1.5 mld leke mangesi ne financim ne shpenzimet e personelit;
200 mln leke per shpenzime transporti;
100 mln per rimbursimin e shpenzimeve te teksteve shkollore;
100 mln per trajnim mesuesish;
200 mln leke per programin "Arti dheZejet";
700 mln leke per PPP e shkollave me Bashkine Tirane</t>
  </si>
  <si>
    <t>300 mln leke per mangesi ne financim ne paga dhe sigurime shoqerore</t>
  </si>
  <si>
    <t>200 mln leke mbeshtetje per federatat sportive</t>
  </si>
  <si>
    <t>500 mln leke per ngritjen e infrastruktures akademike kerkimore shkencore</t>
  </si>
  <si>
    <t xml:space="preserve">400 mln leke per nderkombetarizimin e Arsimit te Larte
50 mln leke per pagesen ne Programin Europian Horizon;
100 mln leke per programin e bashkepunimit me Universitetet private
</t>
  </si>
  <si>
    <t>Ne shpenzimet e personelit eshte llogaritur efekti financiar shtese qe rrjedh nga rritja e pagave per vitin 2023 me rreth 20%</t>
  </si>
  <si>
    <t>Ne shpenzimet e personelit eshte llogaritur efekti financiar shtese qe rrjedh nga rritja e pagave per vitin 2023 me rreth 20%
Ne shpenzimet korrente, kerkesa eshte per mbulimin e operacioneve ortopedike dhe neurokirurgjikale per te siguruar furnizimin e vazhdueshem te SUT me barna dhe materiale mjekimi.</t>
  </si>
  <si>
    <t>Ne shpenzimet e personelit eshte llogaritur efekti financiar shtese qe rrjedh nga rritja e pagave per vitin 2023 me rreth 20%
Shpenzimet operative shtese per arrtijen e angazhimeve shtese nga NATO
Kerkesat per investime jane per Modernizimin e FA dhe blerje pajisjesh kritike per plotesimin e objektivave te kapaciteteve.</t>
  </si>
  <si>
    <t>Kerkesa rezulton e Pargumentuar</t>
  </si>
  <si>
    <t>Kerkesa shtese ne shpenzimet kapitale lidhur kryesisht me fondin e shpronsimeve me rreth 3 miliarde leke. Theksohet qe kerkesa shtese per kete qellim, nuk eshte paraqitur tek (Relacioni I ardhur zyrtarisht) por elektronikisht por eshte pasqyruar si kerkese edhe ne sistemin AFMIS</t>
  </si>
  <si>
    <t xml:space="preserve">Kerkesa shtese lidhet me nevojat për eksperizë të fushës së ligjeve të veçanta, vënia në funksion dhe përmbushja e planeve të veprimit të strategjive të miratuara, nevoja për ekspertizë të një standardi më të lartë për detyrimet ndaj BE </t>
  </si>
  <si>
    <t>FONDI SHQIPTAR I ZHVILLIMIT</t>
  </si>
  <si>
    <t>Menaxhimi i te Ardhurave Doganore</t>
  </si>
  <si>
    <t>Lufta kundër Transaksioneve Finaciare Jo-Ligjore</t>
  </si>
  <si>
    <t>Arsimi Profesional</t>
  </si>
  <si>
    <t>Mbeshtetje per Zhvillim Ekonomik</t>
  </si>
  <si>
    <t>Mbeshtetje per Mbikeqyrjen e Tregut, Infras. E Cilesise dhe Pron.Industriale</t>
  </si>
  <si>
    <t>350,610</t>
  </si>
  <si>
    <t>0</t>
  </si>
  <si>
    <t>Nderkohe per shpenzimet kapitale nuk paraqiten kerkesa shtese por propozohen ri-alokime te fondeve midis programeve buxhetore</t>
  </si>
  <si>
    <t>Kerkesa shtese per fondin e pagave paraqitet si mangesi ne financim si rezultat e rritjes se pagave ne prill (Per kete qellim paraqitet kerkesa per fondin e pagave dhe rritjen e transfertes per FSDKSH)</t>
  </si>
  <si>
    <t>Rialokim  vlerës 80 milion lekë nga llogaria 606 në llogarinë 604 pasi fondi që do tu akordohet Ndërmarrjeve Sociale nuk mund të kalojë as nëpërmjet bashkive as nëpërmjet qarqeve. Por kjo kerkese kerkon ndryshim ne parashikimet makro</t>
  </si>
  <si>
    <t>Kerkesat shtese ne zerin e shpenzimeve kapitale lidhen me financimin e brendshem, por ne relacion nuk argumentohen keto kerkesa. Kerkesa shtese per kete program  për vitin 2024 sipas relacionit eshte 1.8 mld lekë  ne zerin e shpenzimeve kapitale ( FB - 1,337 milion leke dhe FH - 520 milion leke) . FB - KERKOHET : ISUV - 653 milion leke, per Pajisje laboratorike, AKVMB -166 milion leke per Blerje automjetesh dhe Ndertim Godine dhe Rikonstruksion AKU - 518 milion leke ku ne relacion nuk eshte shpjeguar saktesisht se per cfare do jet, jane shprehur vetem qe ky fond eshte per zerin Investime te brendshme.  FH - KERKOHET -520 milion leke shprehen se nevojitet per projektin " Rritja e perputhshmerise me standardet e sigurise dhe cilesis se ushqimit)</t>
  </si>
  <si>
    <t xml:space="preserve">Kerkesa shtese prej 16 miliard lekesh lidhet me kerkesat e bashkive per rehabilitimin, operimin dhe monitorimin e digave te cilat rezultojne me problematika te ndryshme teknike dhe nderhyrjet duhet te jene imediate pasi theksi mbetet tek siguria e tyre. Shtesa per kete program per shpenzime kapitale per vitin 2024 eshte 16.5 mld leke e gjitha ne FB. Fondi 16 mld leke ne zerin shpenzime kapitale  ne relacion kerkohet nga MBZHR ti alokohet si investim direkt bashkive ne buxhetin vjetor. Fondi  500 milion lekë sipas relacionit kerkohet i ndare 200 milion leke per objektet e e rinj te ujitjes - Si prioritet sipas relacionit  parashikojne investimin ne rehabilitimin e Skemes ujitese te Maqellares) dhe 300 milion leke per objektet e rinj te mbrojtjes nga permbytja. </t>
  </si>
  <si>
    <t>Per shpenzimet e personelit eshte paraqitur kerkesa per fonde shtese per 20 punonjes ne vleren 56 milion leke, por ne relacion nuk gjejme te argumentuar kete kerkese.
Shtesa per kete program per shpenzime kapitale PER VITIN 2024 eshte 1.4 mld leke, FB -618 milion leke dhe ne FH - 807 milion leke, ku ne relacion argumentohet se ky fond nevojitet per Kosto bashke financimi per programin IPARD dhe Financimi i projekteve te huaja Food4Health she IPARD dhe " Promovimi i zinxhireve te Vlerave Smart dhe elastike te Klimes " (Kredi)</t>
  </si>
  <si>
    <r>
      <t xml:space="preserve">Paraqitet kerkese shtese per ( Te paraqitura ne AFMIS sipas viteve, pasi ne relacion nuk qartesohen si kerkesa shtese te ndara)                                                                                      1.	Ujësjellësa Urbane	      
2.	Ujësjellësa Rural                                                       3.	Kanalizime Urbane	
4.	Kanalizime Rurale	   
5.	Impiante Urbane 
</t>
    </r>
    <r>
      <rPr>
        <b/>
        <sz val="12"/>
        <color rgb="FFFF0000"/>
        <rFont val="Arial"/>
        <family val="2"/>
      </rPr>
      <t>Kerkesa per zerin shpenzime kapitale per projektet e reja sipas relacionit eshte 44,127,789,765 leke.</t>
    </r>
    <r>
      <rPr>
        <sz val="12"/>
        <rFont val="Arial"/>
        <family val="2"/>
      </rPr>
      <t xml:space="preserve">                </t>
    </r>
  </si>
  <si>
    <t>Programi "100 Fshatrat"</t>
  </si>
  <si>
    <t>Programe Zhvillimi</t>
  </si>
  <si>
    <t>Infrastruktura Vendore dhe Rajonale</t>
  </si>
  <si>
    <t>Ne shpenzimet kapitale, shtesat per periudhen 2024-2026 jane te nevojshme per financimin e projekteve ne vazhdim, bashkefinancimin, TVSH dhe Programin Operacional ( ne vleren 10,179 milion leke), ndersa ne financim te huaj kerkohet shtese ne vleren 14,291 milion leke.</t>
  </si>
  <si>
    <t>Kostot e Politikave</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</si>
</sst>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L_e_k_-;\-* #,##0.00_L_e_k_-;_-* &quot;-&quot;??_L_e_k_-;_-@_-"/>
    <numFmt numFmtId="165" formatCode="00000"/>
    <numFmt numFmtId="166" formatCode="000"/>
    <numFmt numFmtId="167" formatCode="#,##0.0"/>
    <numFmt numFmtId="168" formatCode="mmmm\ d\,\ yyyy"/>
    <numFmt numFmtId="169" formatCode="_(* #,##0_);_(* \(#,##0\);_(* &quot;-&quot;??_);_(@_)"/>
    <numFmt numFmtId="170" formatCode="&quot;   &quot;@"/>
    <numFmt numFmtId="171" formatCode="&quot;      &quot;@"/>
    <numFmt numFmtId="172" formatCode="&quot;         &quot;@"/>
    <numFmt numFmtId="173" formatCode="&quot;            &quot;@"/>
    <numFmt numFmtId="174" formatCode="&quot;               &quot;@"/>
    <numFmt numFmtId="175" formatCode="#,##0.000"/>
    <numFmt numFmtId="176" formatCode="_([$€]* #,##0.00_);_([$€]* \(#,##0.00\);_([$€]* &quot;-&quot;??_);_(@_)"/>
    <numFmt numFmtId="177" formatCode="0.0%"/>
    <numFmt numFmtId="178" formatCode="#,##0\ &quot;Kč&quot;;\-#,##0\ &quot;Kč&quot;"/>
    <numFmt numFmtId="179" formatCode="_-* #,##0_-;\-* #,##0_-;_-* &quot;-&quot;_-;_-@_-"/>
    <numFmt numFmtId="180" formatCode="_-* #,##0.00_-;\-* #,##0.00_-;_-* &quot;-&quot;??_-;_-@_-"/>
    <numFmt numFmtId="181" formatCode="_-&quot;¢&quot;* #,##0_-;\-&quot;¢&quot;* #,##0_-;_-&quot;¢&quot;* &quot;-&quot;_-;_-@_-"/>
    <numFmt numFmtId="182" formatCode="_-&quot;¢&quot;* #,##0.00_-;\-&quot;¢&quot;* #,##0.00_-;_-&quot;¢&quot;* &quot;-&quot;??_-;_-@_-"/>
    <numFmt numFmtId="183" formatCode="[&gt;=0.05]#,##0.0;[&lt;=-0.05]\-#,##0.0;?0.0"/>
    <numFmt numFmtId="184" formatCode="[Black]#,##0.0;[Black]\-#,##0.0;;"/>
    <numFmt numFmtId="185" formatCode="[Black][&gt;0.05]#,##0.0;[Black][&lt;-0.05]\-#,##0.0;;"/>
    <numFmt numFmtId="186" formatCode="[Black][&gt;0.5]#,##0;[Black][&lt;-0.5]\-#,##0;;"/>
    <numFmt numFmtId="187" formatCode="#,##0.0____"/>
    <numFmt numFmtId="188" formatCode="General\ \ \ \ \ \ "/>
    <numFmt numFmtId="189" formatCode="0.0\ \ \ \ \ \ \ \ "/>
    <numFmt numFmtId="190" formatCode="mmmm\ yyyy"/>
    <numFmt numFmtId="191" formatCode="0.0"/>
    <numFmt numFmtId="192" formatCode="\$#,##0.00\ ;\(\$#,##0.00\)"/>
  </numFmts>
  <fonts count="68">
    <font>
      <sz val="11"/>
      <color theme="1"/>
      <name val="Calibri"/>
      <family val="2"/>
      <charset val="238"/>
      <scheme val="minor"/>
    </font>
    <font>
      <sz val="11"/>
      <color theme="1"/>
      <name val="Calibri"/>
      <family val="2"/>
      <scheme val="minor"/>
    </font>
    <font>
      <sz val="11"/>
      <color theme="1"/>
      <name val="Calibri"/>
      <family val="2"/>
      <charset val="238"/>
      <scheme val="minor"/>
    </font>
    <font>
      <b/>
      <sz val="11"/>
      <color theme="1"/>
      <name val="Calibri"/>
      <family val="2"/>
      <charset val="238"/>
      <scheme val="minor"/>
    </font>
    <font>
      <sz val="10"/>
      <name val="Arial"/>
      <family val="2"/>
    </font>
    <font>
      <b/>
      <sz val="12"/>
      <color theme="1"/>
      <name val="Calibri"/>
      <family val="2"/>
      <scheme val="minor"/>
    </font>
    <font>
      <i/>
      <sz val="12"/>
      <color theme="1"/>
      <name val="Calibri"/>
      <family val="2"/>
      <scheme val="minor"/>
    </font>
    <font>
      <b/>
      <sz val="12"/>
      <name val="Arial"/>
      <family val="2"/>
      <charset val="238"/>
    </font>
    <font>
      <sz val="10"/>
      <name val="Arial"/>
      <family val="2"/>
      <charset val="238"/>
    </font>
    <font>
      <sz val="12"/>
      <name val="Arial"/>
      <family val="2"/>
    </font>
    <font>
      <b/>
      <sz val="12"/>
      <name val="Arial"/>
      <family val="2"/>
    </font>
    <font>
      <b/>
      <sz val="12"/>
      <color rgb="FFFF0000"/>
      <name val="Arial"/>
      <family val="2"/>
      <charset val="238"/>
    </font>
    <font>
      <sz val="12"/>
      <color theme="1"/>
      <name val="Calibri"/>
      <family val="2"/>
      <charset val="238"/>
    </font>
    <font>
      <b/>
      <sz val="12"/>
      <color rgb="FFFF0000"/>
      <name val="Arial"/>
      <family val="2"/>
    </font>
    <font>
      <sz val="12"/>
      <color theme="1"/>
      <name val="Calibri"/>
      <family val="2"/>
      <charset val="238"/>
      <scheme val="minor"/>
    </font>
    <font>
      <b/>
      <sz val="16"/>
      <color theme="1"/>
      <name val="Calibri"/>
      <family val="2"/>
      <scheme val="minor"/>
    </font>
    <font>
      <b/>
      <sz val="16"/>
      <name val="Arial"/>
      <family val="2"/>
    </font>
    <font>
      <b/>
      <sz val="18"/>
      <color theme="1"/>
      <name val="Calibri"/>
      <family val="2"/>
      <scheme val="minor"/>
    </font>
    <font>
      <sz val="11"/>
      <color theme="1"/>
      <name val="Calibri"/>
      <family val="2"/>
      <scheme val="minor"/>
    </font>
    <font>
      <b/>
      <sz val="18"/>
      <name val="Arial"/>
      <family val="2"/>
    </font>
    <font>
      <sz val="12"/>
      <color theme="1"/>
      <name val="Calibri"/>
      <family val="2"/>
      <scheme val="minor"/>
    </font>
    <font>
      <sz val="10"/>
      <color indexed="8"/>
      <name val="Arial"/>
      <family val="2"/>
    </font>
    <font>
      <sz val="12"/>
      <name val="Arial"/>
      <family val="2"/>
      <charset val="238"/>
    </font>
    <font>
      <b/>
      <sz val="12"/>
      <color theme="1"/>
      <name val="Calibri"/>
      <family val="2"/>
      <charset val="238"/>
    </font>
    <font>
      <sz val="12"/>
      <color rgb="FFFF0000"/>
      <name val="Arial"/>
      <family val="2"/>
      <charset val="238"/>
    </font>
    <font>
      <sz val="12"/>
      <color rgb="FFFF0000"/>
      <name val="Arial"/>
      <family val="2"/>
    </font>
    <font>
      <sz val="12"/>
      <name val="Times New Roman"/>
      <family val="1"/>
    </font>
    <font>
      <b/>
      <sz val="12"/>
      <name val="Times New Roman"/>
      <family val="1"/>
    </font>
    <font>
      <sz val="12"/>
      <color theme="1"/>
      <name val="Arial"/>
      <family val="2"/>
    </font>
    <font>
      <b/>
      <sz val="12"/>
      <color theme="1"/>
      <name val="Arial"/>
      <family val="2"/>
    </font>
    <font>
      <b/>
      <sz val="10"/>
      <name val="Arial"/>
      <family val="2"/>
    </font>
    <font>
      <b/>
      <sz val="16"/>
      <color theme="1"/>
      <name val="Calibri"/>
      <family val="2"/>
      <charset val="238"/>
      <scheme val="minor"/>
    </font>
    <font>
      <sz val="11"/>
      <name val="Arial"/>
      <family val="2"/>
      <charset val="238"/>
    </font>
    <font>
      <sz val="16"/>
      <color theme="1"/>
      <name val="Calibri"/>
      <family val="2"/>
      <charset val="238"/>
      <scheme val="minor"/>
    </font>
    <font>
      <sz val="18"/>
      <color theme="1"/>
      <name val="Calibri"/>
      <family val="2"/>
      <charset val="238"/>
      <scheme val="minor"/>
    </font>
    <font>
      <sz val="10"/>
      <name val="Arial"/>
      <family val="2"/>
    </font>
    <font>
      <sz val="9"/>
      <name val="Times New Roman"/>
      <family val="1"/>
    </font>
    <font>
      <b/>
      <sz val="10"/>
      <name val="Times New Roman"/>
      <family val="1"/>
    </font>
    <font>
      <sz val="10"/>
      <name val="Times New Roman"/>
      <family val="1"/>
    </font>
    <font>
      <sz val="9"/>
      <color indexed="8"/>
      <name val="Times New Roman"/>
      <family val="1"/>
    </font>
    <font>
      <sz val="8"/>
      <name val="Arial"/>
      <family val="2"/>
    </font>
    <font>
      <sz val="10"/>
      <name val="Arial CE"/>
      <charset val="238"/>
    </font>
    <font>
      <sz val="12"/>
      <name val="TIMES"/>
    </font>
    <font>
      <sz val="9"/>
      <name val="Times"/>
    </font>
    <font>
      <u/>
      <sz val="10"/>
      <color indexed="12"/>
      <name val="Arial"/>
      <family val="2"/>
    </font>
    <font>
      <sz val="10"/>
      <name val="CTimesRoman"/>
    </font>
    <font>
      <sz val="10"/>
      <name val="Tms Rmn"/>
    </font>
    <font>
      <sz val="12"/>
      <name val="Tms Rmn"/>
    </font>
    <font>
      <b/>
      <sz val="10"/>
      <name val="Tms Rmn"/>
    </font>
    <font>
      <b/>
      <i/>
      <sz val="10"/>
      <name val="Times New Roman"/>
      <family val="1"/>
    </font>
    <font>
      <vertAlign val="superscript"/>
      <sz val="9"/>
      <color indexed="8"/>
      <name val="Times New Roman"/>
      <family val="1"/>
    </font>
    <font>
      <b/>
      <sz val="18"/>
      <name val="Arial CE"/>
      <charset val="238"/>
    </font>
    <font>
      <b/>
      <sz val="12"/>
      <name val="Arial CE"/>
      <charset val="238"/>
    </font>
    <font>
      <sz val="12"/>
      <color indexed="24"/>
      <name val="Modern"/>
      <family val="3"/>
      <charset val="255"/>
    </font>
    <font>
      <b/>
      <sz val="18"/>
      <color indexed="24"/>
      <name val="Modern"/>
      <family val="3"/>
      <charset val="255"/>
    </font>
    <font>
      <b/>
      <sz val="12"/>
      <color indexed="24"/>
      <name val="Modern"/>
      <family val="3"/>
      <charset val="255"/>
    </font>
    <font>
      <sz val="11"/>
      <color rgb="FF000000"/>
      <name val="Calibri"/>
      <family val="2"/>
    </font>
    <font>
      <sz val="11"/>
      <color indexed="8"/>
      <name val="Calibri"/>
      <family val="2"/>
    </font>
    <font>
      <b/>
      <sz val="13"/>
      <name val="Arial"/>
      <family val="2"/>
    </font>
    <font>
      <sz val="13"/>
      <name val="Arial"/>
      <family val="2"/>
    </font>
    <font>
      <sz val="12"/>
      <color theme="1"/>
      <name val="Times New Roman"/>
      <family val="1"/>
    </font>
    <font>
      <b/>
      <sz val="14"/>
      <color theme="1"/>
      <name val="Calibri"/>
      <family val="2"/>
      <charset val="238"/>
      <scheme val="minor"/>
    </font>
    <font>
      <b/>
      <sz val="11"/>
      <name val="Calibri"/>
      <family val="2"/>
      <charset val="238"/>
      <scheme val="minor"/>
    </font>
    <font>
      <sz val="12"/>
      <name val="Calibri"/>
      <family val="2"/>
      <charset val="238"/>
    </font>
    <font>
      <sz val="11"/>
      <name val="Arial"/>
      <family val="2"/>
    </font>
    <font>
      <b/>
      <sz val="12"/>
      <name val="Calibri"/>
      <family val="2"/>
      <charset val="238"/>
      <scheme val="minor"/>
    </font>
    <font>
      <sz val="11"/>
      <color rgb="FF000000"/>
      <name val="Calibri"/>
      <family val="2"/>
      <scheme val="minor"/>
    </font>
    <font>
      <b/>
      <i/>
      <sz val="14"/>
      <color theme="1"/>
      <name val="Calibri"/>
      <family val="2"/>
      <scheme val="minor"/>
    </font>
  </fonts>
  <fills count="23">
    <fill>
      <patternFill patternType="none"/>
    </fill>
    <fill>
      <patternFill patternType="gray125"/>
    </fill>
    <fill>
      <patternFill patternType="solid">
        <fgColor theme="2" tint="-0.249977111117893"/>
        <bgColor rgb="FF000000"/>
      </patternFill>
    </fill>
    <fill>
      <patternFill patternType="solid">
        <fgColor rgb="FFFFFFFF"/>
        <bgColor rgb="FF000000"/>
      </patternFill>
    </fill>
    <fill>
      <patternFill patternType="solid">
        <fgColor theme="2" tint="-0.249977111117893"/>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bgColor rgb="FF000000"/>
      </patternFill>
    </fill>
    <fill>
      <patternFill patternType="solid">
        <fgColor theme="8" tint="0.79998168889431442"/>
        <bgColor indexed="65"/>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
      <patternFill patternType="solid">
        <fgColor theme="0" tint="-0.14999847407452621"/>
        <bgColor rgb="FF000000"/>
      </patternFill>
    </fill>
  </fills>
  <borders count="10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bottom/>
      <diagonal/>
    </border>
    <border>
      <left/>
      <right/>
      <top/>
      <bottom style="dotted">
        <color indexed="64"/>
      </bottom>
      <diagonal/>
    </border>
    <border>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right/>
      <top/>
      <bottom style="medium">
        <color indexed="64"/>
      </bottom>
      <diagonal/>
    </border>
    <border>
      <left style="medium">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diagonal/>
    </border>
    <border>
      <left/>
      <right/>
      <top style="double">
        <color indexed="64"/>
      </top>
      <bottom/>
      <diagonal/>
    </border>
    <border>
      <left style="medium">
        <color indexed="64"/>
      </left>
      <right style="dotted">
        <color indexed="64"/>
      </right>
      <top/>
      <bottom/>
      <diagonal/>
    </border>
    <border>
      <left style="medium">
        <color indexed="64"/>
      </left>
      <right style="dotted">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medium">
        <color indexed="64"/>
      </left>
      <right/>
      <top style="dott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right/>
      <top style="double">
        <color indexed="8"/>
      </top>
      <bottom/>
      <diagonal/>
    </border>
    <border>
      <left/>
      <right/>
      <top/>
      <bottom style="thin">
        <color indexed="64"/>
      </bottom>
      <diagonal/>
    </border>
    <border>
      <left/>
      <right/>
      <top style="thin">
        <color indexed="64"/>
      </top>
      <bottom style="double">
        <color indexed="64"/>
      </bottom>
      <diagonal/>
    </border>
    <border>
      <left style="dotted">
        <color indexed="64"/>
      </left>
      <right style="medium">
        <color indexed="64"/>
      </right>
      <top/>
      <bottom style="dotted">
        <color indexed="64"/>
      </bottom>
      <diagonal/>
    </border>
    <border>
      <left style="thick">
        <color indexed="64"/>
      </left>
      <right style="thin">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medium">
        <color indexed="64"/>
      </right>
      <top style="medium">
        <color indexed="64"/>
      </top>
      <bottom style="dashDotDot">
        <color indexed="64"/>
      </bottom>
      <diagonal/>
    </border>
    <border>
      <left style="medium">
        <color indexed="64"/>
      </left>
      <right style="medium">
        <color indexed="64"/>
      </right>
      <top style="dashDotDot">
        <color indexed="64"/>
      </top>
      <bottom style="dashDotDot">
        <color indexed="64"/>
      </bottom>
      <diagonal/>
    </border>
    <border>
      <left style="medium">
        <color indexed="64"/>
      </left>
      <right style="medium">
        <color indexed="64"/>
      </right>
      <top style="dashDotDot">
        <color indexed="64"/>
      </top>
      <bottom style="medium">
        <color indexed="64"/>
      </bottom>
      <diagonal/>
    </border>
    <border>
      <left style="thin">
        <color indexed="64"/>
      </left>
      <right style="medium">
        <color indexed="64"/>
      </right>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dotted">
        <color indexed="64"/>
      </right>
      <top/>
      <bottom style="dotted">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double">
        <color theme="3"/>
      </left>
      <right style="double">
        <color theme="3"/>
      </right>
      <top style="double">
        <color theme="3"/>
      </top>
      <bottom style="double">
        <color theme="3"/>
      </bottom>
      <diagonal/>
    </border>
    <border>
      <left style="double">
        <color theme="3"/>
      </left>
      <right style="double">
        <color theme="3"/>
      </right>
      <top style="double">
        <color theme="3"/>
      </top>
      <bottom style="dotted">
        <color theme="3"/>
      </bottom>
      <diagonal/>
    </border>
    <border>
      <left style="double">
        <color theme="3"/>
      </left>
      <right style="double">
        <color theme="3"/>
      </right>
      <top style="dotted">
        <color theme="3"/>
      </top>
      <bottom style="dotted">
        <color theme="3"/>
      </bottom>
      <diagonal/>
    </border>
    <border>
      <left style="double">
        <color theme="3"/>
      </left>
      <right style="double">
        <color theme="3"/>
      </right>
      <top style="dotted">
        <color theme="3"/>
      </top>
      <bottom style="double">
        <color theme="3"/>
      </bottom>
      <diagonal/>
    </border>
    <border>
      <left style="double">
        <color theme="3"/>
      </left>
      <right style="double">
        <color theme="3"/>
      </right>
      <top/>
      <bottom style="double">
        <color theme="3"/>
      </bottom>
      <diagonal/>
    </border>
    <border>
      <left style="double">
        <color theme="3"/>
      </left>
      <right style="double">
        <color theme="3"/>
      </right>
      <top/>
      <bottom style="dotted">
        <color theme="3"/>
      </bottom>
      <diagonal/>
    </border>
  </borders>
  <cellStyleXfs count="174">
    <xf numFmtId="0" fontId="0" fillId="0" borderId="0"/>
    <xf numFmtId="43" fontId="2" fillId="0" borderId="0" applyFont="0" applyFill="0" applyBorder="0" applyAlignment="0" applyProtection="0"/>
    <xf numFmtId="0" fontId="4" fillId="0" borderId="0"/>
    <xf numFmtId="0" fontId="8" fillId="0" borderId="0"/>
    <xf numFmtId="164" fontId="2" fillId="0" borderId="0" applyFont="0" applyFill="0" applyBorder="0" applyAlignment="0" applyProtection="0"/>
    <xf numFmtId="167" fontId="4"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4" fillId="0" borderId="0" applyFill="0" applyBorder="0" applyAlignment="0" applyProtection="0"/>
    <xf numFmtId="0" fontId="4" fillId="0" borderId="0" applyFill="0" applyBorder="0" applyAlignment="0" applyProtection="0"/>
    <xf numFmtId="167"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43" fontId="4" fillId="0" borderId="0" applyFont="0" applyFill="0" applyBorder="0" applyAlignment="0" applyProtection="0"/>
    <xf numFmtId="167" fontId="4" fillId="0" borderId="0" applyFill="0" applyBorder="0" applyAlignment="0" applyProtection="0"/>
    <xf numFmtId="3" fontId="4" fillId="0" borderId="0" applyFill="0" applyBorder="0" applyAlignment="0" applyProtection="0"/>
    <xf numFmtId="5" fontId="4" fillId="0" borderId="0" applyFill="0" applyBorder="0" applyAlignment="0" applyProtection="0"/>
    <xf numFmtId="168" fontId="4" fillId="0" borderId="0" applyFill="0" applyBorder="0" applyAlignment="0" applyProtection="0"/>
    <xf numFmtId="2" fontId="4" fillId="0" borderId="0" applyFill="0" applyBorder="0" applyAlignment="0" applyProtection="0"/>
    <xf numFmtId="0" fontId="19" fillId="0" borderId="0" applyNumberFormat="0" applyFill="0" applyBorder="0" applyAlignment="0" applyProtection="0"/>
    <xf numFmtId="0" fontId="1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20" fillId="0" borderId="0"/>
    <xf numFmtId="0" fontId="4" fillId="0" borderId="0"/>
    <xf numFmtId="0" fontId="4" fillId="0" borderId="0"/>
    <xf numFmtId="0" fontId="8" fillId="0" borderId="0"/>
    <xf numFmtId="0" fontId="8" fillId="0" borderId="0"/>
    <xf numFmtId="0" fontId="4" fillId="0" borderId="0"/>
    <xf numFmtId="0" fontId="4" fillId="0" borderId="0"/>
    <xf numFmtId="0" fontId="18" fillId="0" borderId="0"/>
    <xf numFmtId="0" fontId="4" fillId="0" borderId="0"/>
    <xf numFmtId="0" fontId="18" fillId="0" borderId="0"/>
    <xf numFmtId="0" fontId="4" fillId="0" borderId="0"/>
    <xf numFmtId="0" fontId="4" fillId="0" borderId="0"/>
    <xf numFmtId="0" fontId="4" fillId="0" borderId="0"/>
    <xf numFmtId="0" fontId="4" fillId="0" borderId="0"/>
    <xf numFmtId="10" fontId="4" fillId="0" borderId="0" applyFill="0" applyBorder="0" applyAlignment="0" applyProtection="0"/>
    <xf numFmtId="10" fontId="4" fillId="0" borderId="0" applyFill="0" applyBorder="0" applyAlignment="0" applyProtection="0"/>
    <xf numFmtId="0" fontId="21" fillId="0" borderId="0">
      <alignment vertical="top"/>
    </xf>
    <xf numFmtId="0" fontId="4" fillId="0" borderId="59" applyNumberFormat="0" applyFill="0" applyAlignment="0" applyProtection="0"/>
    <xf numFmtId="0" fontId="35" fillId="0" borderId="0"/>
    <xf numFmtId="0" fontId="21" fillId="0" borderId="0">
      <alignment vertical="top"/>
    </xf>
    <xf numFmtId="0" fontId="26" fillId="0" borderId="0"/>
    <xf numFmtId="0" fontId="26" fillId="0" borderId="0"/>
    <xf numFmtId="0" fontId="26" fillId="0" borderId="0"/>
    <xf numFmtId="170" fontId="36" fillId="0" borderId="0" applyFont="0" applyFill="0" applyBorder="0" applyAlignment="0" applyProtection="0"/>
    <xf numFmtId="171" fontId="36" fillId="0" borderId="0" applyFont="0" applyFill="0" applyBorder="0" applyAlignment="0" applyProtection="0"/>
    <xf numFmtId="0" fontId="2" fillId="11" borderId="0" applyNumberFormat="0" applyBorder="0" applyAlignment="0" applyProtection="0"/>
    <xf numFmtId="172" fontId="36" fillId="0" borderId="0" applyFont="0" applyFill="0" applyBorder="0" applyAlignment="0" applyProtection="0"/>
    <xf numFmtId="173" fontId="36" fillId="0" borderId="0" applyFont="0" applyFill="0" applyBorder="0" applyAlignment="0" applyProtection="0"/>
    <xf numFmtId="174" fontId="36" fillId="0" borderId="0" applyFont="0" applyFill="0" applyBorder="0" applyAlignment="0" applyProtection="0"/>
    <xf numFmtId="3" fontId="4" fillId="13" borderId="83" applyNumberFormat="0"/>
    <xf numFmtId="0" fontId="41" fillId="0" borderId="84" applyNumberFormat="0" applyFont="0" applyFill="0" applyAlignment="0" applyProtection="0"/>
    <xf numFmtId="0" fontId="42" fillId="0" borderId="0"/>
    <xf numFmtId="164"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75" fontId="43" fillId="0" borderId="0">
      <alignment horizontal="right" vertical="top"/>
    </xf>
    <xf numFmtId="0" fontId="42" fillId="0" borderId="0"/>
    <xf numFmtId="0" fontId="42" fillId="0" borderId="0"/>
    <xf numFmtId="0" fontId="41" fillId="0" borderId="0" applyFont="0" applyFill="0" applyBorder="0" applyAlignment="0" applyProtection="0"/>
    <xf numFmtId="0" fontId="4" fillId="14" borderId="0" applyNumberFormat="0" applyBorder="0" applyProtection="0"/>
    <xf numFmtId="176" fontId="4" fillId="0" borderId="0" applyFont="0" applyFill="0" applyBorder="0" applyAlignment="0" applyProtection="0"/>
    <xf numFmtId="177" fontId="4" fillId="15" borderId="82" applyNumberFormat="0" applyFont="0" applyBorder="0" applyAlignment="0" applyProtection="0">
      <alignment horizontal="right"/>
    </xf>
    <xf numFmtId="3" fontId="41" fillId="0" borderId="0" applyFont="0" applyFill="0" applyBorder="0" applyAlignment="0" applyProtection="0"/>
    <xf numFmtId="3" fontId="41" fillId="0" borderId="0" applyFont="0" applyFill="0" applyBorder="0" applyAlignment="0" applyProtection="0"/>
    <xf numFmtId="38" fontId="40" fillId="14" borderId="0" applyNumberFormat="0" applyBorder="0" applyAlignment="0" applyProtection="0"/>
    <xf numFmtId="0" fontId="44" fillId="0" borderId="0" applyNumberFormat="0" applyFill="0" applyBorder="0" applyAlignment="0" applyProtection="0">
      <alignment vertical="top"/>
      <protection locked="0"/>
    </xf>
    <xf numFmtId="0" fontId="4" fillId="16" borderId="83" applyNumberFormat="0" applyBorder="0" applyProtection="0"/>
    <xf numFmtId="167" fontId="36" fillId="0" borderId="0" applyFont="0" applyFill="0" applyBorder="0" applyAlignment="0" applyProtection="0"/>
    <xf numFmtId="3" fontId="36" fillId="0" borderId="0" applyFont="0" applyFill="0" applyBorder="0" applyAlignment="0" applyProtection="0"/>
    <xf numFmtId="10" fontId="40" fillId="12" borderId="81" applyNumberFormat="0" applyBorder="0" applyAlignment="0" applyProtection="0"/>
    <xf numFmtId="3" fontId="4" fillId="17" borderId="0" applyNumberFormat="0" applyBorder="0"/>
    <xf numFmtId="167" fontId="45" fillId="0" borderId="0"/>
    <xf numFmtId="178" fontId="41" fillId="0" borderId="0" applyFont="0" applyFill="0" applyBorder="0" applyAlignment="0" applyProtection="0"/>
    <xf numFmtId="179" fontId="38" fillId="0" borderId="0" applyFont="0" applyFill="0" applyBorder="0" applyAlignment="0" applyProtection="0"/>
    <xf numFmtId="180" fontId="38"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5" fontId="41" fillId="0" borderId="0" applyFont="0" applyFill="0" applyBorder="0" applyAlignment="0" applyProtection="0"/>
    <xf numFmtId="0" fontId="4" fillId="18" borderId="83" applyNumberFormat="0"/>
    <xf numFmtId="3" fontId="4" fillId="19" borderId="83" applyNumberFormat="0" applyFont="0" applyAlignment="0"/>
    <xf numFmtId="181" fontId="38" fillId="0" borderId="0" applyFont="0" applyFill="0" applyBorder="0" applyAlignment="0" applyProtection="0"/>
    <xf numFmtId="182" fontId="38" fillId="0" borderId="0" applyFont="0" applyFill="0" applyBorder="0" applyAlignment="0" applyProtection="0"/>
    <xf numFmtId="42" fontId="38" fillId="0" borderId="0" applyFont="0" applyFill="0" applyBorder="0" applyAlignment="0" applyProtection="0"/>
    <xf numFmtId="44" fontId="38" fillId="0" borderId="0" applyFont="0" applyFill="0" applyBorder="0" applyAlignment="0" applyProtection="0"/>
    <xf numFmtId="0" fontId="46" fillId="0" borderId="0"/>
    <xf numFmtId="0" fontId="47" fillId="0" borderId="0"/>
    <xf numFmtId="0" fontId="42" fillId="0" borderId="0"/>
    <xf numFmtId="0" fontId="42" fillId="0" borderId="0"/>
    <xf numFmtId="0" fontId="42" fillId="0" borderId="0"/>
    <xf numFmtId="0" fontId="42" fillId="0" borderId="0"/>
    <xf numFmtId="0" fontId="18" fillId="0" borderId="0"/>
    <xf numFmtId="0" fontId="4" fillId="0" borderId="0"/>
    <xf numFmtId="0" fontId="18" fillId="0" borderId="0"/>
    <xf numFmtId="0" fontId="4" fillId="0" borderId="0"/>
    <xf numFmtId="0" fontId="4" fillId="0" borderId="0">
      <alignment vertical="top"/>
    </xf>
    <xf numFmtId="0" fontId="8" fillId="0" borderId="0"/>
    <xf numFmtId="0" fontId="4" fillId="0" borderId="0"/>
    <xf numFmtId="0" fontId="4" fillId="0" borderId="0"/>
    <xf numFmtId="0" fontId="4" fillId="0" borderId="0">
      <alignment vertical="top"/>
    </xf>
    <xf numFmtId="0" fontId="18" fillId="0" borderId="0"/>
    <xf numFmtId="183" fontId="38" fillId="0" borderId="0" applyFill="0" applyBorder="0" applyAlignment="0" applyProtection="0">
      <alignment horizontal="right"/>
    </xf>
    <xf numFmtId="40" fontId="21" fillId="12" borderId="0">
      <alignment horizontal="right"/>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4" fontId="36" fillId="0" borderId="0" applyFont="0" applyFill="0" applyBorder="0" applyAlignment="0" applyProtection="0"/>
    <xf numFmtId="185" fontId="36" fillId="0" borderId="0" applyFont="0" applyFill="0" applyBorder="0" applyAlignment="0" applyProtection="0"/>
    <xf numFmtId="186" fontId="36" fillId="0" borderId="0" applyFont="0" applyFill="0" applyBorder="0" applyAlignment="0" applyProtection="0"/>
    <xf numFmtId="2" fontId="41" fillId="0" borderId="0" applyFont="0" applyFill="0" applyBorder="0" applyAlignment="0" applyProtection="0"/>
    <xf numFmtId="187" fontId="38" fillId="0" borderId="0" applyFill="0" applyBorder="0" applyAlignment="0">
      <alignment horizontal="centerContinuous"/>
    </xf>
    <xf numFmtId="3" fontId="4" fillId="20" borderId="83" applyNumberFormat="0"/>
    <xf numFmtId="0" fontId="36" fillId="0" borderId="0"/>
    <xf numFmtId="0" fontId="48" fillId="0" borderId="0"/>
    <xf numFmtId="0" fontId="18" fillId="0" borderId="0"/>
    <xf numFmtId="0" fontId="21" fillId="0" borderId="0">
      <alignment vertical="top"/>
    </xf>
    <xf numFmtId="0" fontId="4" fillId="0" borderId="0" applyNumberFormat="0"/>
    <xf numFmtId="0" fontId="37" fillId="0" borderId="0" applyNumberFormat="0" applyFont="0" applyFill="0" applyBorder="0" applyAlignment="0" applyProtection="0">
      <alignment vertical="top"/>
    </xf>
    <xf numFmtId="0" fontId="49" fillId="0" borderId="0" applyNumberFormat="0" applyFont="0" applyFill="0" applyBorder="0" applyAlignment="0" applyProtection="0">
      <alignment vertical="top"/>
    </xf>
    <xf numFmtId="0" fontId="49" fillId="0" borderId="0" applyNumberFormat="0" applyFont="0" applyFill="0" applyBorder="0" applyAlignment="0" applyProtection="0">
      <alignment vertical="top"/>
    </xf>
    <xf numFmtId="0" fontId="37" fillId="0" borderId="0" applyNumberFormat="0" applyFont="0" applyFill="0" applyBorder="0" applyAlignment="0" applyProtection="0"/>
    <xf numFmtId="0" fontId="37" fillId="0" borderId="0" applyNumberFormat="0" applyFont="0" applyFill="0" applyBorder="0" applyAlignment="0" applyProtection="0">
      <alignment horizontal="left" vertical="top"/>
    </xf>
    <xf numFmtId="0" fontId="37" fillId="0" borderId="0" applyNumberFormat="0" applyFont="0" applyFill="0" applyBorder="0" applyAlignment="0" applyProtection="0">
      <alignment horizontal="left" vertical="top"/>
    </xf>
    <xf numFmtId="0" fontId="37" fillId="0" borderId="0" applyNumberFormat="0" applyFont="0" applyFill="0" applyBorder="0" applyAlignment="0" applyProtection="0">
      <alignment horizontal="left" vertical="top"/>
    </xf>
    <xf numFmtId="0" fontId="38" fillId="0" borderId="0"/>
    <xf numFmtId="0" fontId="50" fillId="0" borderId="0">
      <alignment horizontal="left" wrapText="1"/>
    </xf>
    <xf numFmtId="0" fontId="39" fillId="0" borderId="85" applyNumberFormat="0" applyFont="0" applyFill="0" applyBorder="0" applyAlignment="0" applyProtection="0">
      <alignment horizontal="center" wrapText="1"/>
    </xf>
    <xf numFmtId="188" fontId="36" fillId="0" borderId="0" applyNumberFormat="0" applyFont="0" applyFill="0" applyBorder="0" applyAlignment="0" applyProtection="0">
      <alignment horizontal="right"/>
    </xf>
    <xf numFmtId="0" fontId="39" fillId="0" borderId="0" applyNumberFormat="0" applyFont="0" applyFill="0" applyBorder="0" applyAlignment="0" applyProtection="0">
      <alignment horizontal="left" indent="1"/>
    </xf>
    <xf numFmtId="189" fontId="39" fillId="0" borderId="0" applyNumberFormat="0" applyFont="0" applyFill="0" applyBorder="0" applyAlignment="0" applyProtection="0"/>
    <xf numFmtId="0" fontId="38" fillId="0" borderId="85" applyNumberFormat="0" applyFont="0" applyFill="0" applyAlignment="0" applyProtection="0">
      <alignment horizontal="center"/>
    </xf>
    <xf numFmtId="0" fontId="38" fillId="0" borderId="0" applyNumberFormat="0" applyFont="0" applyFill="0" applyBorder="0" applyAlignment="0" applyProtection="0">
      <alignment horizontal="left" wrapText="1" indent="1"/>
    </xf>
    <xf numFmtId="0" fontId="39" fillId="0" borderId="0" applyNumberFormat="0" applyFont="0" applyFill="0" applyBorder="0" applyAlignment="0" applyProtection="0">
      <alignment horizontal="left" indent="1"/>
    </xf>
    <xf numFmtId="0" fontId="38" fillId="0" borderId="0" applyNumberFormat="0" applyFont="0" applyFill="0" applyBorder="0" applyAlignment="0" applyProtection="0">
      <alignment horizontal="left" wrapText="1" indent="2"/>
    </xf>
    <xf numFmtId="190" fontId="38" fillId="0" borderId="0">
      <alignment horizontal="right"/>
    </xf>
    <xf numFmtId="0" fontId="51" fillId="0" borderId="0" applyNumberFormat="0" applyFill="0" applyBorder="0" applyAlignment="0" applyProtection="0"/>
    <xf numFmtId="0" fontId="52" fillId="0" borderId="0" applyNumberFormat="0" applyFill="0" applyBorder="0" applyAlignment="0" applyProtection="0"/>
    <xf numFmtId="191" fontId="26" fillId="0" borderId="0">
      <alignment horizontal="right"/>
    </xf>
    <xf numFmtId="0" fontId="53" fillId="0" borderId="0" applyProtection="0"/>
    <xf numFmtId="192" fontId="53" fillId="0" borderId="0" applyProtection="0"/>
    <xf numFmtId="0" fontId="54" fillId="0" borderId="0" applyProtection="0"/>
    <xf numFmtId="0" fontId="55" fillId="0" borderId="0" applyProtection="0"/>
    <xf numFmtId="0" fontId="53" fillId="0" borderId="86" applyProtection="0"/>
    <xf numFmtId="0" fontId="53" fillId="0" borderId="0"/>
    <xf numFmtId="10" fontId="53" fillId="0" borderId="0" applyProtection="0"/>
    <xf numFmtId="0" fontId="53" fillId="0" borderId="0"/>
    <xf numFmtId="2" fontId="53" fillId="0" borderId="0" applyProtection="0"/>
    <xf numFmtId="4" fontId="53" fillId="0" borderId="0" applyProtection="0"/>
    <xf numFmtId="0" fontId="56" fillId="0" borderId="0"/>
    <xf numFmtId="9" fontId="57"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cellStyleXfs>
  <cellXfs count="1492">
    <xf numFmtId="0" fontId="0" fillId="0" borderId="0" xfId="0"/>
    <xf numFmtId="0" fontId="0" fillId="0" borderId="1" xfId="0" applyBorder="1"/>
    <xf numFmtId="0" fontId="0" fillId="0" borderId="2" xfId="0" applyBorder="1"/>
    <xf numFmtId="0" fontId="5" fillId="0" borderId="8" xfId="2" applyFont="1" applyBorder="1" applyAlignment="1">
      <alignment horizontal="center"/>
    </xf>
    <xf numFmtId="0" fontId="6" fillId="0" borderId="14" xfId="2" applyFont="1" applyBorder="1" applyAlignment="1">
      <alignment horizontal="center"/>
    </xf>
    <xf numFmtId="49" fontId="7" fillId="2" borderId="1" xfId="2" applyNumberFormat="1" applyFont="1" applyFill="1" applyBorder="1" applyAlignment="1">
      <alignment horizontal="center" vertical="center"/>
    </xf>
    <xf numFmtId="0" fontId="7" fillId="2" borderId="2" xfId="2" applyFont="1" applyFill="1" applyBorder="1" applyAlignment="1">
      <alignment vertical="center"/>
    </xf>
    <xf numFmtId="0" fontId="7" fillId="2" borderId="19" xfId="2" applyFont="1" applyFill="1" applyBorder="1" applyAlignment="1">
      <alignment horizontal="center" vertical="center"/>
    </xf>
    <xf numFmtId="165" fontId="9" fillId="0" borderId="20" xfId="3" applyNumberFormat="1" applyFont="1" applyFill="1" applyBorder="1" applyAlignment="1">
      <alignment horizontal="center"/>
    </xf>
    <xf numFmtId="3" fontId="10" fillId="0" borderId="21" xfId="3" applyNumberFormat="1" applyFont="1" applyFill="1" applyBorder="1"/>
    <xf numFmtId="1" fontId="7" fillId="0" borderId="20" xfId="2" applyNumberFormat="1" applyFont="1" applyFill="1" applyBorder="1" applyAlignment="1">
      <alignment horizontal="center"/>
    </xf>
    <xf numFmtId="165" fontId="9" fillId="0" borderId="22" xfId="3" applyNumberFormat="1" applyFont="1" applyFill="1" applyBorder="1" applyAlignment="1">
      <alignment horizontal="center" wrapText="1"/>
    </xf>
    <xf numFmtId="3" fontId="9" fillId="0" borderId="23" xfId="2" applyNumberFormat="1" applyFont="1" applyFill="1" applyBorder="1" applyAlignment="1">
      <alignment horizontal="center"/>
    </xf>
    <xf numFmtId="1" fontId="7" fillId="0" borderId="22" xfId="2" applyNumberFormat="1" applyFont="1" applyFill="1" applyBorder="1" applyAlignment="1">
      <alignment horizontal="center"/>
    </xf>
    <xf numFmtId="165" fontId="9" fillId="0" borderId="24" xfId="3" applyNumberFormat="1" applyFont="1" applyFill="1" applyBorder="1" applyAlignment="1">
      <alignment horizontal="center"/>
    </xf>
    <xf numFmtId="3" fontId="9" fillId="0" borderId="15" xfId="2" applyNumberFormat="1" applyFont="1" applyFill="1" applyBorder="1" applyAlignment="1">
      <alignment horizontal="center"/>
    </xf>
    <xf numFmtId="1" fontId="7" fillId="0" borderId="13" xfId="2" applyNumberFormat="1" applyFont="1" applyFill="1" applyBorder="1" applyAlignment="1">
      <alignment horizontal="center"/>
    </xf>
    <xf numFmtId="0" fontId="7" fillId="2" borderId="2" xfId="2" applyFont="1" applyFill="1" applyBorder="1" applyAlignment="1"/>
    <xf numFmtId="0" fontId="7" fillId="2" borderId="6" xfId="2" applyFont="1" applyFill="1" applyBorder="1" applyAlignment="1"/>
    <xf numFmtId="165" fontId="9" fillId="0" borderId="21" xfId="3" applyNumberFormat="1" applyFont="1" applyFill="1" applyBorder="1" applyAlignment="1">
      <alignment horizontal="center"/>
    </xf>
    <xf numFmtId="165" fontId="9" fillId="0" borderId="14" xfId="3" applyNumberFormat="1" applyFont="1" applyFill="1" applyBorder="1" applyAlignment="1">
      <alignment horizontal="center"/>
    </xf>
    <xf numFmtId="1" fontId="7" fillId="0" borderId="14" xfId="2" applyNumberFormat="1" applyFont="1" applyFill="1" applyBorder="1" applyAlignment="1">
      <alignment horizontal="center"/>
    </xf>
    <xf numFmtId="3" fontId="9" fillId="0" borderId="26" xfId="3" applyNumberFormat="1" applyFont="1" applyFill="1" applyBorder="1"/>
    <xf numFmtId="3" fontId="9" fillId="0" borderId="14" xfId="3" applyNumberFormat="1" applyFont="1" applyFill="1" applyBorder="1"/>
    <xf numFmtId="0" fontId="7" fillId="2" borderId="2" xfId="2" applyFont="1" applyFill="1" applyBorder="1" applyAlignment="1">
      <alignment horizontal="center"/>
    </xf>
    <xf numFmtId="3" fontId="10" fillId="0" borderId="29" xfId="3" applyNumberFormat="1" applyFont="1" applyFill="1" applyBorder="1"/>
    <xf numFmtId="3" fontId="9" fillId="0" borderId="30" xfId="3" applyNumberFormat="1" applyFont="1" applyFill="1" applyBorder="1"/>
    <xf numFmtId="3" fontId="9" fillId="0" borderId="31" xfId="3" applyNumberFormat="1" applyFont="1" applyFill="1" applyBorder="1"/>
    <xf numFmtId="165" fontId="9" fillId="0" borderId="32" xfId="3" applyNumberFormat="1" applyFont="1" applyFill="1" applyBorder="1" applyAlignment="1">
      <alignment horizontal="center"/>
    </xf>
    <xf numFmtId="166" fontId="10" fillId="0" borderId="33" xfId="3" applyNumberFormat="1" applyFont="1" applyFill="1" applyBorder="1"/>
    <xf numFmtId="49" fontId="9" fillId="0" borderId="23" xfId="4" applyNumberFormat="1" applyFont="1" applyFill="1" applyBorder="1" applyAlignment="1">
      <alignment horizontal="center"/>
    </xf>
    <xf numFmtId="49" fontId="9" fillId="0" borderId="8" xfId="4" applyNumberFormat="1" applyFont="1" applyFill="1" applyBorder="1" applyAlignment="1">
      <alignment horizontal="center"/>
    </xf>
    <xf numFmtId="165" fontId="9" fillId="0" borderId="34" xfId="3" applyNumberFormat="1" applyFont="1" applyFill="1" applyBorder="1" applyAlignment="1">
      <alignment horizontal="center"/>
    </xf>
    <xf numFmtId="166" fontId="10" fillId="0" borderId="30" xfId="3" applyNumberFormat="1" applyFont="1" applyFill="1" applyBorder="1"/>
    <xf numFmtId="49" fontId="9" fillId="0" borderId="26" xfId="4" applyNumberFormat="1" applyFont="1" applyFill="1" applyBorder="1" applyAlignment="1">
      <alignment horizontal="center"/>
    </xf>
    <xf numFmtId="165" fontId="9" fillId="0" borderId="35" xfId="3" applyNumberFormat="1" applyFont="1" applyFill="1" applyBorder="1" applyAlignment="1">
      <alignment horizontal="center"/>
    </xf>
    <xf numFmtId="166" fontId="10" fillId="0" borderId="31" xfId="3" applyNumberFormat="1" applyFont="1" applyFill="1" applyBorder="1"/>
    <xf numFmtId="49" fontId="9" fillId="0" borderId="15" xfId="4" applyNumberFormat="1" applyFont="1" applyFill="1" applyBorder="1" applyAlignment="1">
      <alignment horizontal="center"/>
    </xf>
    <xf numFmtId="49" fontId="9" fillId="0" borderId="14" xfId="4" applyNumberFormat="1" applyFont="1" applyFill="1" applyBorder="1" applyAlignment="1">
      <alignment horizontal="center"/>
    </xf>
    <xf numFmtId="0" fontId="12" fillId="3" borderId="21" xfId="0" applyFont="1" applyFill="1" applyBorder="1" applyAlignment="1">
      <alignment horizontal="center"/>
    </xf>
    <xf numFmtId="0" fontId="12" fillId="3" borderId="8"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xf numFmtId="0" fontId="12" fillId="3" borderId="36" xfId="0" applyFont="1" applyFill="1" applyBorder="1"/>
    <xf numFmtId="0" fontId="7" fillId="4" borderId="1" xfId="2" applyFont="1" applyFill="1" applyBorder="1" applyAlignment="1">
      <alignment horizontal="center" vertical="center"/>
    </xf>
    <xf numFmtId="3" fontId="7" fillId="4" borderId="2" xfId="2" applyNumberFormat="1" applyFont="1" applyFill="1" applyBorder="1" applyAlignment="1">
      <alignment horizontal="center" vertical="center" wrapText="1"/>
    </xf>
    <xf numFmtId="0" fontId="7" fillId="4" borderId="2" xfId="2" applyFont="1" applyFill="1" applyBorder="1"/>
    <xf numFmtId="3" fontId="9" fillId="0" borderId="37" xfId="2" applyNumberFormat="1" applyFont="1" applyBorder="1" applyAlignment="1">
      <alignment horizontal="center"/>
    </xf>
    <xf numFmtId="0" fontId="7" fillId="2" borderId="1" xfId="2" applyFont="1" applyFill="1" applyBorder="1" applyAlignment="1">
      <alignment horizontal="center"/>
    </xf>
    <xf numFmtId="49" fontId="10" fillId="0" borderId="23" xfId="4" applyNumberFormat="1" applyFont="1" applyFill="1" applyBorder="1" applyAlignment="1">
      <alignment horizontal="center"/>
    </xf>
    <xf numFmtId="0" fontId="9" fillId="2" borderId="2" xfId="2" applyFont="1" applyFill="1" applyBorder="1"/>
    <xf numFmtId="0" fontId="10" fillId="0" borderId="21" xfId="1" applyNumberFormat="1" applyFont="1" applyFill="1" applyBorder="1" applyAlignment="1">
      <alignment horizontal="center" vertical="center"/>
    </xf>
    <xf numFmtId="0" fontId="10" fillId="0" borderId="8" xfId="1" applyNumberFormat="1" applyFont="1" applyFill="1" applyBorder="1" applyAlignment="1">
      <alignment horizontal="center" vertical="center"/>
    </xf>
    <xf numFmtId="0" fontId="10" fillId="0" borderId="13" xfId="1" applyNumberFormat="1" applyFont="1" applyFill="1" applyBorder="1" applyAlignment="1">
      <alignment horizontal="center" vertical="center"/>
    </xf>
    <xf numFmtId="166" fontId="10" fillId="0" borderId="39" xfId="3" applyNumberFormat="1" applyFont="1" applyFill="1" applyBorder="1"/>
    <xf numFmtId="165" fontId="9" fillId="0" borderId="26" xfId="3" applyNumberFormat="1" applyFont="1" applyFill="1" applyBorder="1" applyAlignment="1">
      <alignment horizontal="center"/>
    </xf>
    <xf numFmtId="0" fontId="12" fillId="0" borderId="40" xfId="0" applyFont="1" applyFill="1" applyBorder="1"/>
    <xf numFmtId="0" fontId="12" fillId="0" borderId="41" xfId="0" applyFont="1" applyFill="1" applyBorder="1"/>
    <xf numFmtId="166" fontId="10" fillId="0" borderId="43" xfId="3" applyNumberFormat="1" applyFont="1" applyFill="1" applyBorder="1"/>
    <xf numFmtId="0" fontId="12" fillId="0" borderId="44" xfId="0" applyFont="1" applyFill="1" applyBorder="1"/>
    <xf numFmtId="0" fontId="12" fillId="0" borderId="28" xfId="0" applyFont="1" applyFill="1" applyBorder="1"/>
    <xf numFmtId="3" fontId="11" fillId="2" borderId="19" xfId="2" applyNumberFormat="1" applyFont="1" applyFill="1" applyBorder="1"/>
    <xf numFmtId="3" fontId="9" fillId="0" borderId="45" xfId="2" applyNumberFormat="1" applyFont="1" applyBorder="1" applyAlignment="1">
      <alignment horizontal="center"/>
    </xf>
    <xf numFmtId="3" fontId="7" fillId="4" borderId="2" xfId="2" applyNumberFormat="1" applyFont="1" applyFill="1" applyBorder="1" applyAlignment="1">
      <alignment horizontal="center"/>
    </xf>
    <xf numFmtId="3" fontId="9" fillId="0" borderId="37" xfId="2" applyNumberFormat="1" applyFont="1" applyBorder="1" applyAlignment="1">
      <alignment horizontal="center" vertical="center"/>
    </xf>
    <xf numFmtId="3" fontId="9" fillId="0" borderId="46" xfId="2" applyNumberFormat="1" applyFont="1" applyBorder="1" applyAlignment="1">
      <alignment horizontal="center" vertical="center"/>
    </xf>
    <xf numFmtId="3" fontId="9" fillId="0" borderId="46" xfId="2" applyNumberFormat="1" applyFont="1" applyBorder="1" applyAlignment="1">
      <alignment horizontal="center"/>
    </xf>
    <xf numFmtId="3" fontId="9" fillId="0" borderId="37" xfId="2" applyNumberFormat="1" applyFont="1" applyBorder="1" applyAlignment="1">
      <alignment horizontal="left" vertical="center" wrapText="1"/>
    </xf>
    <xf numFmtId="3" fontId="9" fillId="0" borderId="48" xfId="2" applyNumberFormat="1" applyFont="1" applyBorder="1" applyAlignment="1">
      <alignment horizontal="left" wrapText="1"/>
    </xf>
    <xf numFmtId="166" fontId="10" fillId="0" borderId="49" xfId="3" applyNumberFormat="1" applyFont="1" applyFill="1" applyBorder="1"/>
    <xf numFmtId="166" fontId="10" fillId="0" borderId="50" xfId="3" applyNumberFormat="1" applyFont="1" applyFill="1" applyBorder="1"/>
    <xf numFmtId="0" fontId="7" fillId="2" borderId="1" xfId="2" applyFont="1" applyFill="1" applyBorder="1" applyAlignment="1">
      <alignment horizontal="center" vertical="center"/>
    </xf>
    <xf numFmtId="0" fontId="7" fillId="2" borderId="19" xfId="2" applyFont="1" applyFill="1" applyBorder="1" applyAlignment="1">
      <alignment vertical="center" wrapText="1"/>
    </xf>
    <xf numFmtId="0" fontId="7" fillId="2" borderId="2" xfId="2" applyFont="1" applyFill="1" applyBorder="1" applyAlignment="1">
      <alignment vertical="center" wrapText="1"/>
    </xf>
    <xf numFmtId="0" fontId="9" fillId="0" borderId="21" xfId="1" applyNumberFormat="1" applyFont="1" applyFill="1" applyBorder="1" applyAlignment="1">
      <alignment horizontal="center" vertical="center"/>
    </xf>
    <xf numFmtId="0" fontId="7" fillId="2" borderId="19" xfId="2" applyFont="1" applyFill="1" applyBorder="1" applyAlignment="1">
      <alignment horizontal="center"/>
    </xf>
    <xf numFmtId="0" fontId="7" fillId="2" borderId="19" xfId="2" applyFont="1" applyFill="1" applyBorder="1" applyAlignment="1"/>
    <xf numFmtId="3" fontId="11" fillId="2" borderId="19" xfId="2" applyNumberFormat="1" applyFont="1" applyFill="1" applyBorder="1" applyAlignment="1">
      <alignment horizontal="center" vertical="center"/>
    </xf>
    <xf numFmtId="165" fontId="9" fillId="0" borderId="51" xfId="3" applyNumberFormat="1" applyFont="1" applyFill="1" applyBorder="1" applyAlignment="1">
      <alignment horizontal="center"/>
    </xf>
    <xf numFmtId="49" fontId="7" fillId="0" borderId="53" xfId="4" applyNumberFormat="1" applyFont="1" applyFill="1" applyBorder="1" applyAlignment="1">
      <alignment horizontal="center"/>
    </xf>
    <xf numFmtId="165" fontId="9" fillId="0" borderId="54" xfId="3" applyNumberFormat="1" applyFont="1" applyFill="1" applyBorder="1" applyAlignment="1">
      <alignment horizontal="center"/>
    </xf>
    <xf numFmtId="49" fontId="7" fillId="0" borderId="56" xfId="4" applyNumberFormat="1" applyFont="1" applyFill="1" applyBorder="1" applyAlignment="1">
      <alignment horizontal="center"/>
    </xf>
    <xf numFmtId="165" fontId="9" fillId="0" borderId="55" xfId="3" applyNumberFormat="1" applyFont="1" applyFill="1" applyBorder="1" applyAlignment="1">
      <alignment horizontal="center"/>
    </xf>
    <xf numFmtId="166" fontId="10" fillId="0" borderId="57" xfId="3" applyNumberFormat="1" applyFont="1" applyFill="1" applyBorder="1" applyAlignment="1">
      <alignment horizontal="center" vertical="center" wrapText="1"/>
    </xf>
    <xf numFmtId="49" fontId="7" fillId="0" borderId="56" xfId="4" applyNumberFormat="1" applyFont="1" applyFill="1" applyBorder="1" applyAlignment="1">
      <alignment horizontal="center" vertical="center"/>
    </xf>
    <xf numFmtId="166" fontId="10" fillId="0" borderId="57" xfId="3" applyNumberFormat="1" applyFont="1" applyFill="1" applyBorder="1" applyAlignment="1">
      <alignment horizontal="center" vertical="top" wrapText="1"/>
    </xf>
    <xf numFmtId="49" fontId="7" fillId="6" borderId="56" xfId="4" applyNumberFormat="1" applyFont="1" applyFill="1" applyBorder="1" applyAlignment="1">
      <alignment horizontal="center"/>
    </xf>
    <xf numFmtId="165" fontId="9" fillId="0" borderId="7" xfId="3" applyNumberFormat="1" applyFont="1" applyFill="1" applyBorder="1" applyAlignment="1">
      <alignment horizontal="center"/>
    </xf>
    <xf numFmtId="3" fontId="9" fillId="0" borderId="38" xfId="2" applyNumberFormat="1" applyFont="1" applyFill="1" applyBorder="1" applyAlignment="1">
      <alignment vertical="center"/>
    </xf>
    <xf numFmtId="3" fontId="9" fillId="0" borderId="7" xfId="2" applyNumberFormat="1" applyFont="1" applyFill="1" applyBorder="1" applyAlignment="1">
      <alignment vertical="center"/>
    </xf>
    <xf numFmtId="3" fontId="9" fillId="0" borderId="13" xfId="2" applyNumberFormat="1" applyFont="1" applyFill="1" applyBorder="1" applyAlignment="1">
      <alignment vertical="center"/>
    </xf>
    <xf numFmtId="165" fontId="9" fillId="0" borderId="8" xfId="3" applyNumberFormat="1" applyFont="1" applyFill="1" applyBorder="1" applyAlignment="1">
      <alignment horizontal="center"/>
    </xf>
    <xf numFmtId="165" fontId="9" fillId="0" borderId="13" xfId="3" applyNumberFormat="1" applyFont="1" applyFill="1" applyBorder="1" applyAlignment="1">
      <alignment horizontal="center"/>
    </xf>
    <xf numFmtId="49" fontId="10" fillId="0" borderId="15" xfId="4" applyNumberFormat="1" applyFont="1" applyFill="1" applyBorder="1" applyAlignment="1">
      <alignment horizontal="center"/>
    </xf>
    <xf numFmtId="0" fontId="14" fillId="4" borderId="2" xfId="0" applyFont="1" applyFill="1" applyBorder="1" applyAlignment="1"/>
    <xf numFmtId="166" fontId="10" fillId="0" borderId="27" xfId="3" applyNumberFormat="1" applyFont="1" applyFill="1" applyBorder="1"/>
    <xf numFmtId="166" fontId="10" fillId="0" borderId="28" xfId="3" applyNumberFormat="1" applyFont="1" applyFill="1" applyBorder="1"/>
    <xf numFmtId="0" fontId="9" fillId="0" borderId="21" xfId="1" applyNumberFormat="1" applyFont="1" applyFill="1" applyBorder="1" applyAlignment="1">
      <alignment horizontal="center" vertical="center" wrapText="1"/>
    </xf>
    <xf numFmtId="3" fontId="7" fillId="0" borderId="37" xfId="2" applyNumberFormat="1" applyFont="1" applyBorder="1" applyAlignment="1">
      <alignment horizontal="center"/>
    </xf>
    <xf numFmtId="3" fontId="22" fillId="0" borderId="37" xfId="2" applyNumberFormat="1" applyFont="1" applyBorder="1" applyAlignment="1">
      <alignment horizontal="center"/>
    </xf>
    <xf numFmtId="3" fontId="9" fillId="0" borderId="23" xfId="4" applyNumberFormat="1" applyFont="1" applyFill="1" applyBorder="1" applyAlignment="1">
      <alignment horizontal="center"/>
    </xf>
    <xf numFmtId="3" fontId="9" fillId="0" borderId="32" xfId="3" applyNumberFormat="1" applyFont="1" applyFill="1" applyBorder="1" applyAlignment="1">
      <alignment horizontal="center"/>
    </xf>
    <xf numFmtId="3" fontId="10" fillId="0" borderId="33" xfId="3" applyNumberFormat="1" applyFont="1" applyFill="1" applyBorder="1"/>
    <xf numFmtId="3" fontId="9" fillId="0" borderId="8" xfId="4" applyNumberFormat="1" applyFont="1" applyFill="1" applyBorder="1" applyAlignment="1">
      <alignment horizontal="center"/>
    </xf>
    <xf numFmtId="3" fontId="9" fillId="0" borderId="34" xfId="3" applyNumberFormat="1" applyFont="1" applyFill="1" applyBorder="1" applyAlignment="1">
      <alignment horizontal="center"/>
    </xf>
    <xf numFmtId="3" fontId="9" fillId="0" borderId="26" xfId="4" applyNumberFormat="1" applyFont="1" applyFill="1" applyBorder="1" applyAlignment="1">
      <alignment horizontal="center"/>
    </xf>
    <xf numFmtId="3" fontId="9" fillId="0" borderId="15" xfId="4" applyNumberFormat="1" applyFont="1" applyFill="1" applyBorder="1" applyAlignment="1">
      <alignment horizontal="center"/>
    </xf>
    <xf numFmtId="3" fontId="9" fillId="0" borderId="35" xfId="3" applyNumberFormat="1" applyFont="1" applyFill="1" applyBorder="1" applyAlignment="1">
      <alignment horizontal="center"/>
    </xf>
    <xf numFmtId="3" fontId="12" fillId="3" borderId="14" xfId="0" applyNumberFormat="1" applyFont="1" applyFill="1" applyBorder="1"/>
    <xf numFmtId="3" fontId="9" fillId="0" borderId="14" xfId="4" applyNumberFormat="1" applyFont="1" applyFill="1" applyBorder="1" applyAlignment="1">
      <alignment horizontal="center"/>
    </xf>
    <xf numFmtId="3" fontId="11" fillId="2" borderId="2" xfId="2" applyNumberFormat="1" applyFont="1" applyFill="1" applyBorder="1"/>
    <xf numFmtId="3" fontId="7" fillId="2" borderId="1" xfId="2" applyNumberFormat="1" applyFont="1" applyFill="1" applyBorder="1" applyAlignment="1">
      <alignment horizontal="center" vertical="center"/>
    </xf>
    <xf numFmtId="3" fontId="7" fillId="2" borderId="2" xfId="2" applyNumberFormat="1" applyFont="1" applyFill="1" applyBorder="1" applyAlignment="1"/>
    <xf numFmtId="3" fontId="7" fillId="0" borderId="22" xfId="2" applyNumberFormat="1" applyFont="1" applyFill="1" applyBorder="1" applyAlignment="1">
      <alignment horizontal="center"/>
    </xf>
    <xf numFmtId="3" fontId="9" fillId="0" borderId="21" xfId="3" applyNumberFormat="1" applyFont="1" applyFill="1" applyBorder="1" applyAlignment="1">
      <alignment horizontal="center"/>
    </xf>
    <xf numFmtId="3" fontId="7" fillId="0" borderId="14" xfId="2" applyNumberFormat="1" applyFont="1" applyFill="1" applyBorder="1" applyAlignment="1">
      <alignment horizontal="center"/>
    </xf>
    <xf numFmtId="3" fontId="9" fillId="0" borderId="14" xfId="3" applyNumberFormat="1" applyFont="1" applyFill="1" applyBorder="1" applyAlignment="1">
      <alignment horizontal="center"/>
    </xf>
    <xf numFmtId="3" fontId="7" fillId="0" borderId="23" xfId="2" applyNumberFormat="1" applyFont="1" applyFill="1" applyBorder="1" applyAlignment="1">
      <alignment horizontal="center"/>
    </xf>
    <xf numFmtId="3" fontId="9" fillId="0" borderId="20" xfId="3" applyNumberFormat="1" applyFont="1" applyFill="1" applyBorder="1" applyAlignment="1">
      <alignment horizontal="center"/>
    </xf>
    <xf numFmtId="3" fontId="9" fillId="0" borderId="22" xfId="3" applyNumberFormat="1" applyFont="1" applyFill="1" applyBorder="1" applyAlignment="1">
      <alignment horizontal="center" wrapText="1"/>
    </xf>
    <xf numFmtId="3" fontId="7" fillId="0" borderId="24" xfId="2" applyNumberFormat="1" applyFont="1" applyFill="1" applyBorder="1" applyAlignment="1">
      <alignment horizontal="center"/>
    </xf>
    <xf numFmtId="3" fontId="9" fillId="0" borderId="24" xfId="3" applyNumberFormat="1" applyFont="1" applyFill="1" applyBorder="1" applyAlignment="1">
      <alignment horizontal="center"/>
    </xf>
    <xf numFmtId="3" fontId="7" fillId="2" borderId="2" xfId="2" applyNumberFormat="1" applyFont="1" applyFill="1" applyBorder="1" applyAlignment="1">
      <alignment horizontal="center"/>
    </xf>
    <xf numFmtId="3" fontId="10" fillId="0" borderId="30" xfId="3" applyNumberFormat="1" applyFont="1" applyFill="1" applyBorder="1"/>
    <xf numFmtId="3" fontId="10" fillId="0" borderId="31" xfId="3" applyNumberFormat="1" applyFont="1" applyFill="1" applyBorder="1"/>
    <xf numFmtId="3" fontId="7" fillId="4" borderId="2" xfId="2" applyNumberFormat="1" applyFont="1" applyFill="1" applyBorder="1"/>
    <xf numFmtId="3" fontId="7" fillId="4" borderId="1" xfId="2" applyNumberFormat="1" applyFont="1" applyFill="1" applyBorder="1" applyAlignment="1">
      <alignment horizontal="center" vertical="center"/>
    </xf>
    <xf numFmtId="3" fontId="7" fillId="2" borderId="1" xfId="2" applyNumberFormat="1" applyFont="1" applyFill="1" applyBorder="1" applyAlignment="1">
      <alignment horizontal="center"/>
    </xf>
    <xf numFmtId="3" fontId="10" fillId="0" borderId="23" xfId="4" applyNumberFormat="1" applyFont="1" applyFill="1" applyBorder="1" applyAlignment="1">
      <alignment horizontal="center"/>
    </xf>
    <xf numFmtId="3" fontId="9" fillId="2" borderId="2" xfId="2" applyNumberFormat="1" applyFont="1" applyFill="1" applyBorder="1"/>
    <xf numFmtId="3" fontId="7" fillId="2" borderId="2" xfId="2" applyNumberFormat="1" applyFont="1" applyFill="1" applyBorder="1" applyAlignment="1">
      <alignment vertical="center"/>
    </xf>
    <xf numFmtId="3" fontId="10" fillId="0" borderId="39" xfId="1" applyNumberFormat="1" applyFont="1" applyFill="1" applyBorder="1" applyAlignment="1">
      <alignment horizontal="center" vertical="center"/>
    </xf>
    <xf numFmtId="3" fontId="10" fillId="0" borderId="21" xfId="1" applyNumberFormat="1" applyFont="1" applyFill="1" applyBorder="1" applyAlignment="1">
      <alignment horizontal="center" vertical="center"/>
    </xf>
    <xf numFmtId="3" fontId="10" fillId="0" borderId="40" xfId="1" applyNumberFormat="1" applyFont="1" applyFill="1" applyBorder="1" applyAlignment="1">
      <alignment horizontal="center" vertical="center"/>
    </xf>
    <xf numFmtId="3" fontId="10" fillId="0" borderId="8" xfId="1" applyNumberFormat="1" applyFont="1" applyFill="1" applyBorder="1" applyAlignment="1">
      <alignment horizontal="center" vertical="center"/>
    </xf>
    <xf numFmtId="3" fontId="10" fillId="0" borderId="39" xfId="3" applyNumberFormat="1" applyFont="1" applyFill="1" applyBorder="1"/>
    <xf numFmtId="3" fontId="9" fillId="0" borderId="26" xfId="3" applyNumberFormat="1" applyFont="1" applyFill="1" applyBorder="1" applyAlignment="1">
      <alignment horizontal="center"/>
    </xf>
    <xf numFmtId="3" fontId="7" fillId="2" borderId="19" xfId="2" applyNumberFormat="1" applyFont="1" applyFill="1" applyBorder="1" applyAlignment="1">
      <alignment horizontal="center" vertical="center" wrapText="1"/>
    </xf>
    <xf numFmtId="3" fontId="7" fillId="2" borderId="19" xfId="2" applyNumberFormat="1" applyFont="1" applyFill="1" applyBorder="1" applyAlignment="1">
      <alignment vertical="center" wrapText="1"/>
    </xf>
    <xf numFmtId="3" fontId="9" fillId="0" borderId="21" xfId="1" applyNumberFormat="1" applyFont="1" applyFill="1" applyBorder="1" applyAlignment="1">
      <alignment horizontal="center" vertical="center"/>
    </xf>
    <xf numFmtId="3" fontId="10" fillId="0" borderId="15" xfId="4" applyNumberFormat="1" applyFont="1" applyFill="1" applyBorder="1" applyAlignment="1">
      <alignment horizontal="center"/>
    </xf>
    <xf numFmtId="3" fontId="14" fillId="4" borderId="2" xfId="0" applyNumberFormat="1" applyFont="1" applyFill="1" applyBorder="1" applyAlignment="1"/>
    <xf numFmtId="3" fontId="10" fillId="0" borderId="8" xfId="4" applyNumberFormat="1" applyFont="1" applyFill="1" applyBorder="1" applyAlignment="1">
      <alignment horizontal="center"/>
    </xf>
    <xf numFmtId="3" fontId="10" fillId="0" borderId="26" xfId="4" applyNumberFormat="1" applyFont="1" applyFill="1" applyBorder="1" applyAlignment="1">
      <alignment horizontal="center"/>
    </xf>
    <xf numFmtId="3" fontId="10" fillId="0" borderId="14" xfId="4" applyNumberFormat="1" applyFont="1" applyFill="1" applyBorder="1" applyAlignment="1">
      <alignment horizontal="center"/>
    </xf>
    <xf numFmtId="3" fontId="10" fillId="0" borderId="20" xfId="3" applyNumberFormat="1" applyFont="1" applyFill="1" applyBorder="1" applyAlignment="1">
      <alignment horizontal="center"/>
    </xf>
    <xf numFmtId="3" fontId="10" fillId="0" borderId="22" xfId="3" applyNumberFormat="1" applyFont="1" applyFill="1" applyBorder="1" applyAlignment="1">
      <alignment horizontal="center" wrapText="1"/>
    </xf>
    <xf numFmtId="3" fontId="10" fillId="0" borderId="26" xfId="3" applyNumberFormat="1" applyFont="1" applyFill="1" applyBorder="1"/>
    <xf numFmtId="3" fontId="10" fillId="0" borderId="24" xfId="3" applyNumberFormat="1" applyFont="1" applyFill="1" applyBorder="1" applyAlignment="1">
      <alignment horizontal="center"/>
    </xf>
    <xf numFmtId="3" fontId="10" fillId="0" borderId="14" xfId="3" applyNumberFormat="1" applyFont="1" applyFill="1" applyBorder="1"/>
    <xf numFmtId="3" fontId="10" fillId="0" borderId="37" xfId="2" applyNumberFormat="1" applyFont="1" applyBorder="1" applyAlignment="1">
      <alignment horizontal="center"/>
    </xf>
    <xf numFmtId="3" fontId="10" fillId="2" borderId="2" xfId="2" applyNumberFormat="1" applyFont="1" applyFill="1" applyBorder="1"/>
    <xf numFmtId="3" fontId="23" fillId="0" borderId="40" xfId="0" applyNumberFormat="1" applyFont="1" applyFill="1" applyBorder="1"/>
    <xf numFmtId="3" fontId="23" fillId="0" borderId="41" xfId="0" applyNumberFormat="1" applyFont="1" applyFill="1" applyBorder="1"/>
    <xf numFmtId="3" fontId="23" fillId="0" borderId="44" xfId="0" applyNumberFormat="1" applyFont="1" applyFill="1" applyBorder="1"/>
    <xf numFmtId="3" fontId="23" fillId="0" borderId="28" xfId="0" applyNumberFormat="1" applyFont="1" applyFill="1" applyBorder="1"/>
    <xf numFmtId="3" fontId="10" fillId="0" borderId="37" xfId="2" applyNumberFormat="1" applyFont="1" applyBorder="1" applyAlignment="1">
      <alignment horizontal="center" vertical="center"/>
    </xf>
    <xf numFmtId="3" fontId="10" fillId="0" borderId="46" xfId="2" applyNumberFormat="1" applyFont="1" applyBorder="1" applyAlignment="1">
      <alignment horizontal="center"/>
    </xf>
    <xf numFmtId="3" fontId="9" fillId="0" borderId="33" xfId="3" applyNumberFormat="1" applyFont="1" applyFill="1" applyBorder="1"/>
    <xf numFmtId="3" fontId="24" fillId="2" borderId="2" xfId="2" applyNumberFormat="1" applyFont="1" applyFill="1" applyBorder="1"/>
    <xf numFmtId="3" fontId="22" fillId="2" borderId="1" xfId="2" applyNumberFormat="1" applyFont="1" applyFill="1" applyBorder="1" applyAlignment="1">
      <alignment horizontal="center" vertical="center"/>
    </xf>
    <xf numFmtId="3" fontId="22" fillId="2" borderId="2" xfId="2" applyNumberFormat="1" applyFont="1" applyFill="1" applyBorder="1" applyAlignment="1"/>
    <xf numFmtId="3" fontId="22" fillId="2" borderId="6" xfId="2" applyNumberFormat="1" applyFont="1" applyFill="1" applyBorder="1" applyAlignment="1"/>
    <xf numFmtId="3" fontId="22" fillId="0" borderId="22" xfId="2" applyNumberFormat="1" applyFont="1" applyFill="1" applyBorder="1" applyAlignment="1">
      <alignment horizontal="center"/>
    </xf>
    <xf numFmtId="3" fontId="22" fillId="0" borderId="7" xfId="2" applyNumberFormat="1" applyFont="1" applyFill="1" applyBorder="1" applyAlignment="1">
      <alignment horizontal="center"/>
    </xf>
    <xf numFmtId="3" fontId="22" fillId="0" borderId="13" xfId="2" applyNumberFormat="1" applyFont="1" applyFill="1" applyBorder="1" applyAlignment="1">
      <alignment horizontal="center"/>
    </xf>
    <xf numFmtId="3" fontId="22" fillId="0" borderId="23" xfId="2" applyNumberFormat="1" applyFont="1" applyFill="1" applyBorder="1" applyAlignment="1">
      <alignment horizontal="center"/>
    </xf>
    <xf numFmtId="3" fontId="9" fillId="0" borderId="21" xfId="3" applyNumberFormat="1" applyFont="1" applyFill="1" applyBorder="1"/>
    <xf numFmtId="3" fontId="22" fillId="0" borderId="24" xfId="2" applyNumberFormat="1" applyFont="1" applyFill="1" applyBorder="1" applyAlignment="1">
      <alignment horizontal="center"/>
    </xf>
    <xf numFmtId="3" fontId="22" fillId="2" borderId="2" xfId="2" applyNumberFormat="1" applyFont="1" applyFill="1" applyBorder="1" applyAlignment="1">
      <alignment horizontal="center"/>
    </xf>
    <xf numFmtId="3" fontId="22" fillId="0" borderId="9" xfId="2" applyNumberFormat="1" applyFont="1" applyFill="1" applyBorder="1" applyAlignment="1">
      <alignment horizontal="center"/>
    </xf>
    <xf numFmtId="3" fontId="9" fillId="0" borderId="29" xfId="3" applyNumberFormat="1" applyFont="1" applyFill="1" applyBorder="1"/>
    <xf numFmtId="3" fontId="22" fillId="0" borderId="15" xfId="2" applyNumberFormat="1" applyFont="1" applyFill="1" applyBorder="1" applyAlignment="1">
      <alignment horizontal="center"/>
    </xf>
    <xf numFmtId="3" fontId="22" fillId="4" borderId="2" xfId="2" applyNumberFormat="1" applyFont="1" applyFill="1" applyBorder="1"/>
    <xf numFmtId="3" fontId="22" fillId="4" borderId="1" xfId="2" applyNumberFormat="1" applyFont="1" applyFill="1" applyBorder="1" applyAlignment="1">
      <alignment horizontal="center" vertical="center"/>
    </xf>
    <xf numFmtId="3" fontId="22" fillId="4" borderId="2" xfId="2" applyNumberFormat="1" applyFont="1" applyFill="1" applyBorder="1" applyAlignment="1">
      <alignment horizontal="center" vertical="center" wrapText="1"/>
    </xf>
    <xf numFmtId="3" fontId="22" fillId="0" borderId="37" xfId="2" applyNumberFormat="1" applyFont="1" applyBorder="1" applyAlignment="1">
      <alignment horizontal="center" vertical="center"/>
    </xf>
    <xf numFmtId="3" fontId="22" fillId="2" borderId="1" xfId="2" applyNumberFormat="1" applyFont="1" applyFill="1" applyBorder="1" applyAlignment="1">
      <alignment horizontal="center"/>
    </xf>
    <xf numFmtId="3" fontId="22" fillId="2" borderId="2" xfId="2" applyNumberFormat="1" applyFont="1" applyFill="1" applyBorder="1" applyAlignment="1">
      <alignment vertical="center"/>
    </xf>
    <xf numFmtId="3" fontId="9" fillId="0" borderId="40" xfId="1" applyNumberFormat="1" applyFont="1" applyFill="1" applyBorder="1" applyAlignment="1">
      <alignment horizontal="center" vertical="center"/>
    </xf>
    <xf numFmtId="3" fontId="9" fillId="0" borderId="8" xfId="1" applyNumberFormat="1" applyFont="1" applyFill="1" applyBorder="1" applyAlignment="1">
      <alignment horizontal="center" vertical="center"/>
    </xf>
    <xf numFmtId="3" fontId="24" fillId="2" borderId="19" xfId="2" applyNumberFormat="1" applyFont="1" applyFill="1" applyBorder="1"/>
    <xf numFmtId="3" fontId="22" fillId="4" borderId="2" xfId="2" applyNumberFormat="1" applyFont="1" applyFill="1" applyBorder="1" applyAlignment="1">
      <alignment horizontal="center"/>
    </xf>
    <xf numFmtId="3" fontId="22" fillId="0" borderId="43" xfId="2" applyNumberFormat="1" applyFont="1" applyFill="1" applyBorder="1" applyAlignment="1">
      <alignment horizontal="center" vertical="center"/>
    </xf>
    <xf numFmtId="3" fontId="22" fillId="0" borderId="49" xfId="2" applyNumberFormat="1" applyFont="1" applyFill="1" applyBorder="1" applyAlignment="1">
      <alignment horizontal="center"/>
    </xf>
    <xf numFmtId="3" fontId="22" fillId="2" borderId="19" xfId="2" applyNumberFormat="1" applyFont="1" applyFill="1" applyBorder="1" applyAlignment="1">
      <alignment horizontal="center" vertical="center" wrapText="1"/>
    </xf>
    <xf numFmtId="3" fontId="22" fillId="2" borderId="19" xfId="2" applyNumberFormat="1" applyFont="1" applyFill="1" applyBorder="1" applyAlignment="1">
      <alignment vertical="center" wrapText="1"/>
    </xf>
    <xf numFmtId="3" fontId="22" fillId="2" borderId="2" xfId="2" applyNumberFormat="1" applyFont="1" applyFill="1" applyBorder="1" applyAlignment="1">
      <alignment vertical="center" wrapText="1"/>
    </xf>
    <xf numFmtId="0" fontId="3" fillId="0" borderId="0" xfId="0" applyFont="1"/>
    <xf numFmtId="0" fontId="0" fillId="0" borderId="0" xfId="0" applyFont="1"/>
    <xf numFmtId="0" fontId="22" fillId="2" borderId="2" xfId="2" applyFont="1" applyFill="1" applyBorder="1" applyAlignment="1">
      <alignment vertical="center"/>
    </xf>
    <xf numFmtId="49" fontId="22" fillId="2" borderId="1" xfId="2" applyNumberFormat="1" applyFont="1" applyFill="1" applyBorder="1" applyAlignment="1">
      <alignment horizontal="center" vertical="center"/>
    </xf>
    <xf numFmtId="0" fontId="22" fillId="2" borderId="2" xfId="2" applyFont="1" applyFill="1" applyBorder="1" applyAlignment="1"/>
    <xf numFmtId="0" fontId="22" fillId="2" borderId="6" xfId="2" applyFont="1" applyFill="1" applyBorder="1" applyAlignment="1"/>
    <xf numFmtId="1" fontId="22" fillId="0" borderId="7" xfId="2" applyNumberFormat="1" applyFont="1" applyFill="1" applyBorder="1" applyAlignment="1">
      <alignment horizontal="center"/>
    </xf>
    <xf numFmtId="1" fontId="22" fillId="0" borderId="13" xfId="2" applyNumberFormat="1" applyFont="1" applyFill="1" applyBorder="1" applyAlignment="1">
      <alignment horizontal="center"/>
    </xf>
    <xf numFmtId="0" fontId="22" fillId="4" borderId="2" xfId="2" applyFont="1" applyFill="1" applyBorder="1"/>
    <xf numFmtId="0" fontId="22" fillId="4" borderId="1" xfId="2" applyFont="1" applyFill="1" applyBorder="1" applyAlignment="1">
      <alignment horizontal="center" vertical="center"/>
    </xf>
    <xf numFmtId="0" fontId="22" fillId="2" borderId="1" xfId="2" applyFont="1" applyFill="1" applyBorder="1" applyAlignment="1">
      <alignment horizontal="center"/>
    </xf>
    <xf numFmtId="0" fontId="9" fillId="0" borderId="8" xfId="1" applyNumberFormat="1" applyFont="1" applyFill="1" applyBorder="1" applyAlignment="1">
      <alignment horizontal="center" vertical="center"/>
    </xf>
    <xf numFmtId="1" fontId="22" fillId="0" borderId="0" xfId="2" applyNumberFormat="1" applyFont="1" applyFill="1" applyBorder="1" applyAlignment="1">
      <alignment horizontal="center"/>
    </xf>
    <xf numFmtId="1" fontId="22" fillId="0" borderId="47" xfId="2" applyNumberFormat="1" applyFont="1" applyFill="1" applyBorder="1" applyAlignment="1">
      <alignment horizontal="center"/>
    </xf>
    <xf numFmtId="0" fontId="22" fillId="2" borderId="1" xfId="2" applyFont="1" applyFill="1" applyBorder="1" applyAlignment="1">
      <alignment horizontal="center" vertical="center"/>
    </xf>
    <xf numFmtId="0" fontId="22" fillId="2" borderId="19" xfId="2" applyFont="1" applyFill="1" applyBorder="1" applyAlignment="1">
      <alignment vertical="center" wrapText="1"/>
    </xf>
    <xf numFmtId="0" fontId="22" fillId="2" borderId="2" xfId="2" applyFont="1" applyFill="1" applyBorder="1" applyAlignment="1">
      <alignment vertical="center" wrapText="1"/>
    </xf>
    <xf numFmtId="0" fontId="22" fillId="2" borderId="19" xfId="2" applyFont="1" applyFill="1" applyBorder="1" applyAlignment="1">
      <alignment horizontal="center" vertical="center" wrapText="1"/>
    </xf>
    <xf numFmtId="3" fontId="0" fillId="0" borderId="0" xfId="0" applyNumberFormat="1" applyFont="1"/>
    <xf numFmtId="3" fontId="22" fillId="2" borderId="19" xfId="2" applyNumberFormat="1" applyFont="1" applyFill="1" applyBorder="1" applyAlignment="1">
      <alignment horizontal="center" vertical="center"/>
    </xf>
    <xf numFmtId="3" fontId="3" fillId="0" borderId="0" xfId="0" applyNumberFormat="1" applyFont="1"/>
    <xf numFmtId="1" fontId="22" fillId="0" borderId="45" xfId="2" applyNumberFormat="1" applyFont="1" applyBorder="1" applyAlignment="1">
      <alignment horizontal="center"/>
    </xf>
    <xf numFmtId="0" fontId="7" fillId="4" borderId="2" xfId="2" applyFont="1" applyFill="1" applyBorder="1" applyAlignment="1">
      <alignment horizontal="center" vertical="center"/>
    </xf>
    <xf numFmtId="0" fontId="3" fillId="0" borderId="0" xfId="0" applyFont="1" applyAlignment="1">
      <alignment horizontal="center" vertical="center"/>
    </xf>
    <xf numFmtId="1" fontId="7" fillId="0" borderId="62" xfId="2" applyNumberFormat="1" applyFont="1" applyFill="1" applyBorder="1" applyAlignment="1">
      <alignment horizontal="center"/>
    </xf>
    <xf numFmtId="1" fontId="7" fillId="0" borderId="56" xfId="2" applyNumberFormat="1" applyFont="1" applyFill="1" applyBorder="1" applyAlignment="1">
      <alignment horizontal="center"/>
    </xf>
    <xf numFmtId="1" fontId="7" fillId="0" borderId="63" xfId="2" applyNumberFormat="1" applyFont="1" applyFill="1" applyBorder="1" applyAlignment="1">
      <alignment horizontal="center"/>
    </xf>
    <xf numFmtId="165" fontId="9" fillId="6" borderId="54" xfId="3" applyNumberFormat="1" applyFont="1" applyFill="1" applyBorder="1" applyAlignment="1">
      <alignment horizontal="center"/>
    </xf>
    <xf numFmtId="165" fontId="9" fillId="8" borderId="54" xfId="3" applyNumberFormat="1" applyFont="1" applyFill="1" applyBorder="1" applyAlignment="1">
      <alignment horizontal="center"/>
    </xf>
    <xf numFmtId="166" fontId="10" fillId="8" borderId="55" xfId="3" applyNumberFormat="1" applyFont="1" applyFill="1" applyBorder="1" applyAlignment="1">
      <alignment horizontal="center" vertical="center" wrapText="1"/>
    </xf>
    <xf numFmtId="49" fontId="7" fillId="8" borderId="56" xfId="4" applyNumberFormat="1" applyFont="1" applyFill="1" applyBorder="1" applyAlignment="1">
      <alignment horizontal="center"/>
    </xf>
    <xf numFmtId="0" fontId="0" fillId="8" borderId="0" xfId="0" applyFill="1"/>
    <xf numFmtId="166" fontId="10" fillId="0" borderId="52" xfId="3" applyNumberFormat="1" applyFont="1" applyFill="1" applyBorder="1" applyAlignment="1">
      <alignment horizontal="left" vertical="center" wrapText="1"/>
    </xf>
    <xf numFmtId="166" fontId="10" fillId="6" borderId="55" xfId="3" applyNumberFormat="1" applyFont="1" applyFill="1" applyBorder="1" applyAlignment="1">
      <alignment horizontal="left" vertical="center" wrapText="1"/>
    </xf>
    <xf numFmtId="166" fontId="10" fillId="0" borderId="55" xfId="3" applyNumberFormat="1" applyFont="1" applyFill="1" applyBorder="1" applyAlignment="1">
      <alignment horizontal="left" vertical="center" wrapText="1"/>
    </xf>
    <xf numFmtId="166" fontId="10" fillId="5" borderId="57" xfId="3" applyNumberFormat="1" applyFont="1" applyFill="1" applyBorder="1" applyAlignment="1">
      <alignment horizontal="center" vertical="top" wrapText="1"/>
    </xf>
    <xf numFmtId="166" fontId="10" fillId="0" borderId="64" xfId="3" applyNumberFormat="1" applyFont="1" applyFill="1" applyBorder="1" applyAlignment="1">
      <alignment horizontal="center" vertical="center" wrapText="1"/>
    </xf>
    <xf numFmtId="49" fontId="7" fillId="0" borderId="65" xfId="4" applyNumberFormat="1" applyFont="1" applyFill="1" applyBorder="1" applyAlignment="1">
      <alignment horizontal="center"/>
    </xf>
    <xf numFmtId="3" fontId="9" fillId="0" borderId="66" xfId="3" applyNumberFormat="1" applyFont="1" applyFill="1" applyBorder="1" applyAlignment="1">
      <alignment horizontal="center"/>
    </xf>
    <xf numFmtId="3" fontId="22" fillId="0" borderId="68" xfId="1" applyNumberFormat="1" applyFont="1" applyFill="1" applyBorder="1" applyAlignment="1">
      <alignment horizontal="center" vertical="center"/>
    </xf>
    <xf numFmtId="3" fontId="9" fillId="0" borderId="66" xfId="3" applyNumberFormat="1" applyFont="1" applyFill="1" applyBorder="1" applyAlignment="1">
      <alignment horizontal="center" vertical="center" wrapText="1"/>
    </xf>
    <xf numFmtId="3" fontId="22" fillId="0" borderId="66" xfId="4" applyNumberFormat="1" applyFont="1" applyFill="1" applyBorder="1" applyAlignment="1">
      <alignment horizontal="center"/>
    </xf>
    <xf numFmtId="3" fontId="9" fillId="6" borderId="66" xfId="3" applyNumberFormat="1" applyFont="1" applyFill="1" applyBorder="1" applyAlignment="1">
      <alignment horizontal="center"/>
    </xf>
    <xf numFmtId="3" fontId="22" fillId="6" borderId="68" xfId="1" applyNumberFormat="1" applyFont="1" applyFill="1" applyBorder="1" applyAlignment="1">
      <alignment horizontal="center" vertical="center"/>
    </xf>
    <xf numFmtId="3" fontId="9" fillId="6" borderId="66" xfId="3" applyNumberFormat="1" applyFont="1" applyFill="1" applyBorder="1" applyAlignment="1">
      <alignment horizontal="center" vertical="center" wrapText="1"/>
    </xf>
    <xf numFmtId="3" fontId="22" fillId="6" borderId="66" xfId="4" applyNumberFormat="1" applyFont="1" applyFill="1" applyBorder="1" applyAlignment="1">
      <alignment horizontal="center"/>
    </xf>
    <xf numFmtId="3" fontId="22" fillId="0" borderId="67" xfId="4" applyNumberFormat="1" applyFont="1" applyFill="1" applyBorder="1" applyAlignment="1">
      <alignment horizontal="center"/>
    </xf>
    <xf numFmtId="3" fontId="22" fillId="6" borderId="67" xfId="4" applyNumberFormat="1" applyFont="1" applyFill="1" applyBorder="1" applyAlignment="1">
      <alignment horizontal="center"/>
    </xf>
    <xf numFmtId="165" fontId="9" fillId="0" borderId="62" xfId="3" applyNumberFormat="1" applyFont="1" applyFill="1" applyBorder="1" applyAlignment="1">
      <alignment horizontal="center"/>
    </xf>
    <xf numFmtId="165" fontId="9" fillId="0" borderId="53" xfId="3" applyNumberFormat="1" applyFont="1" applyFill="1" applyBorder="1" applyAlignment="1">
      <alignment horizontal="center"/>
    </xf>
    <xf numFmtId="165" fontId="9" fillId="8" borderId="56" xfId="3" applyNumberFormat="1" applyFont="1" applyFill="1" applyBorder="1" applyAlignment="1">
      <alignment horizontal="center"/>
    </xf>
    <xf numFmtId="165" fontId="9" fillId="0" borderId="56" xfId="3" applyNumberFormat="1" applyFont="1" applyFill="1" applyBorder="1" applyAlignment="1">
      <alignment horizontal="center"/>
    </xf>
    <xf numFmtId="165" fontId="9" fillId="0" borderId="58" xfId="3" applyNumberFormat="1" applyFont="1" applyFill="1" applyBorder="1" applyAlignment="1">
      <alignment horizontal="center"/>
    </xf>
    <xf numFmtId="165" fontId="9" fillId="6" borderId="19" xfId="3" applyNumberFormat="1" applyFont="1" applyFill="1" applyBorder="1" applyAlignment="1">
      <alignment horizontal="center"/>
    </xf>
    <xf numFmtId="165" fontId="9" fillId="8" borderId="53" xfId="3" applyNumberFormat="1" applyFont="1" applyFill="1" applyBorder="1" applyAlignment="1">
      <alignment horizontal="center"/>
    </xf>
    <xf numFmtId="165" fontId="9" fillId="8" borderId="58" xfId="3" applyNumberFormat="1" applyFont="1" applyFill="1" applyBorder="1" applyAlignment="1">
      <alignment horizontal="center"/>
    </xf>
    <xf numFmtId="165" fontId="9" fillId="0" borderId="62" xfId="3" applyNumberFormat="1" applyFont="1" applyFill="1" applyBorder="1" applyAlignment="1">
      <alignment horizontal="center" vertical="top" wrapText="1"/>
    </xf>
    <xf numFmtId="165" fontId="9" fillId="0" borderId="7" xfId="3" applyNumberFormat="1" applyFont="1" applyFill="1" applyBorder="1" applyAlignment="1">
      <alignment horizontal="center" vertical="top" wrapText="1"/>
    </xf>
    <xf numFmtId="165" fontId="9" fillId="8" borderId="53" xfId="3" applyNumberFormat="1" applyFont="1" applyFill="1" applyBorder="1" applyAlignment="1">
      <alignment horizontal="center" vertical="top" wrapText="1"/>
    </xf>
    <xf numFmtId="165" fontId="9" fillId="8" borderId="53" xfId="3" applyNumberFormat="1" applyFont="1" applyFill="1" applyBorder="1" applyAlignment="1">
      <alignment horizontal="left" vertical="top" wrapText="1"/>
    </xf>
    <xf numFmtId="165" fontId="9" fillId="8" borderId="56" xfId="3" applyNumberFormat="1" applyFont="1" applyFill="1" applyBorder="1" applyAlignment="1">
      <alignment horizontal="center" vertical="top" wrapText="1"/>
    </xf>
    <xf numFmtId="165" fontId="9" fillId="8" borderId="58" xfId="3" applyNumberFormat="1" applyFont="1" applyFill="1" applyBorder="1" applyAlignment="1">
      <alignment horizontal="center" vertical="top" wrapText="1"/>
    </xf>
    <xf numFmtId="3" fontId="7" fillId="6" borderId="68" xfId="1" applyNumberFormat="1" applyFont="1" applyFill="1" applyBorder="1" applyAlignment="1">
      <alignment horizontal="center" vertical="center"/>
    </xf>
    <xf numFmtId="165" fontId="7" fillId="6" borderId="19" xfId="3" applyNumberFormat="1" applyFont="1" applyFill="1" applyBorder="1" applyAlignment="1">
      <alignment horizontal="center"/>
    </xf>
    <xf numFmtId="165" fontId="10" fillId="6" borderId="54" xfId="3" applyNumberFormat="1" applyFont="1" applyFill="1" applyBorder="1" applyAlignment="1">
      <alignment horizontal="center"/>
    </xf>
    <xf numFmtId="3" fontId="10" fillId="6" borderId="66" xfId="3" applyNumberFormat="1" applyFont="1" applyFill="1" applyBorder="1" applyAlignment="1">
      <alignment horizontal="center" vertical="center" wrapText="1"/>
    </xf>
    <xf numFmtId="165" fontId="10" fillId="6" borderId="19" xfId="3" applyNumberFormat="1" applyFont="1" applyFill="1" applyBorder="1" applyAlignment="1">
      <alignment horizontal="center"/>
    </xf>
    <xf numFmtId="165" fontId="10" fillId="6" borderId="19" xfId="3" applyNumberFormat="1" applyFont="1" applyFill="1" applyBorder="1" applyAlignment="1">
      <alignment horizontal="center" vertical="top" wrapText="1"/>
    </xf>
    <xf numFmtId="3" fontId="10" fillId="6" borderId="66" xfId="3" applyNumberFormat="1" applyFont="1" applyFill="1" applyBorder="1" applyAlignment="1">
      <alignment horizontal="center" vertical="center"/>
    </xf>
    <xf numFmtId="3" fontId="7" fillId="6" borderId="66" xfId="4" applyNumberFormat="1" applyFont="1" applyFill="1" applyBorder="1" applyAlignment="1">
      <alignment horizontal="center" vertical="center"/>
    </xf>
    <xf numFmtId="165" fontId="9" fillId="0" borderId="53" xfId="3" applyNumberFormat="1" applyFont="1" applyFill="1" applyBorder="1" applyAlignment="1">
      <alignment horizontal="center" wrapText="1"/>
    </xf>
    <xf numFmtId="165" fontId="9" fillId="0" borderId="53" xfId="3" applyNumberFormat="1" applyFont="1" applyFill="1" applyBorder="1" applyAlignment="1">
      <alignment horizontal="center" vertical="top" wrapText="1"/>
    </xf>
    <xf numFmtId="165" fontId="9" fillId="0" borderId="53" xfId="3" applyNumberFormat="1" applyFont="1" applyFill="1" applyBorder="1" applyAlignment="1">
      <alignment horizontal="center" vertical="center" wrapText="1"/>
    </xf>
    <xf numFmtId="165" fontId="10" fillId="8" borderId="19" xfId="3" applyNumberFormat="1" applyFont="1" applyFill="1" applyBorder="1" applyAlignment="1">
      <alignment horizontal="center" vertical="top" wrapText="1"/>
    </xf>
    <xf numFmtId="3" fontId="7" fillId="6" borderId="67" xfId="4" applyNumberFormat="1" applyFont="1" applyFill="1" applyBorder="1" applyAlignment="1">
      <alignment horizontal="center" vertical="center"/>
    </xf>
    <xf numFmtId="3" fontId="9" fillId="0" borderId="66" xfId="3" applyNumberFormat="1" applyFont="1" applyFill="1" applyBorder="1" applyAlignment="1">
      <alignment horizontal="center" vertical="center"/>
    </xf>
    <xf numFmtId="3" fontId="22" fillId="0" borderId="67" xfId="4" applyNumberFormat="1" applyFont="1" applyFill="1" applyBorder="1" applyAlignment="1">
      <alignment horizontal="center" vertical="center"/>
    </xf>
    <xf numFmtId="3" fontId="22" fillId="0" borderId="66" xfId="4" applyNumberFormat="1" applyFont="1" applyFill="1" applyBorder="1" applyAlignment="1">
      <alignment horizontal="center" vertical="center"/>
    </xf>
    <xf numFmtId="165" fontId="9" fillId="0" borderId="56" xfId="3" applyNumberFormat="1" applyFont="1" applyFill="1" applyBorder="1" applyAlignment="1">
      <alignment horizontal="center" wrapText="1"/>
    </xf>
    <xf numFmtId="165" fontId="9" fillId="0" borderId="56" xfId="3" applyNumberFormat="1" applyFont="1" applyFill="1" applyBorder="1" applyAlignment="1">
      <alignment horizontal="center" vertical="top" wrapText="1"/>
    </xf>
    <xf numFmtId="165" fontId="9" fillId="0" borderId="58" xfId="3" applyNumberFormat="1" applyFont="1" applyFill="1" applyBorder="1" applyAlignment="1">
      <alignment horizontal="center" vertical="top" wrapText="1"/>
    </xf>
    <xf numFmtId="165" fontId="9" fillId="0" borderId="58" xfId="3" applyNumberFormat="1" applyFont="1" applyFill="1" applyBorder="1" applyAlignment="1">
      <alignment horizontal="center" vertical="center" wrapText="1"/>
    </xf>
    <xf numFmtId="165" fontId="9" fillId="6" borderId="19" xfId="3" applyNumberFormat="1" applyFont="1" applyFill="1" applyBorder="1" applyAlignment="1">
      <alignment horizontal="center" vertical="top" wrapText="1"/>
    </xf>
    <xf numFmtId="3" fontId="25" fillId="6" borderId="66" xfId="3" applyNumberFormat="1" applyFont="1" applyFill="1" applyBorder="1" applyAlignment="1">
      <alignment horizontal="center"/>
    </xf>
    <xf numFmtId="3" fontId="11" fillId="2" borderId="38" xfId="2" applyNumberFormat="1" applyFont="1" applyFill="1" applyBorder="1" applyAlignment="1">
      <alignment horizontal="center" vertical="center"/>
    </xf>
    <xf numFmtId="1" fontId="7" fillId="0" borderId="7" xfId="2" applyNumberFormat="1" applyFont="1" applyFill="1" applyBorder="1" applyAlignment="1">
      <alignment horizontal="center"/>
    </xf>
    <xf numFmtId="169" fontId="9" fillId="0" borderId="21" xfId="1" applyNumberFormat="1" applyFont="1" applyFill="1" applyBorder="1" applyAlignment="1">
      <alignment horizontal="center" vertical="center"/>
    </xf>
    <xf numFmtId="0" fontId="9" fillId="0" borderId="40" xfId="1" applyNumberFormat="1" applyFont="1" applyFill="1" applyBorder="1" applyAlignment="1">
      <alignment horizontal="center" vertical="center"/>
    </xf>
    <xf numFmtId="169" fontId="9" fillId="0" borderId="40" xfId="1" applyNumberFormat="1" applyFont="1" applyFill="1" applyBorder="1" applyAlignment="1">
      <alignment horizontal="center" vertical="center"/>
    </xf>
    <xf numFmtId="169" fontId="9" fillId="0" borderId="8" xfId="1" applyNumberFormat="1" applyFont="1" applyFill="1" applyBorder="1" applyAlignment="1">
      <alignment horizontal="center" vertical="center"/>
    </xf>
    <xf numFmtId="169" fontId="9" fillId="0" borderId="41" xfId="1" applyNumberFormat="1" applyFont="1" applyFill="1" applyBorder="1" applyAlignment="1">
      <alignment horizontal="center" vertical="center"/>
    </xf>
    <xf numFmtId="169" fontId="9" fillId="0" borderId="13" xfId="1" applyNumberFormat="1" applyFont="1" applyFill="1" applyBorder="1" applyAlignment="1">
      <alignment horizontal="center" vertical="center"/>
    </xf>
    <xf numFmtId="3" fontId="10" fillId="0" borderId="13" xfId="1" applyNumberFormat="1" applyFont="1" applyFill="1" applyBorder="1" applyAlignment="1">
      <alignment horizontal="center" vertical="center"/>
    </xf>
    <xf numFmtId="3" fontId="9" fillId="0" borderId="13" xfId="1" applyNumberFormat="1" applyFont="1" applyFill="1" applyBorder="1" applyAlignment="1">
      <alignment horizontal="center" vertical="center"/>
    </xf>
    <xf numFmtId="3" fontId="9" fillId="0" borderId="48" xfId="2" applyNumberFormat="1" applyFont="1" applyBorder="1" applyAlignment="1">
      <alignment horizontal="center" wrapText="1"/>
    </xf>
    <xf numFmtId="0" fontId="10" fillId="0" borderId="39" xfId="1" applyNumberFormat="1" applyFont="1" applyFill="1" applyBorder="1" applyAlignment="1">
      <alignment horizontal="center" vertical="center"/>
    </xf>
    <xf numFmtId="169" fontId="10" fillId="0" borderId="39" xfId="1" applyNumberFormat="1" applyFont="1" applyFill="1" applyBorder="1" applyAlignment="1">
      <alignment horizontal="center" vertical="center"/>
    </xf>
    <xf numFmtId="169" fontId="10" fillId="0" borderId="62" xfId="1" applyNumberFormat="1" applyFont="1" applyFill="1" applyBorder="1" applyAlignment="1">
      <alignment horizontal="center" vertical="center"/>
    </xf>
    <xf numFmtId="169" fontId="10" fillId="0" borderId="21" xfId="1" applyNumberFormat="1" applyFont="1" applyFill="1" applyBorder="1" applyAlignment="1">
      <alignment horizontal="center" vertical="center"/>
    </xf>
    <xf numFmtId="0" fontId="10" fillId="0" borderId="40" xfId="1" applyNumberFormat="1" applyFont="1" applyFill="1" applyBorder="1" applyAlignment="1">
      <alignment horizontal="center" vertical="center"/>
    </xf>
    <xf numFmtId="169" fontId="10" fillId="0" borderId="40" xfId="1" applyNumberFormat="1" applyFont="1" applyFill="1" applyBorder="1" applyAlignment="1">
      <alignment horizontal="center" vertical="center"/>
    </xf>
    <xf numFmtId="169" fontId="10" fillId="0" borderId="56" xfId="1" applyNumberFormat="1" applyFont="1" applyFill="1" applyBorder="1" applyAlignment="1">
      <alignment horizontal="center" vertical="center"/>
    </xf>
    <xf numFmtId="169" fontId="10" fillId="0" borderId="8" xfId="1" applyNumberFormat="1" applyFont="1" applyFill="1" applyBorder="1" applyAlignment="1">
      <alignment horizontal="center" vertical="center"/>
    </xf>
    <xf numFmtId="0" fontId="10" fillId="0" borderId="41" xfId="1" applyNumberFormat="1" applyFont="1" applyFill="1" applyBorder="1" applyAlignment="1">
      <alignment horizontal="center" vertical="center"/>
    </xf>
    <xf numFmtId="169" fontId="10" fillId="0" borderId="41" xfId="1" applyNumberFormat="1" applyFont="1" applyFill="1" applyBorder="1" applyAlignment="1">
      <alignment horizontal="center" vertical="center"/>
    </xf>
    <xf numFmtId="169" fontId="10" fillId="0" borderId="63" xfId="1" applyNumberFormat="1" applyFont="1" applyFill="1" applyBorder="1" applyAlignment="1">
      <alignment horizontal="center" vertical="center"/>
    </xf>
    <xf numFmtId="169" fontId="10" fillId="0" borderId="13" xfId="1" applyNumberFormat="1" applyFont="1" applyFill="1" applyBorder="1" applyAlignment="1">
      <alignment horizontal="center" vertical="center"/>
    </xf>
    <xf numFmtId="0" fontId="10" fillId="0" borderId="42" xfId="1" applyNumberFormat="1" applyFont="1" applyFill="1" applyBorder="1" applyAlignment="1">
      <alignment horizontal="center" vertical="center"/>
    </xf>
    <xf numFmtId="169" fontId="10" fillId="0" borderId="42" xfId="1" applyNumberFormat="1" applyFont="1" applyFill="1" applyBorder="1" applyAlignment="1">
      <alignment horizontal="center" vertical="center"/>
    </xf>
    <xf numFmtId="1" fontId="7" fillId="0" borderId="37" xfId="2" applyNumberFormat="1" applyFont="1" applyBorder="1" applyAlignment="1">
      <alignment horizontal="center"/>
    </xf>
    <xf numFmtId="169" fontId="9" fillId="0" borderId="37" xfId="1" applyNumberFormat="1" applyFont="1" applyBorder="1" applyAlignment="1">
      <alignment horizontal="center"/>
    </xf>
    <xf numFmtId="169" fontId="9" fillId="0" borderId="37" xfId="1" applyNumberFormat="1" applyFont="1" applyBorder="1" applyAlignment="1">
      <alignment horizontal="center" vertical="center"/>
    </xf>
    <xf numFmtId="169" fontId="9" fillId="0" borderId="46" xfId="1" applyNumberFormat="1" applyFont="1" applyBorder="1" applyAlignment="1">
      <alignment horizontal="center" vertical="center"/>
    </xf>
    <xf numFmtId="169" fontId="9" fillId="0" borderId="46" xfId="1" applyNumberFormat="1" applyFont="1" applyBorder="1" applyAlignment="1">
      <alignment horizontal="center"/>
    </xf>
    <xf numFmtId="1" fontId="7" fillId="0" borderId="21" xfId="2" applyNumberFormat="1" applyFont="1" applyFill="1" applyBorder="1" applyAlignment="1">
      <alignment horizontal="center"/>
    </xf>
    <xf numFmtId="1" fontId="7" fillId="0" borderId="26" xfId="2" applyNumberFormat="1" applyFont="1" applyFill="1" applyBorder="1" applyAlignment="1">
      <alignment horizontal="center"/>
    </xf>
    <xf numFmtId="169" fontId="9" fillId="0" borderId="20" xfId="1" applyNumberFormat="1" applyFont="1" applyFill="1" applyBorder="1" applyAlignment="1">
      <alignment horizontal="center"/>
    </xf>
    <xf numFmtId="169" fontId="7" fillId="0" borderId="21" xfId="1" applyNumberFormat="1" applyFont="1" applyFill="1" applyBorder="1" applyAlignment="1">
      <alignment horizontal="center"/>
    </xf>
    <xf numFmtId="169" fontId="9" fillId="0" borderId="22" xfId="1" applyNumberFormat="1" applyFont="1" applyFill="1" applyBorder="1" applyAlignment="1">
      <alignment horizontal="center"/>
    </xf>
    <xf numFmtId="169" fontId="7" fillId="0" borderId="26" xfId="1" applyNumberFormat="1" applyFont="1" applyFill="1" applyBorder="1" applyAlignment="1">
      <alignment horizontal="center"/>
    </xf>
    <xf numFmtId="169" fontId="9" fillId="0" borderId="24" xfId="1" applyNumberFormat="1" applyFont="1" applyFill="1" applyBorder="1" applyAlignment="1">
      <alignment horizontal="center"/>
    </xf>
    <xf numFmtId="169" fontId="7" fillId="0" borderId="14" xfId="1" applyNumberFormat="1" applyFont="1" applyFill="1" applyBorder="1" applyAlignment="1">
      <alignment horizontal="center"/>
    </xf>
    <xf numFmtId="169" fontId="9" fillId="0" borderId="21" xfId="1" applyNumberFormat="1" applyFont="1" applyFill="1" applyBorder="1" applyAlignment="1">
      <alignment horizontal="center"/>
    </xf>
    <xf numFmtId="169" fontId="10" fillId="0" borderId="20" xfId="1" applyNumberFormat="1" applyFont="1" applyFill="1" applyBorder="1" applyAlignment="1">
      <alignment horizontal="center"/>
    </xf>
    <xf numFmtId="169" fontId="9" fillId="0" borderId="26" xfId="1" applyNumberFormat="1" applyFont="1" applyFill="1" applyBorder="1" applyAlignment="1">
      <alignment horizontal="center"/>
    </xf>
    <xf numFmtId="169" fontId="10" fillId="0" borderId="22" xfId="1" applyNumberFormat="1" applyFont="1" applyFill="1" applyBorder="1" applyAlignment="1">
      <alignment horizontal="center"/>
    </xf>
    <xf numFmtId="169" fontId="9" fillId="0" borderId="14" xfId="1" applyNumberFormat="1" applyFont="1" applyFill="1" applyBorder="1" applyAlignment="1">
      <alignment horizontal="center"/>
    </xf>
    <xf numFmtId="169" fontId="10" fillId="0" borderId="24" xfId="1" applyNumberFormat="1" applyFont="1" applyFill="1" applyBorder="1" applyAlignment="1">
      <alignment horizontal="center"/>
    </xf>
    <xf numFmtId="0" fontId="10" fillId="0" borderId="7" xfId="1" applyNumberFormat="1" applyFont="1" applyFill="1" applyBorder="1" applyAlignment="1">
      <alignment horizontal="center" vertical="center"/>
    </xf>
    <xf numFmtId="1" fontId="7" fillId="0" borderId="36" xfId="2" applyNumberFormat="1" applyFont="1" applyFill="1" applyBorder="1" applyAlignment="1">
      <alignment horizontal="center"/>
    </xf>
    <xf numFmtId="0" fontId="10" fillId="0" borderId="13" xfId="1" applyNumberFormat="1" applyFont="1" applyFill="1" applyBorder="1" applyAlignment="1">
      <alignment horizontal="center" vertical="center"/>
    </xf>
    <xf numFmtId="3" fontId="22" fillId="8" borderId="68" xfId="1" applyNumberFormat="1" applyFont="1" applyFill="1" applyBorder="1" applyAlignment="1">
      <alignment horizontal="center" vertical="center"/>
    </xf>
    <xf numFmtId="3" fontId="9" fillId="8" borderId="66" xfId="3" applyNumberFormat="1" applyFont="1" applyFill="1" applyBorder="1" applyAlignment="1">
      <alignment horizontal="center"/>
    </xf>
    <xf numFmtId="3" fontId="9" fillId="8" borderId="66" xfId="3" applyNumberFormat="1" applyFont="1" applyFill="1" applyBorder="1" applyAlignment="1">
      <alignment horizontal="center" vertical="center" wrapText="1"/>
    </xf>
    <xf numFmtId="3" fontId="22" fillId="8" borderId="67" xfId="4" applyNumberFormat="1" applyFont="1" applyFill="1" applyBorder="1" applyAlignment="1">
      <alignment horizontal="center"/>
    </xf>
    <xf numFmtId="0" fontId="9" fillId="0" borderId="39" xfId="1" applyNumberFormat="1" applyFont="1" applyFill="1" applyBorder="1" applyAlignment="1">
      <alignment horizontal="center" vertical="center"/>
    </xf>
    <xf numFmtId="3" fontId="7" fillId="0" borderId="20" xfId="2" applyNumberFormat="1" applyFont="1" applyFill="1" applyBorder="1" applyAlignment="1">
      <alignment horizontal="center"/>
    </xf>
    <xf numFmtId="3" fontId="9" fillId="0" borderId="20" xfId="1" applyNumberFormat="1" applyFont="1" applyFill="1" applyBorder="1" applyAlignment="1">
      <alignment horizontal="center"/>
    </xf>
    <xf numFmtId="3" fontId="9" fillId="0" borderId="22" xfId="1" applyNumberFormat="1" applyFont="1" applyFill="1" applyBorder="1" applyAlignment="1">
      <alignment horizontal="center"/>
    </xf>
    <xf numFmtId="3" fontId="9" fillId="0" borderId="24" xfId="1" applyNumberFormat="1" applyFont="1" applyFill="1" applyBorder="1" applyAlignment="1">
      <alignment horizontal="center"/>
    </xf>
    <xf numFmtId="49" fontId="16" fillId="9" borderId="8" xfId="4" applyNumberFormat="1" applyFont="1" applyFill="1" applyBorder="1" applyAlignment="1">
      <alignment horizontal="center"/>
    </xf>
    <xf numFmtId="49" fontId="16" fillId="9" borderId="26" xfId="4" applyNumberFormat="1" applyFont="1" applyFill="1" applyBorder="1" applyAlignment="1">
      <alignment horizontal="center"/>
    </xf>
    <xf numFmtId="49" fontId="16" fillId="9" borderId="14" xfId="4" applyNumberFormat="1" applyFont="1" applyFill="1" applyBorder="1" applyAlignment="1">
      <alignment horizontal="center"/>
    </xf>
    <xf numFmtId="3" fontId="10" fillId="9" borderId="23" xfId="4" applyNumberFormat="1" applyFont="1" applyFill="1" applyBorder="1" applyAlignment="1">
      <alignment horizontal="center"/>
    </xf>
    <xf numFmtId="3" fontId="0" fillId="0" borderId="0" xfId="0" applyNumberFormat="1"/>
    <xf numFmtId="169" fontId="0" fillId="0" borderId="0" xfId="0" applyNumberFormat="1"/>
    <xf numFmtId="169" fontId="10" fillId="0" borderId="43" xfId="1" applyNumberFormat="1" applyFont="1" applyFill="1" applyBorder="1"/>
    <xf numFmtId="169" fontId="10" fillId="0" borderId="49" xfId="1" applyNumberFormat="1" applyFont="1" applyFill="1" applyBorder="1"/>
    <xf numFmtId="169" fontId="10" fillId="0" borderId="50" xfId="1" applyNumberFormat="1" applyFont="1" applyFill="1" applyBorder="1"/>
    <xf numFmtId="166" fontId="10" fillId="0" borderId="21" xfId="3" applyNumberFormat="1" applyFont="1" applyFill="1" applyBorder="1"/>
    <xf numFmtId="166" fontId="10" fillId="0" borderId="26" xfId="3" applyNumberFormat="1" applyFont="1" applyFill="1" applyBorder="1"/>
    <xf numFmtId="166" fontId="10" fillId="0" borderId="14" xfId="3" applyNumberFormat="1" applyFont="1" applyFill="1" applyBorder="1"/>
    <xf numFmtId="169" fontId="10" fillId="0" borderId="21" xfId="1" applyNumberFormat="1" applyFont="1" applyFill="1" applyBorder="1" applyAlignment="1">
      <alignment horizontal="center"/>
    </xf>
    <xf numFmtId="169" fontId="10" fillId="0" borderId="23" xfId="1" applyNumberFormat="1" applyFont="1" applyFill="1" applyBorder="1" applyAlignment="1">
      <alignment horizontal="center"/>
    </xf>
    <xf numFmtId="166" fontId="10" fillId="0" borderId="8" xfId="3" applyNumberFormat="1" applyFont="1" applyFill="1" applyBorder="1"/>
    <xf numFmtId="169" fontId="10" fillId="0" borderId="21" xfId="1" applyNumberFormat="1" applyFont="1" applyFill="1" applyBorder="1"/>
    <xf numFmtId="169" fontId="10" fillId="0" borderId="26" xfId="1" applyNumberFormat="1" applyFont="1" applyFill="1" applyBorder="1"/>
    <xf numFmtId="0" fontId="12" fillId="3" borderId="28" xfId="0" applyFont="1" applyFill="1" applyBorder="1"/>
    <xf numFmtId="169" fontId="10" fillId="0" borderId="14" xfId="1" applyNumberFormat="1" applyFont="1" applyFill="1" applyBorder="1"/>
    <xf numFmtId="169" fontId="10" fillId="0" borderId="43" xfId="1" applyNumberFormat="1" applyFont="1" applyFill="1" applyBorder="1" applyAlignment="1">
      <alignment horizontal="right"/>
    </xf>
    <xf numFmtId="169" fontId="10" fillId="0" borderId="21" xfId="1" applyNumberFormat="1" applyFont="1" applyFill="1" applyBorder="1" applyAlignment="1">
      <alignment horizontal="right"/>
    </xf>
    <xf numFmtId="49" fontId="9" fillId="0" borderId="13" xfId="4" applyNumberFormat="1" applyFont="1" applyFill="1" applyBorder="1" applyAlignment="1">
      <alignment horizontal="center"/>
    </xf>
    <xf numFmtId="169" fontId="10" fillId="0" borderId="49" xfId="1" applyNumberFormat="1" applyFont="1" applyFill="1" applyBorder="1" applyAlignment="1">
      <alignment horizontal="right"/>
    </xf>
    <xf numFmtId="169" fontId="10" fillId="0" borderId="26" xfId="1" applyNumberFormat="1" applyFont="1" applyFill="1" applyBorder="1" applyAlignment="1">
      <alignment horizontal="right"/>
    </xf>
    <xf numFmtId="169" fontId="10" fillId="0" borderId="50" xfId="1" applyNumberFormat="1" applyFont="1" applyFill="1" applyBorder="1" applyAlignment="1">
      <alignment horizontal="right"/>
    </xf>
    <xf numFmtId="169" fontId="10" fillId="0" borderId="14" xfId="1" applyNumberFormat="1" applyFont="1" applyFill="1" applyBorder="1" applyAlignment="1">
      <alignment horizontal="right"/>
    </xf>
    <xf numFmtId="169" fontId="10" fillId="0" borderId="8" xfId="1" applyNumberFormat="1" applyFont="1" applyFill="1" applyBorder="1"/>
    <xf numFmtId="169" fontId="10" fillId="0" borderId="25" xfId="1" applyNumberFormat="1" applyFont="1" applyFill="1" applyBorder="1"/>
    <xf numFmtId="169" fontId="10" fillId="0" borderId="39" xfId="1" applyNumberFormat="1" applyFont="1" applyFill="1" applyBorder="1"/>
    <xf numFmtId="169" fontId="10" fillId="0" borderId="33" xfId="1" applyNumberFormat="1" applyFont="1" applyFill="1" applyBorder="1"/>
    <xf numFmtId="169" fontId="10" fillId="0" borderId="13" xfId="1" applyNumberFormat="1" applyFont="1" applyFill="1" applyBorder="1"/>
    <xf numFmtId="169" fontId="10" fillId="0" borderId="8" xfId="1" applyNumberFormat="1" applyFont="1" applyFill="1" applyBorder="1" applyAlignment="1">
      <alignment horizontal="center"/>
    </xf>
    <xf numFmtId="169" fontId="10" fillId="0" borderId="13" xfId="1" applyNumberFormat="1" applyFont="1" applyFill="1" applyBorder="1" applyAlignment="1">
      <alignment horizontal="center"/>
    </xf>
    <xf numFmtId="169" fontId="10" fillId="0" borderId="26" xfId="1" applyNumberFormat="1" applyFont="1" applyFill="1" applyBorder="1" applyAlignment="1">
      <alignment horizontal="center"/>
    </xf>
    <xf numFmtId="169" fontId="10" fillId="0" borderId="14" xfId="1" applyNumberFormat="1" applyFont="1" applyFill="1" applyBorder="1" applyAlignment="1">
      <alignment horizontal="center"/>
    </xf>
    <xf numFmtId="3" fontId="10" fillId="0" borderId="62" xfId="1" applyNumberFormat="1" applyFont="1" applyFill="1" applyBorder="1" applyAlignment="1">
      <alignment horizontal="center" vertical="center"/>
    </xf>
    <xf numFmtId="3" fontId="10" fillId="0" borderId="41" xfId="1" applyNumberFormat="1" applyFont="1" applyFill="1" applyBorder="1" applyAlignment="1">
      <alignment horizontal="center" vertical="center"/>
    </xf>
    <xf numFmtId="3" fontId="9" fillId="0" borderId="41" xfId="1" applyNumberFormat="1" applyFont="1" applyFill="1" applyBorder="1" applyAlignment="1">
      <alignment horizontal="center" vertical="center"/>
    </xf>
    <xf numFmtId="3" fontId="10" fillId="0" borderId="56" xfId="1" applyNumberFormat="1" applyFont="1" applyFill="1" applyBorder="1" applyAlignment="1">
      <alignment horizontal="center" vertical="center"/>
    </xf>
    <xf numFmtId="3" fontId="10" fillId="0" borderId="63" xfId="1" applyNumberFormat="1" applyFont="1" applyFill="1" applyBorder="1" applyAlignment="1">
      <alignment horizontal="center" vertical="center"/>
    </xf>
    <xf numFmtId="3" fontId="9" fillId="0" borderId="8" xfId="3" applyNumberFormat="1" applyFont="1" applyFill="1" applyBorder="1" applyAlignment="1">
      <alignment horizontal="center"/>
    </xf>
    <xf numFmtId="3" fontId="9" fillId="0" borderId="13" xfId="3" applyNumberFormat="1" applyFont="1" applyFill="1" applyBorder="1" applyAlignment="1">
      <alignment horizontal="center"/>
    </xf>
    <xf numFmtId="3" fontId="9" fillId="0" borderId="72" xfId="1" applyNumberFormat="1" applyFont="1" applyFill="1" applyBorder="1" applyAlignment="1">
      <alignment horizontal="center"/>
    </xf>
    <xf numFmtId="3" fontId="9" fillId="0" borderId="7" xfId="1" applyNumberFormat="1" applyFont="1" applyFill="1" applyBorder="1" applyAlignment="1">
      <alignment horizontal="center" vertical="center"/>
    </xf>
    <xf numFmtId="3" fontId="10" fillId="0" borderId="7" xfId="1" applyNumberFormat="1" applyFont="1" applyFill="1" applyBorder="1" applyAlignment="1">
      <alignment horizontal="center" vertical="center"/>
    </xf>
    <xf numFmtId="3" fontId="9" fillId="0" borderId="23" xfId="2" applyNumberFormat="1" applyFont="1" applyFill="1" applyBorder="1" applyAlignment="1">
      <alignment horizontal="center" vertical="center"/>
    </xf>
    <xf numFmtId="3" fontId="25" fillId="8" borderId="23" xfId="4" applyNumberFormat="1" applyFont="1" applyFill="1" applyBorder="1" applyAlignment="1">
      <alignment horizontal="center"/>
    </xf>
    <xf numFmtId="3" fontId="9" fillId="8" borderId="32" xfId="3" applyNumberFormat="1" applyFont="1" applyFill="1" applyBorder="1" applyAlignment="1">
      <alignment horizontal="center"/>
    </xf>
    <xf numFmtId="3" fontId="9" fillId="8" borderId="33" xfId="3" applyNumberFormat="1" applyFont="1" applyFill="1" applyBorder="1"/>
    <xf numFmtId="3" fontId="9" fillId="8" borderId="8" xfId="4" applyNumberFormat="1" applyFont="1" applyFill="1" applyBorder="1" applyAlignment="1">
      <alignment horizontal="center"/>
    </xf>
    <xf numFmtId="3" fontId="13" fillId="8" borderId="23" xfId="4" applyNumberFormat="1" applyFont="1" applyFill="1" applyBorder="1" applyAlignment="1">
      <alignment horizontal="center"/>
    </xf>
    <xf numFmtId="165" fontId="9" fillId="8" borderId="32" xfId="3" applyNumberFormat="1" applyFont="1" applyFill="1" applyBorder="1" applyAlignment="1">
      <alignment horizontal="center"/>
    </xf>
    <xf numFmtId="3" fontId="10" fillId="8" borderId="32" xfId="3" applyNumberFormat="1" applyFont="1" applyFill="1" applyBorder="1" applyAlignment="1">
      <alignment horizontal="center"/>
    </xf>
    <xf numFmtId="166" fontId="9" fillId="8" borderId="33" xfId="3" applyNumberFormat="1" applyFont="1" applyFill="1" applyBorder="1"/>
    <xf numFmtId="3" fontId="10" fillId="8" borderId="33" xfId="3" applyNumberFormat="1" applyFont="1" applyFill="1" applyBorder="1"/>
    <xf numFmtId="3" fontId="9" fillId="8" borderId="23" xfId="4" applyNumberFormat="1" applyFont="1" applyFill="1" applyBorder="1" applyAlignment="1">
      <alignment horizontal="center"/>
    </xf>
    <xf numFmtId="3" fontId="9" fillId="8" borderId="34" xfId="3" applyNumberFormat="1" applyFont="1" applyFill="1" applyBorder="1" applyAlignment="1">
      <alignment horizontal="center"/>
    </xf>
    <xf numFmtId="3" fontId="9" fillId="8" borderId="30" xfId="3" applyNumberFormat="1" applyFont="1" applyFill="1" applyBorder="1"/>
    <xf numFmtId="3" fontId="9" fillId="8" borderId="26" xfId="4" applyNumberFormat="1" applyFont="1" applyFill="1" applyBorder="1" applyAlignment="1">
      <alignment horizontal="center"/>
    </xf>
    <xf numFmtId="3" fontId="10" fillId="8" borderId="23" xfId="4" applyNumberFormat="1" applyFont="1" applyFill="1" applyBorder="1" applyAlignment="1">
      <alignment horizontal="center"/>
    </xf>
    <xf numFmtId="165" fontId="9" fillId="8" borderId="34" xfId="3" applyNumberFormat="1" applyFont="1" applyFill="1" applyBorder="1" applyAlignment="1">
      <alignment horizontal="center"/>
    </xf>
    <xf numFmtId="3" fontId="10" fillId="8" borderId="34" xfId="3" applyNumberFormat="1" applyFont="1" applyFill="1" applyBorder="1" applyAlignment="1">
      <alignment horizontal="center"/>
    </xf>
    <xf numFmtId="166" fontId="9" fillId="8" borderId="30" xfId="3" applyNumberFormat="1" applyFont="1" applyFill="1" applyBorder="1"/>
    <xf numFmtId="3" fontId="10" fillId="8" borderId="30" xfId="3" applyNumberFormat="1" applyFont="1" applyFill="1" applyBorder="1"/>
    <xf numFmtId="3" fontId="9" fillId="8" borderId="15" xfId="4" applyNumberFormat="1" applyFont="1" applyFill="1" applyBorder="1" applyAlignment="1">
      <alignment horizontal="center"/>
    </xf>
    <xf numFmtId="3" fontId="9" fillId="8" borderId="35" xfId="3" applyNumberFormat="1" applyFont="1" applyFill="1" applyBorder="1" applyAlignment="1">
      <alignment horizontal="center"/>
    </xf>
    <xf numFmtId="3" fontId="9" fillId="8" borderId="31" xfId="3" applyNumberFormat="1" applyFont="1" applyFill="1" applyBorder="1"/>
    <xf numFmtId="3" fontId="9" fillId="8" borderId="14" xfId="4" applyNumberFormat="1" applyFont="1" applyFill="1" applyBorder="1" applyAlignment="1">
      <alignment horizontal="center"/>
    </xf>
    <xf numFmtId="3" fontId="10" fillId="8" borderId="15" xfId="4" applyNumberFormat="1" applyFont="1" applyFill="1" applyBorder="1" applyAlignment="1">
      <alignment horizontal="center"/>
    </xf>
    <xf numFmtId="165" fontId="9" fillId="8" borderId="35" xfId="3" applyNumberFormat="1" applyFont="1" applyFill="1" applyBorder="1" applyAlignment="1">
      <alignment horizontal="center"/>
    </xf>
    <xf numFmtId="3" fontId="10" fillId="8" borderId="35" xfId="3" applyNumberFormat="1" applyFont="1" applyFill="1" applyBorder="1" applyAlignment="1">
      <alignment horizontal="center"/>
    </xf>
    <xf numFmtId="166" fontId="9" fillId="8" borderId="31" xfId="3" applyNumberFormat="1" applyFont="1" applyFill="1" applyBorder="1"/>
    <xf numFmtId="3" fontId="10" fillId="8" borderId="31" xfId="3" applyNumberFormat="1" applyFont="1" applyFill="1" applyBorder="1"/>
    <xf numFmtId="3" fontId="16" fillId="9" borderId="23" xfId="4" applyNumberFormat="1" applyFont="1" applyFill="1" applyBorder="1" applyAlignment="1">
      <alignment horizontal="center"/>
    </xf>
    <xf numFmtId="0" fontId="31" fillId="0" borderId="0" xfId="0" applyFont="1"/>
    <xf numFmtId="3" fontId="31" fillId="0" borderId="0" xfId="0" applyNumberFormat="1" applyFont="1"/>
    <xf numFmtId="43" fontId="10" fillId="0" borderId="33" xfId="1" applyFont="1" applyFill="1" applyBorder="1"/>
    <xf numFmtId="43" fontId="9" fillId="0" borderId="8" xfId="1" applyFont="1" applyFill="1" applyBorder="1" applyAlignment="1">
      <alignment horizontal="center"/>
    </xf>
    <xf numFmtId="43" fontId="9" fillId="0" borderId="23" xfId="1" applyFont="1" applyFill="1" applyBorder="1" applyAlignment="1">
      <alignment horizontal="center"/>
    </xf>
    <xf numFmtId="43" fontId="9" fillId="0" borderId="21" xfId="1" applyFont="1" applyFill="1" applyBorder="1" applyAlignment="1">
      <alignment horizontal="center"/>
    </xf>
    <xf numFmtId="43" fontId="10" fillId="0" borderId="30" xfId="1" applyFont="1" applyFill="1" applyBorder="1"/>
    <xf numFmtId="43" fontId="9" fillId="0" borderId="26" xfId="1" applyFont="1" applyFill="1" applyBorder="1" applyAlignment="1">
      <alignment horizontal="center"/>
    </xf>
    <xf numFmtId="43" fontId="10" fillId="0" borderId="31" xfId="1" applyFont="1" applyFill="1" applyBorder="1"/>
    <xf numFmtId="43" fontId="9" fillId="0" borderId="14" xfId="1" applyFont="1" applyFill="1" applyBorder="1" applyAlignment="1">
      <alignment horizontal="center"/>
    </xf>
    <xf numFmtId="169" fontId="9" fillId="0" borderId="15" xfId="1" applyNumberFormat="1" applyFont="1" applyFill="1" applyBorder="1" applyAlignment="1">
      <alignment horizontal="center"/>
    </xf>
    <xf numFmtId="169" fontId="9" fillId="0" borderId="21" xfId="1" applyNumberFormat="1" applyFont="1" applyFill="1" applyBorder="1"/>
    <xf numFmtId="169" fontId="10" fillId="0" borderId="43" xfId="1" applyNumberFormat="1" applyFont="1" applyFill="1" applyBorder="1" applyAlignment="1">
      <alignment vertical="center"/>
    </xf>
    <xf numFmtId="49" fontId="9" fillId="0" borderId="8" xfId="4" applyNumberFormat="1" applyFont="1" applyFill="1" applyBorder="1" applyAlignment="1">
      <alignment horizontal="center" vertical="center"/>
    </xf>
    <xf numFmtId="3" fontId="9" fillId="0" borderId="23" xfId="4" applyNumberFormat="1" applyFont="1" applyFill="1" applyBorder="1" applyAlignment="1">
      <alignment horizontal="center" vertical="center"/>
    </xf>
    <xf numFmtId="0" fontId="12" fillId="3" borderId="36" xfId="0" applyFont="1" applyFill="1" applyBorder="1" applyAlignment="1">
      <alignment vertical="center"/>
    </xf>
    <xf numFmtId="169" fontId="10" fillId="0" borderId="49" xfId="1" applyNumberFormat="1" applyFont="1" applyFill="1" applyBorder="1" applyAlignment="1">
      <alignment vertical="center"/>
    </xf>
    <xf numFmtId="49" fontId="9" fillId="0" borderId="26" xfId="4" applyNumberFormat="1" applyFont="1" applyFill="1" applyBorder="1" applyAlignment="1">
      <alignment horizontal="center" vertical="center"/>
    </xf>
    <xf numFmtId="0" fontId="12" fillId="3" borderId="14" xfId="0" applyFont="1" applyFill="1" applyBorder="1" applyAlignment="1">
      <alignment vertical="center"/>
    </xf>
    <xf numFmtId="169" fontId="10" fillId="0" borderId="50" xfId="1" applyNumberFormat="1" applyFont="1" applyFill="1" applyBorder="1" applyAlignment="1">
      <alignment vertical="center"/>
    </xf>
    <xf numFmtId="49" fontId="9" fillId="0" borderId="14" xfId="4" applyNumberFormat="1" applyFont="1" applyFill="1" applyBorder="1" applyAlignment="1">
      <alignment horizontal="center" vertical="center"/>
    </xf>
    <xf numFmtId="3" fontId="9" fillId="0" borderId="15" xfId="4" applyNumberFormat="1" applyFont="1" applyFill="1" applyBorder="1" applyAlignment="1">
      <alignment horizontal="center" vertical="center"/>
    </xf>
    <xf numFmtId="2" fontId="12" fillId="3" borderId="28" xfId="0" applyNumberFormat="1" applyFont="1" applyFill="1" applyBorder="1"/>
    <xf numFmtId="169" fontId="9" fillId="0" borderId="43" xfId="1" applyNumberFormat="1" applyFont="1" applyFill="1" applyBorder="1" applyAlignment="1">
      <alignment horizontal="right"/>
    </xf>
    <xf numFmtId="169" fontId="9" fillId="0" borderId="49" xfId="1" applyNumberFormat="1" applyFont="1" applyFill="1" applyBorder="1" applyAlignment="1">
      <alignment horizontal="right"/>
    </xf>
    <xf numFmtId="169" fontId="9" fillId="0" borderId="50" xfId="1" applyNumberFormat="1" applyFont="1" applyFill="1" applyBorder="1" applyAlignment="1">
      <alignment horizontal="right"/>
    </xf>
    <xf numFmtId="2" fontId="12" fillId="3" borderId="28" xfId="0" applyNumberFormat="1" applyFont="1" applyFill="1" applyBorder="1" applyAlignment="1">
      <alignment horizontal="right"/>
    </xf>
    <xf numFmtId="169" fontId="10" fillId="0" borderId="23" xfId="1" applyNumberFormat="1" applyFont="1" applyFill="1" applyBorder="1" applyAlignment="1">
      <alignment horizontal="right"/>
    </xf>
    <xf numFmtId="169" fontId="9" fillId="0" borderId="26" xfId="1" applyNumberFormat="1" applyFont="1" applyFill="1" applyBorder="1" applyAlignment="1">
      <alignment horizontal="center" vertical="center"/>
    </xf>
    <xf numFmtId="169" fontId="9" fillId="0" borderId="14" xfId="1" applyNumberFormat="1" applyFont="1" applyFill="1" applyBorder="1" applyAlignment="1">
      <alignment horizontal="center" vertical="center"/>
    </xf>
    <xf numFmtId="169" fontId="10" fillId="0" borderId="8" xfId="1" applyNumberFormat="1" applyFont="1" applyFill="1" applyBorder="1" applyAlignment="1">
      <alignment vertical="center"/>
    </xf>
    <xf numFmtId="169" fontId="9" fillId="0" borderId="23" xfId="1" applyNumberFormat="1" applyFont="1" applyFill="1" applyBorder="1" applyAlignment="1">
      <alignment horizontal="center" vertical="center"/>
    </xf>
    <xf numFmtId="169" fontId="12" fillId="3" borderId="36" xfId="1" applyNumberFormat="1" applyFont="1" applyFill="1" applyBorder="1" applyAlignment="1">
      <alignment vertical="center"/>
    </xf>
    <xf numFmtId="169" fontId="12" fillId="3" borderId="14" xfId="1" applyNumberFormat="1" applyFont="1" applyFill="1" applyBorder="1" applyAlignment="1">
      <alignment vertical="center"/>
    </xf>
    <xf numFmtId="169" fontId="9" fillId="0" borderId="15" xfId="1" applyNumberFormat="1" applyFont="1" applyFill="1" applyBorder="1" applyAlignment="1">
      <alignment horizontal="center" vertical="center"/>
    </xf>
    <xf numFmtId="169" fontId="9" fillId="0" borderId="23" xfId="1" applyNumberFormat="1" applyFont="1" applyFill="1" applyBorder="1" applyAlignment="1">
      <alignment horizontal="center"/>
    </xf>
    <xf numFmtId="166" fontId="10" fillId="8" borderId="33" xfId="3" applyNumberFormat="1" applyFont="1" applyFill="1" applyBorder="1"/>
    <xf numFmtId="1" fontId="7" fillId="8" borderId="62" xfId="2" applyNumberFormat="1" applyFont="1" applyFill="1" applyBorder="1" applyAlignment="1">
      <alignment horizontal="center"/>
    </xf>
    <xf numFmtId="0" fontId="12" fillId="10" borderId="20" xfId="0" applyFont="1" applyFill="1" applyBorder="1" applyAlignment="1">
      <alignment horizontal="center"/>
    </xf>
    <xf numFmtId="165" fontId="9" fillId="8" borderId="8" xfId="3" applyNumberFormat="1" applyFont="1" applyFill="1" applyBorder="1" applyAlignment="1">
      <alignment horizontal="center"/>
    </xf>
    <xf numFmtId="166" fontId="10" fillId="8" borderId="43" xfId="3" applyNumberFormat="1" applyFont="1" applyFill="1" applyBorder="1"/>
    <xf numFmtId="0" fontId="12" fillId="10" borderId="21" xfId="0" applyFont="1" applyFill="1" applyBorder="1" applyAlignment="1">
      <alignment horizontal="center"/>
    </xf>
    <xf numFmtId="166" fontId="10" fillId="8" borderId="21" xfId="3" applyNumberFormat="1" applyFont="1" applyFill="1" applyBorder="1"/>
    <xf numFmtId="3" fontId="12" fillId="10" borderId="21" xfId="0" applyNumberFormat="1" applyFont="1" applyFill="1" applyBorder="1" applyAlignment="1">
      <alignment horizontal="center"/>
    </xf>
    <xf numFmtId="166" fontId="10" fillId="8" borderId="30" xfId="3" applyNumberFormat="1" applyFont="1" applyFill="1" applyBorder="1"/>
    <xf numFmtId="1" fontId="7" fillId="8" borderId="56" xfId="2" applyNumberFormat="1" applyFont="1" applyFill="1" applyBorder="1" applyAlignment="1">
      <alignment horizontal="center"/>
    </xf>
    <xf numFmtId="0" fontId="12" fillId="10" borderId="23" xfId="0" applyFont="1" applyFill="1" applyBorder="1" applyAlignment="1">
      <alignment horizontal="center"/>
    </xf>
    <xf numFmtId="165" fontId="9" fillId="8" borderId="26" xfId="3" applyNumberFormat="1" applyFont="1" applyFill="1" applyBorder="1" applyAlignment="1">
      <alignment horizontal="center"/>
    </xf>
    <xf numFmtId="166" fontId="10" fillId="8" borderId="49" xfId="3" applyNumberFormat="1" applyFont="1" applyFill="1" applyBorder="1"/>
    <xf numFmtId="0" fontId="12" fillId="10" borderId="8" xfId="0" applyFont="1" applyFill="1" applyBorder="1" applyAlignment="1">
      <alignment horizontal="center"/>
    </xf>
    <xf numFmtId="166" fontId="10" fillId="8" borderId="26" xfId="3" applyNumberFormat="1" applyFont="1" applyFill="1" applyBorder="1"/>
    <xf numFmtId="166" fontId="10" fillId="8" borderId="31" xfId="3" applyNumberFormat="1" applyFont="1" applyFill="1" applyBorder="1"/>
    <xf numFmtId="1" fontId="7" fillId="8" borderId="63" xfId="2" applyNumberFormat="1" applyFont="1" applyFill="1" applyBorder="1" applyAlignment="1">
      <alignment horizontal="center"/>
    </xf>
    <xf numFmtId="0" fontId="12" fillId="10" borderId="15" xfId="0" applyFont="1" applyFill="1" applyBorder="1" applyAlignment="1">
      <alignment horizontal="center"/>
    </xf>
    <xf numFmtId="165" fontId="9" fillId="8" borderId="14" xfId="3" applyNumberFormat="1" applyFont="1" applyFill="1" applyBorder="1" applyAlignment="1">
      <alignment horizontal="center"/>
    </xf>
    <xf numFmtId="166" fontId="10" fillId="8" borderId="50" xfId="3" applyNumberFormat="1" applyFont="1" applyFill="1" applyBorder="1"/>
    <xf numFmtId="0" fontId="12" fillId="10" borderId="13" xfId="0" applyFont="1" applyFill="1" applyBorder="1" applyAlignment="1">
      <alignment horizontal="center"/>
    </xf>
    <xf numFmtId="166" fontId="10" fillId="8" borderId="14" xfId="3" applyNumberFormat="1" applyFont="1" applyFill="1" applyBorder="1"/>
    <xf numFmtId="169" fontId="28" fillId="10" borderId="20" xfId="1" applyNumberFormat="1" applyFont="1" applyFill="1" applyBorder="1" applyAlignment="1">
      <alignment horizontal="center"/>
    </xf>
    <xf numFmtId="169" fontId="28" fillId="10" borderId="23" xfId="1" applyNumberFormat="1" applyFont="1" applyFill="1" applyBorder="1" applyAlignment="1">
      <alignment horizontal="center"/>
    </xf>
    <xf numFmtId="169" fontId="28" fillId="10" borderId="15" xfId="1" applyNumberFormat="1" applyFont="1" applyFill="1" applyBorder="1" applyAlignment="1">
      <alignment horizontal="center"/>
    </xf>
    <xf numFmtId="169" fontId="10" fillId="8" borderId="8" xfId="1" applyNumberFormat="1" applyFont="1" applyFill="1" applyBorder="1" applyAlignment="1">
      <alignment horizontal="center"/>
    </xf>
    <xf numFmtId="169" fontId="10" fillId="8" borderId="14" xfId="1" applyNumberFormat="1" applyFont="1" applyFill="1" applyBorder="1" applyAlignment="1">
      <alignment horizontal="center"/>
    </xf>
    <xf numFmtId="169" fontId="29" fillId="10" borderId="21" xfId="0" applyNumberFormat="1" applyFont="1" applyFill="1" applyBorder="1" applyAlignment="1">
      <alignment horizontal="center"/>
    </xf>
    <xf numFmtId="169" fontId="29" fillId="10" borderId="26" xfId="0" applyNumberFormat="1" applyFont="1" applyFill="1" applyBorder="1" applyAlignment="1">
      <alignment horizontal="center"/>
    </xf>
    <xf numFmtId="169" fontId="29" fillId="10" borderId="14" xfId="0" applyNumberFormat="1" applyFont="1" applyFill="1" applyBorder="1" applyAlignment="1">
      <alignment horizontal="center"/>
    </xf>
    <xf numFmtId="3" fontId="24" fillId="2" borderId="13" xfId="2" applyNumberFormat="1" applyFont="1" applyFill="1" applyBorder="1"/>
    <xf numFmtId="3" fontId="22" fillId="4" borderId="15" xfId="2" applyNumberFormat="1" applyFont="1" applyFill="1" applyBorder="1" applyAlignment="1">
      <alignment horizontal="center" vertical="center"/>
    </xf>
    <xf numFmtId="3" fontId="22" fillId="4" borderId="47" xfId="2" applyNumberFormat="1" applyFont="1" applyFill="1" applyBorder="1"/>
    <xf numFmtId="3" fontId="11" fillId="2" borderId="13" xfId="2" applyNumberFormat="1" applyFont="1" applyFill="1" applyBorder="1"/>
    <xf numFmtId="0" fontId="22" fillId="4" borderId="15" xfId="2" applyFont="1" applyFill="1" applyBorder="1" applyAlignment="1">
      <alignment horizontal="center" vertical="center"/>
    </xf>
    <xf numFmtId="3" fontId="7" fillId="4" borderId="15" xfId="2" applyNumberFormat="1" applyFont="1" applyFill="1" applyBorder="1" applyAlignment="1">
      <alignment horizontal="center" vertical="center"/>
    </xf>
    <xf numFmtId="0" fontId="22" fillId="4" borderId="47" xfId="2" applyFont="1" applyFill="1" applyBorder="1"/>
    <xf numFmtId="3" fontId="10" fillId="0" borderId="43" xfId="1" applyNumberFormat="1" applyFont="1" applyFill="1" applyBorder="1" applyAlignment="1">
      <alignment horizontal="right"/>
    </xf>
    <xf numFmtId="3" fontId="10" fillId="0" borderId="49" xfId="1" applyNumberFormat="1" applyFont="1" applyFill="1" applyBorder="1"/>
    <xf numFmtId="3" fontId="10" fillId="0" borderId="50" xfId="1" applyNumberFormat="1" applyFont="1" applyFill="1" applyBorder="1"/>
    <xf numFmtId="3" fontId="10" fillId="0" borderId="26" xfId="1" applyNumberFormat="1" applyFont="1" applyFill="1" applyBorder="1"/>
    <xf numFmtId="3" fontId="10" fillId="0" borderId="14" xfId="1" applyNumberFormat="1" applyFont="1" applyFill="1" applyBorder="1"/>
    <xf numFmtId="3" fontId="28" fillId="10" borderId="21" xfId="1" applyNumberFormat="1" applyFont="1" applyFill="1" applyBorder="1" applyAlignment="1">
      <alignment horizontal="center"/>
    </xf>
    <xf numFmtId="3" fontId="28" fillId="10" borderId="8" xfId="1" applyNumberFormat="1" applyFont="1" applyFill="1" applyBorder="1" applyAlignment="1">
      <alignment horizontal="center"/>
    </xf>
    <xf numFmtId="3" fontId="28" fillId="10" borderId="13" xfId="1" applyNumberFormat="1" applyFont="1" applyFill="1" applyBorder="1" applyAlignment="1">
      <alignment horizontal="center"/>
    </xf>
    <xf numFmtId="3" fontId="10" fillId="0" borderId="23" xfId="1" applyNumberFormat="1" applyFont="1" applyFill="1" applyBorder="1" applyAlignment="1">
      <alignment horizontal="center"/>
    </xf>
    <xf numFmtId="3" fontId="9" fillId="0" borderId="26" xfId="1" applyNumberFormat="1" applyFont="1" applyFill="1" applyBorder="1" applyAlignment="1">
      <alignment horizontal="center"/>
    </xf>
    <xf numFmtId="3" fontId="9" fillId="0" borderId="14" xfId="1" applyNumberFormat="1" applyFont="1" applyFill="1" applyBorder="1" applyAlignment="1">
      <alignment horizontal="center"/>
    </xf>
    <xf numFmtId="3" fontId="10" fillId="0" borderId="21" xfId="1" applyNumberFormat="1" applyFont="1" applyFill="1" applyBorder="1" applyAlignment="1">
      <alignment vertical="center"/>
    </xf>
    <xf numFmtId="3" fontId="10" fillId="0" borderId="26" xfId="1" applyNumberFormat="1" applyFont="1" applyFill="1" applyBorder="1" applyAlignment="1">
      <alignment vertical="center"/>
    </xf>
    <xf numFmtId="3" fontId="10" fillId="0" borderId="14" xfId="1" applyNumberFormat="1" applyFont="1" applyFill="1" applyBorder="1" applyAlignment="1">
      <alignment vertical="center"/>
    </xf>
    <xf numFmtId="3" fontId="9" fillId="0" borderId="8" xfId="1" applyNumberFormat="1" applyFont="1" applyFill="1" applyBorder="1" applyAlignment="1">
      <alignment horizontal="center"/>
    </xf>
    <xf numFmtId="3" fontId="9" fillId="0" borderId="8" xfId="4" applyNumberFormat="1" applyFont="1" applyFill="1" applyBorder="1" applyAlignment="1">
      <alignment horizontal="right"/>
    </xf>
    <xf numFmtId="3" fontId="9" fillId="0" borderId="26" xfId="4" applyNumberFormat="1" applyFont="1" applyFill="1" applyBorder="1" applyAlignment="1">
      <alignment horizontal="right"/>
    </xf>
    <xf numFmtId="3" fontId="9" fillId="0" borderId="14" xfId="4" applyNumberFormat="1" applyFont="1" applyFill="1" applyBorder="1" applyAlignment="1">
      <alignment horizontal="right"/>
    </xf>
    <xf numFmtId="3" fontId="9" fillId="0" borderId="8" xfId="1" applyNumberFormat="1" applyFont="1" applyFill="1" applyBorder="1" applyAlignment="1">
      <alignment horizontal="right"/>
    </xf>
    <xf numFmtId="3" fontId="9" fillId="0" borderId="26" xfId="1" applyNumberFormat="1" applyFont="1" applyFill="1" applyBorder="1" applyAlignment="1">
      <alignment horizontal="right"/>
    </xf>
    <xf numFmtId="3" fontId="9" fillId="0" borderId="14" xfId="1" applyNumberFormat="1" applyFont="1" applyFill="1" applyBorder="1" applyAlignment="1">
      <alignment horizontal="right"/>
    </xf>
    <xf numFmtId="3" fontId="9" fillId="0" borderId="21" xfId="1" applyNumberFormat="1" applyFont="1" applyFill="1" applyBorder="1" applyAlignment="1">
      <alignment horizontal="center"/>
    </xf>
    <xf numFmtId="169" fontId="9" fillId="0" borderId="39" xfId="1" applyNumberFormat="1" applyFont="1" applyFill="1" applyBorder="1" applyAlignment="1">
      <alignment horizontal="center" vertical="center"/>
    </xf>
    <xf numFmtId="0" fontId="10" fillId="0" borderId="13" xfId="1" applyNumberFormat="1" applyFont="1" applyFill="1" applyBorder="1" applyAlignment="1">
      <alignment horizontal="center" vertical="center"/>
    </xf>
    <xf numFmtId="3" fontId="25" fillId="0" borderId="67" xfId="4" applyNumberFormat="1" applyFont="1" applyFill="1" applyBorder="1" applyAlignment="1">
      <alignment horizontal="center"/>
    </xf>
    <xf numFmtId="169" fontId="9" fillId="0" borderId="42" xfId="1" applyNumberFormat="1" applyFont="1" applyFill="1" applyBorder="1" applyAlignment="1">
      <alignment horizontal="center" vertical="center"/>
    </xf>
    <xf numFmtId="49" fontId="9" fillId="8" borderId="23" xfId="4" applyNumberFormat="1" applyFont="1" applyFill="1" applyBorder="1" applyAlignment="1">
      <alignment horizontal="center"/>
    </xf>
    <xf numFmtId="49" fontId="9" fillId="8" borderId="8" xfId="4" applyNumberFormat="1" applyFont="1" applyFill="1" applyBorder="1" applyAlignment="1">
      <alignment horizontal="center"/>
    </xf>
    <xf numFmtId="165" fontId="9" fillId="8" borderId="22" xfId="3" applyNumberFormat="1" applyFont="1" applyFill="1" applyBorder="1" applyAlignment="1">
      <alignment horizontal="center"/>
    </xf>
    <xf numFmtId="49" fontId="9" fillId="8" borderId="26" xfId="4" applyNumberFormat="1" applyFont="1" applyFill="1" applyBorder="1" applyAlignment="1">
      <alignment horizontal="center"/>
    </xf>
    <xf numFmtId="49" fontId="9" fillId="8" borderId="15" xfId="4" applyNumberFormat="1" applyFont="1" applyFill="1" applyBorder="1" applyAlignment="1">
      <alignment horizontal="center"/>
    </xf>
    <xf numFmtId="165" fontId="9" fillId="8" borderId="24" xfId="3" applyNumberFormat="1" applyFont="1" applyFill="1" applyBorder="1" applyAlignment="1">
      <alignment horizontal="center"/>
    </xf>
    <xf numFmtId="49" fontId="9" fillId="8" borderId="14" xfId="4" applyNumberFormat="1" applyFont="1" applyFill="1" applyBorder="1" applyAlignment="1">
      <alignment horizontal="center"/>
    </xf>
    <xf numFmtId="169" fontId="10" fillId="8" borderId="8" xfId="1" applyNumberFormat="1" applyFont="1" applyFill="1" applyBorder="1"/>
    <xf numFmtId="169" fontId="10" fillId="8" borderId="26" xfId="1" applyNumberFormat="1" applyFont="1" applyFill="1" applyBorder="1"/>
    <xf numFmtId="169" fontId="10" fillId="8" borderId="14" xfId="1" applyNumberFormat="1" applyFont="1" applyFill="1" applyBorder="1"/>
    <xf numFmtId="169" fontId="10" fillId="8" borderId="8" xfId="1" applyNumberFormat="1" applyFont="1" applyFill="1" applyBorder="1" applyAlignment="1">
      <alignment horizontal="right"/>
    </xf>
    <xf numFmtId="3" fontId="9" fillId="0" borderId="21" xfId="4" applyNumberFormat="1" applyFont="1" applyFill="1" applyBorder="1" applyAlignment="1">
      <alignment horizontal="center"/>
    </xf>
    <xf numFmtId="3" fontId="9" fillId="0" borderId="13" xfId="4" applyNumberFormat="1" applyFont="1" applyFill="1" applyBorder="1" applyAlignment="1">
      <alignment horizontal="center"/>
    </xf>
    <xf numFmtId="3" fontId="7" fillId="0" borderId="21" xfId="4" applyNumberFormat="1" applyFont="1" applyFill="1" applyBorder="1" applyAlignment="1">
      <alignment horizontal="center"/>
    </xf>
    <xf numFmtId="3" fontId="7" fillId="0" borderId="8" xfId="4" applyNumberFormat="1" applyFont="1" applyFill="1" applyBorder="1" applyAlignment="1">
      <alignment horizontal="center"/>
    </xf>
    <xf numFmtId="3" fontId="7" fillId="0" borderId="13" xfId="4" applyNumberFormat="1" applyFont="1" applyFill="1" applyBorder="1" applyAlignment="1">
      <alignment horizontal="center"/>
    </xf>
    <xf numFmtId="165" fontId="9" fillId="8" borderId="21" xfId="3" applyNumberFormat="1" applyFont="1" applyFill="1" applyBorder="1" applyAlignment="1">
      <alignment horizontal="center"/>
    </xf>
    <xf numFmtId="3" fontId="10" fillId="8" borderId="25" xfId="3" applyNumberFormat="1" applyFont="1" applyFill="1" applyBorder="1"/>
    <xf numFmtId="1" fontId="7" fillId="8" borderId="22" xfId="2" applyNumberFormat="1" applyFont="1" applyFill="1" applyBorder="1" applyAlignment="1">
      <alignment horizontal="center"/>
    </xf>
    <xf numFmtId="3" fontId="9" fillId="8" borderId="21" xfId="3" applyNumberFormat="1" applyFont="1" applyFill="1" applyBorder="1" applyAlignment="1">
      <alignment horizontal="center"/>
    </xf>
    <xf numFmtId="3" fontId="9" fillId="8" borderId="25" xfId="3" applyNumberFormat="1" applyFont="1" applyFill="1" applyBorder="1"/>
    <xf numFmtId="3" fontId="7" fillId="8" borderId="22" xfId="2" applyNumberFormat="1" applyFont="1" applyFill="1" applyBorder="1" applyAlignment="1">
      <alignment horizontal="center"/>
    </xf>
    <xf numFmtId="3" fontId="22" fillId="8" borderId="21" xfId="3" applyNumberFormat="1" applyFont="1" applyFill="1" applyBorder="1"/>
    <xf numFmtId="169" fontId="22" fillId="8" borderId="22" xfId="1" applyNumberFormat="1" applyFont="1" applyFill="1" applyBorder="1" applyAlignment="1">
      <alignment horizontal="center"/>
    </xf>
    <xf numFmtId="169" fontId="7" fillId="8" borderId="22" xfId="1" applyNumberFormat="1" applyFont="1" applyFill="1" applyBorder="1" applyAlignment="1">
      <alignment horizontal="center"/>
    </xf>
    <xf numFmtId="3" fontId="10" fillId="8" borderId="8" xfId="4" applyNumberFormat="1" applyFont="1" applyFill="1" applyBorder="1" applyAlignment="1">
      <alignment horizontal="center"/>
    </xf>
    <xf numFmtId="165" fontId="9" fillId="8" borderId="26" xfId="3" applyNumberFormat="1" applyFont="1" applyFill="1" applyBorder="1" applyAlignment="1">
      <alignment horizontal="center" wrapText="1"/>
    </xf>
    <xf numFmtId="3" fontId="9" fillId="8" borderId="27" xfId="3" applyNumberFormat="1" applyFont="1" applyFill="1" applyBorder="1"/>
    <xf numFmtId="3" fontId="9" fillId="8" borderId="26" xfId="3" applyNumberFormat="1" applyFont="1" applyFill="1" applyBorder="1" applyAlignment="1">
      <alignment horizontal="center" wrapText="1"/>
    </xf>
    <xf numFmtId="3" fontId="22" fillId="8" borderId="23" xfId="2" applyNumberFormat="1" applyFont="1" applyFill="1" applyBorder="1" applyAlignment="1">
      <alignment horizontal="center"/>
    </xf>
    <xf numFmtId="3" fontId="10" fillId="8" borderId="26" xfId="4" applyNumberFormat="1" applyFont="1" applyFill="1" applyBorder="1" applyAlignment="1">
      <alignment horizontal="center"/>
    </xf>
    <xf numFmtId="3" fontId="9" fillId="8" borderId="28" xfId="3" applyNumberFormat="1" applyFont="1" applyFill="1" applyBorder="1"/>
    <xf numFmtId="1" fontId="7" fillId="8" borderId="14" xfId="2" applyNumberFormat="1" applyFont="1" applyFill="1" applyBorder="1" applyAlignment="1">
      <alignment horizontal="center"/>
    </xf>
    <xf numFmtId="3" fontId="9" fillId="8" borderId="14" xfId="3" applyNumberFormat="1" applyFont="1" applyFill="1" applyBorder="1" applyAlignment="1">
      <alignment horizontal="center"/>
    </xf>
    <xf numFmtId="3" fontId="7" fillId="8" borderId="14" xfId="2" applyNumberFormat="1" applyFont="1" applyFill="1" applyBorder="1" applyAlignment="1">
      <alignment horizontal="center"/>
    </xf>
    <xf numFmtId="3" fontId="22" fillId="8" borderId="15" xfId="2" applyNumberFormat="1" applyFont="1" applyFill="1" applyBorder="1" applyAlignment="1">
      <alignment horizontal="center"/>
    </xf>
    <xf numFmtId="169" fontId="22" fillId="8" borderId="14" xfId="1" applyNumberFormat="1" applyFont="1" applyFill="1" applyBorder="1" applyAlignment="1">
      <alignment horizontal="center"/>
    </xf>
    <xf numFmtId="3" fontId="12" fillId="10" borderId="14" xfId="0" applyNumberFormat="1" applyFont="1" applyFill="1" applyBorder="1"/>
    <xf numFmtId="3" fontId="10" fillId="8" borderId="14" xfId="4" applyNumberFormat="1" applyFont="1" applyFill="1" applyBorder="1" applyAlignment="1">
      <alignment horizontal="center"/>
    </xf>
    <xf numFmtId="169" fontId="10" fillId="8" borderId="21" xfId="1" applyNumberFormat="1" applyFont="1" applyFill="1" applyBorder="1" applyAlignment="1">
      <alignment horizontal="right"/>
    </xf>
    <xf numFmtId="0" fontId="12" fillId="10" borderId="36" xfId="0" applyFont="1" applyFill="1" applyBorder="1"/>
    <xf numFmtId="169" fontId="10" fillId="8" borderId="26" xfId="1" applyNumberFormat="1" applyFont="1" applyFill="1" applyBorder="1" applyAlignment="1">
      <alignment horizontal="right"/>
    </xf>
    <xf numFmtId="0" fontId="12" fillId="10" borderId="14" xfId="0" applyFont="1" applyFill="1" applyBorder="1"/>
    <xf numFmtId="169" fontId="10" fillId="8" borderId="14" xfId="1" applyNumberFormat="1" applyFont="1" applyFill="1" applyBorder="1" applyAlignment="1">
      <alignment horizontal="right"/>
    </xf>
    <xf numFmtId="49" fontId="9" fillId="8" borderId="37" xfId="2" applyNumberFormat="1" applyFont="1" applyFill="1" applyBorder="1" applyAlignment="1">
      <alignment horizontal="center" vertical="center"/>
    </xf>
    <xf numFmtId="3" fontId="9" fillId="8" borderId="37" xfId="2" applyNumberFormat="1" applyFont="1" applyFill="1" applyBorder="1" applyAlignment="1">
      <alignment horizontal="left" vertical="center" wrapText="1"/>
    </xf>
    <xf numFmtId="3" fontId="22" fillId="8" borderId="37" xfId="2" applyNumberFormat="1" applyFont="1" applyFill="1" applyBorder="1" applyAlignment="1">
      <alignment horizontal="center" vertical="center"/>
    </xf>
    <xf numFmtId="3" fontId="9" fillId="8" borderId="37" xfId="2" applyNumberFormat="1" applyFont="1" applyFill="1" applyBorder="1" applyAlignment="1">
      <alignment horizontal="center" vertical="center"/>
    </xf>
    <xf numFmtId="3" fontId="22" fillId="8" borderId="43" xfId="2" applyNumberFormat="1" applyFont="1" applyFill="1" applyBorder="1" applyAlignment="1">
      <alignment horizontal="center" vertical="center"/>
    </xf>
    <xf numFmtId="3" fontId="7" fillId="8" borderId="37" xfId="2" applyNumberFormat="1" applyFont="1" applyFill="1" applyBorder="1" applyAlignment="1">
      <alignment horizontal="center" vertical="center"/>
    </xf>
    <xf numFmtId="3" fontId="10" fillId="8" borderId="37" xfId="2" applyNumberFormat="1" applyFont="1" applyFill="1" applyBorder="1" applyAlignment="1">
      <alignment horizontal="center" vertical="center"/>
    </xf>
    <xf numFmtId="3" fontId="10" fillId="8" borderId="39" xfId="3" applyNumberFormat="1" applyFont="1" applyFill="1" applyBorder="1"/>
    <xf numFmtId="1" fontId="22" fillId="8" borderId="43" xfId="2" applyNumberFormat="1" applyFont="1" applyFill="1" applyBorder="1" applyAlignment="1">
      <alignment horizontal="center" vertical="center" wrapText="1"/>
    </xf>
    <xf numFmtId="3" fontId="9" fillId="8" borderId="48" xfId="2" applyNumberFormat="1" applyFont="1" applyFill="1" applyBorder="1" applyAlignment="1">
      <alignment horizontal="left" wrapText="1"/>
    </xf>
    <xf numFmtId="3" fontId="22" fillId="8" borderId="37" xfId="2" applyNumberFormat="1" applyFont="1" applyFill="1" applyBorder="1" applyAlignment="1">
      <alignment horizontal="center"/>
    </xf>
    <xf numFmtId="3" fontId="22" fillId="8" borderId="49" xfId="2" applyNumberFormat="1" applyFont="1" applyFill="1" applyBorder="1" applyAlignment="1">
      <alignment horizontal="center"/>
    </xf>
    <xf numFmtId="3" fontId="9" fillId="8" borderId="26" xfId="3" applyNumberFormat="1" applyFont="1" applyFill="1" applyBorder="1" applyAlignment="1">
      <alignment horizontal="center"/>
    </xf>
    <xf numFmtId="3" fontId="23" fillId="8" borderId="44" xfId="0" applyNumberFormat="1" applyFont="1" applyFill="1" applyBorder="1"/>
    <xf numFmtId="1" fontId="22" fillId="8" borderId="49" xfId="2" applyNumberFormat="1" applyFont="1" applyFill="1" applyBorder="1" applyAlignment="1">
      <alignment horizontal="center" wrapText="1"/>
    </xf>
    <xf numFmtId="1" fontId="7" fillId="8" borderId="58" xfId="2" applyNumberFormat="1" applyFont="1" applyFill="1" applyBorder="1" applyAlignment="1">
      <alignment horizontal="center"/>
    </xf>
    <xf numFmtId="3" fontId="23" fillId="8" borderId="28" xfId="0" applyNumberFormat="1" applyFont="1" applyFill="1" applyBorder="1"/>
    <xf numFmtId="3" fontId="9" fillId="8" borderId="48" xfId="2" applyNumberFormat="1" applyFont="1" applyFill="1" applyBorder="1" applyAlignment="1">
      <alignment horizontal="left" vertical="center" wrapText="1"/>
    </xf>
    <xf numFmtId="3" fontId="22" fillId="8" borderId="49" xfId="2" applyNumberFormat="1" applyFont="1" applyFill="1" applyBorder="1" applyAlignment="1">
      <alignment horizontal="center" vertical="center"/>
    </xf>
    <xf numFmtId="1" fontId="32" fillId="8" borderId="49" xfId="2" applyNumberFormat="1" applyFont="1" applyFill="1" applyBorder="1" applyAlignment="1">
      <alignment horizontal="left" vertical="center" wrapText="1"/>
    </xf>
    <xf numFmtId="1" fontId="7" fillId="8" borderId="43" xfId="2" applyNumberFormat="1" applyFont="1" applyFill="1" applyBorder="1" applyAlignment="1">
      <alignment horizontal="center" vertical="center"/>
    </xf>
    <xf numFmtId="3" fontId="9" fillId="8" borderId="37" xfId="2" applyNumberFormat="1" applyFont="1" applyFill="1" applyBorder="1" applyAlignment="1">
      <alignment horizontal="center" vertical="center" wrapText="1"/>
    </xf>
    <xf numFmtId="3" fontId="9" fillId="8" borderId="21" xfId="2" applyNumberFormat="1" applyFont="1" applyFill="1" applyBorder="1" applyAlignment="1">
      <alignment horizontal="center" vertical="center"/>
    </xf>
    <xf numFmtId="3" fontId="10" fillId="8" borderId="43" xfId="2" applyNumberFormat="1" applyFont="1" applyFill="1" applyBorder="1" applyAlignment="1">
      <alignment horizontal="center" vertical="center"/>
    </xf>
    <xf numFmtId="3" fontId="26" fillId="8" borderId="37" xfId="2" applyNumberFormat="1" applyFont="1" applyFill="1" applyBorder="1" applyAlignment="1">
      <alignment horizontal="left" vertical="center" wrapText="1"/>
    </xf>
    <xf numFmtId="3" fontId="22" fillId="8" borderId="23" xfId="2" applyNumberFormat="1" applyFont="1" applyFill="1" applyBorder="1" applyAlignment="1">
      <alignment horizontal="center" vertical="center"/>
    </xf>
    <xf numFmtId="3" fontId="7" fillId="8" borderId="23" xfId="2" applyNumberFormat="1" applyFont="1" applyFill="1" applyBorder="1" applyAlignment="1">
      <alignment horizontal="center" vertical="center"/>
    </xf>
    <xf numFmtId="3" fontId="22" fillId="8" borderId="26" xfId="2" applyNumberFormat="1" applyFont="1" applyFill="1" applyBorder="1" applyAlignment="1">
      <alignment horizontal="center" vertical="center"/>
    </xf>
    <xf numFmtId="3" fontId="9" fillId="8" borderId="43" xfId="2" applyNumberFormat="1" applyFont="1" applyFill="1" applyBorder="1" applyAlignment="1">
      <alignment horizontal="center" vertical="center"/>
    </xf>
    <xf numFmtId="3" fontId="10" fillId="8" borderId="21" xfId="2" applyNumberFormat="1" applyFont="1" applyFill="1" applyBorder="1" applyAlignment="1">
      <alignment horizontal="center" vertical="center"/>
    </xf>
    <xf numFmtId="3" fontId="9" fillId="8" borderId="0" xfId="4" applyNumberFormat="1" applyFont="1" applyFill="1" applyBorder="1" applyAlignment="1">
      <alignment horizontal="center"/>
    </xf>
    <xf numFmtId="3" fontId="9" fillId="8" borderId="9" xfId="4" applyNumberFormat="1" applyFont="1" applyFill="1" applyBorder="1" applyAlignment="1">
      <alignment horizontal="center"/>
    </xf>
    <xf numFmtId="1" fontId="7" fillId="8" borderId="0" xfId="2" applyNumberFormat="1" applyFont="1" applyFill="1" applyBorder="1" applyAlignment="1">
      <alignment horizontal="center" vertical="center"/>
    </xf>
    <xf numFmtId="3" fontId="22" fillId="8" borderId="65" xfId="2" applyNumberFormat="1" applyFont="1" applyFill="1" applyBorder="1" applyAlignment="1">
      <alignment horizontal="center" vertical="center"/>
    </xf>
    <xf numFmtId="3" fontId="9" fillId="8" borderId="80" xfId="2" applyNumberFormat="1" applyFont="1" applyFill="1" applyBorder="1" applyAlignment="1">
      <alignment horizontal="center" vertical="center"/>
    </xf>
    <xf numFmtId="3" fontId="9" fillId="8" borderId="79" xfId="2" applyNumberFormat="1" applyFont="1" applyFill="1" applyBorder="1" applyAlignment="1">
      <alignment horizontal="center" vertical="center" wrapText="1"/>
    </xf>
    <xf numFmtId="3" fontId="7" fillId="8" borderId="65" xfId="2" applyNumberFormat="1" applyFont="1" applyFill="1" applyBorder="1" applyAlignment="1">
      <alignment horizontal="center" vertical="center"/>
    </xf>
    <xf numFmtId="3" fontId="9" fillId="8" borderId="79" xfId="2" applyNumberFormat="1" applyFont="1" applyFill="1" applyBorder="1" applyAlignment="1">
      <alignment horizontal="center" vertical="center"/>
    </xf>
    <xf numFmtId="3" fontId="10" fillId="8" borderId="79" xfId="2" applyNumberFormat="1" applyFont="1" applyFill="1" applyBorder="1" applyAlignment="1">
      <alignment horizontal="center" vertical="center"/>
    </xf>
    <xf numFmtId="49" fontId="9" fillId="8" borderId="21" xfId="4" applyNumberFormat="1" applyFont="1" applyFill="1" applyBorder="1" applyAlignment="1">
      <alignment horizontal="center"/>
    </xf>
    <xf numFmtId="169" fontId="10" fillId="8" borderId="21" xfId="1" applyNumberFormat="1" applyFont="1" applyFill="1" applyBorder="1"/>
    <xf numFmtId="3" fontId="10" fillId="8" borderId="21" xfId="1" applyNumberFormat="1" applyFont="1" applyFill="1" applyBorder="1" applyAlignment="1">
      <alignment horizontal="right"/>
    </xf>
    <xf numFmtId="3" fontId="10" fillId="8" borderId="26" xfId="1" applyNumberFormat="1" applyFont="1" applyFill="1" applyBorder="1" applyAlignment="1">
      <alignment horizontal="right"/>
    </xf>
    <xf numFmtId="1" fontId="7" fillId="8" borderId="13" xfId="2" applyNumberFormat="1" applyFont="1" applyFill="1" applyBorder="1" applyAlignment="1">
      <alignment horizontal="center"/>
    </xf>
    <xf numFmtId="49" fontId="9" fillId="8" borderId="13" xfId="4" applyNumberFormat="1" applyFont="1" applyFill="1" applyBorder="1" applyAlignment="1">
      <alignment horizontal="center"/>
    </xf>
    <xf numFmtId="3" fontId="10" fillId="8" borderId="14" xfId="1" applyNumberFormat="1" applyFont="1" applyFill="1" applyBorder="1" applyAlignment="1">
      <alignment horizontal="right"/>
    </xf>
    <xf numFmtId="3" fontId="9" fillId="0" borderId="37" xfId="2" applyNumberFormat="1" applyFont="1" applyBorder="1" applyAlignment="1">
      <alignment horizontal="center" wrapText="1"/>
    </xf>
    <xf numFmtId="3" fontId="7" fillId="4" borderId="2" xfId="2" applyNumberFormat="1" applyFont="1" applyFill="1" applyBorder="1" applyAlignment="1">
      <alignment horizontal="center" wrapText="1"/>
    </xf>
    <xf numFmtId="3" fontId="25" fillId="0" borderId="66" xfId="3" applyNumberFormat="1" applyFont="1" applyFill="1" applyBorder="1" applyAlignment="1">
      <alignment horizontal="center" wrapText="1"/>
    </xf>
    <xf numFmtId="3" fontId="9" fillId="0" borderId="66" xfId="3" applyNumberFormat="1" applyFont="1" applyFill="1" applyBorder="1" applyAlignment="1">
      <alignment horizontal="center" wrapText="1"/>
    </xf>
    <xf numFmtId="165" fontId="9" fillId="0" borderId="58" xfId="3" applyNumberFormat="1" applyFont="1" applyFill="1" applyBorder="1" applyAlignment="1">
      <alignment horizontal="center" wrapText="1"/>
    </xf>
    <xf numFmtId="3" fontId="9" fillId="0" borderId="24" xfId="4" applyNumberFormat="1" applyFont="1" applyFill="1" applyBorder="1" applyAlignment="1">
      <alignment horizontal="center"/>
    </xf>
    <xf numFmtId="169" fontId="9" fillId="0" borderId="20" xfId="1" applyNumberFormat="1" applyFont="1" applyFill="1" applyBorder="1" applyAlignment="1">
      <alignment vertical="center"/>
    </xf>
    <xf numFmtId="169" fontId="9" fillId="0" borderId="22" xfId="1" applyNumberFormat="1" applyFont="1" applyFill="1" applyBorder="1" applyAlignment="1">
      <alignment vertical="center"/>
    </xf>
    <xf numFmtId="169" fontId="9" fillId="0" borderId="24" xfId="1" applyNumberFormat="1" applyFont="1" applyFill="1" applyBorder="1" applyAlignment="1">
      <alignment vertical="center"/>
    </xf>
    <xf numFmtId="169" fontId="9" fillId="0" borderId="21" xfId="1" applyNumberFormat="1" applyFont="1" applyFill="1" applyBorder="1" applyAlignment="1">
      <alignment vertical="center"/>
    </xf>
    <xf numFmtId="169" fontId="9" fillId="0" borderId="26" xfId="1" applyNumberFormat="1" applyFont="1" applyFill="1" applyBorder="1" applyAlignment="1">
      <alignment vertical="center"/>
    </xf>
    <xf numFmtId="169" fontId="9" fillId="0" borderId="14" xfId="1" applyNumberFormat="1" applyFont="1" applyFill="1" applyBorder="1" applyAlignment="1">
      <alignment vertical="center"/>
    </xf>
    <xf numFmtId="169" fontId="10" fillId="0" borderId="20" xfId="1" applyNumberFormat="1" applyFont="1" applyFill="1" applyBorder="1" applyAlignment="1">
      <alignment wrapText="1"/>
    </xf>
    <xf numFmtId="169" fontId="10" fillId="0" borderId="22" xfId="1" applyNumberFormat="1" applyFont="1" applyFill="1" applyBorder="1" applyAlignment="1">
      <alignment wrapText="1"/>
    </xf>
    <xf numFmtId="169" fontId="10" fillId="0" borderId="24" xfId="1" applyNumberFormat="1" applyFont="1" applyFill="1" applyBorder="1" applyAlignment="1">
      <alignment wrapText="1"/>
    </xf>
    <xf numFmtId="169" fontId="10" fillId="0" borderId="21" xfId="1" applyNumberFormat="1" applyFont="1" applyFill="1" applyBorder="1" applyAlignment="1">
      <alignment wrapText="1"/>
    </xf>
    <xf numFmtId="169" fontId="10" fillId="0" borderId="26" xfId="1" applyNumberFormat="1" applyFont="1" applyFill="1" applyBorder="1" applyAlignment="1">
      <alignment wrapText="1"/>
    </xf>
    <xf numFmtId="169" fontId="10" fillId="0" borderId="14" xfId="1" applyNumberFormat="1" applyFont="1" applyFill="1" applyBorder="1" applyAlignment="1">
      <alignment wrapText="1"/>
    </xf>
    <xf numFmtId="3" fontId="12" fillId="10" borderId="19" xfId="0" applyNumberFormat="1" applyFont="1" applyFill="1" applyBorder="1" applyAlignment="1">
      <alignment horizontal="center"/>
    </xf>
    <xf numFmtId="3" fontId="7" fillId="0" borderId="8" xfId="3" applyNumberFormat="1" applyFont="1" applyFill="1" applyBorder="1" applyAlignment="1">
      <alignment horizontal="center" vertical="center"/>
    </xf>
    <xf numFmtId="3" fontId="7" fillId="0" borderId="26" xfId="3" applyNumberFormat="1" applyFont="1" applyFill="1" applyBorder="1" applyAlignment="1">
      <alignment horizontal="center" vertical="center"/>
    </xf>
    <xf numFmtId="3" fontId="7" fillId="0" borderId="14" xfId="3" applyNumberFormat="1" applyFont="1" applyFill="1" applyBorder="1" applyAlignment="1">
      <alignment horizontal="center" vertical="center"/>
    </xf>
    <xf numFmtId="169" fontId="7" fillId="0" borderId="21" xfId="1" applyNumberFormat="1" applyFont="1" applyFill="1" applyBorder="1" applyAlignment="1">
      <alignment horizontal="center" vertical="center"/>
    </xf>
    <xf numFmtId="49" fontId="9" fillId="0" borderId="38" xfId="2" applyNumberFormat="1" applyFont="1" applyFill="1" applyBorder="1" applyAlignment="1">
      <alignment vertical="center"/>
    </xf>
    <xf numFmtId="49" fontId="9" fillId="0" borderId="7" xfId="2" applyNumberFormat="1" applyFont="1" applyFill="1" applyBorder="1" applyAlignment="1">
      <alignment vertical="center"/>
    </xf>
    <xf numFmtId="49" fontId="9" fillId="0" borderId="13" xfId="2" applyNumberFormat="1" applyFont="1" applyFill="1" applyBorder="1" applyAlignment="1">
      <alignment vertical="center"/>
    </xf>
    <xf numFmtId="3" fontId="33" fillId="0" borderId="0" xfId="0" applyNumberFormat="1" applyFont="1"/>
    <xf numFmtId="3" fontId="4" fillId="0" borderId="87" xfId="21" applyNumberFormat="1" applyBorder="1" applyAlignment="1">
      <alignment horizontal="center"/>
    </xf>
    <xf numFmtId="3" fontId="9" fillId="0" borderId="8" xfId="3" applyNumberFormat="1" applyFont="1" applyFill="1" applyBorder="1"/>
    <xf numFmtId="0" fontId="10" fillId="0" borderId="13" xfId="1" applyNumberFormat="1" applyFont="1" applyFill="1" applyBorder="1" applyAlignment="1">
      <alignment horizontal="center" vertical="center"/>
    </xf>
    <xf numFmtId="169" fontId="9" fillId="0" borderId="39" xfId="1" applyNumberFormat="1" applyFont="1" applyFill="1" applyBorder="1" applyAlignment="1">
      <alignment horizontal="center" vertical="center"/>
    </xf>
    <xf numFmtId="3" fontId="9" fillId="0" borderId="39" xfId="1" applyNumberFormat="1" applyFont="1" applyFill="1" applyBorder="1" applyAlignment="1">
      <alignment horizontal="center" vertical="center"/>
    </xf>
    <xf numFmtId="169" fontId="9" fillId="0" borderId="27" xfId="1" applyNumberFormat="1" applyFont="1" applyFill="1" applyBorder="1" applyAlignment="1">
      <alignment horizontal="center" vertical="center"/>
    </xf>
    <xf numFmtId="169" fontId="9" fillId="0" borderId="28" xfId="1" applyNumberFormat="1" applyFont="1" applyFill="1" applyBorder="1" applyAlignment="1">
      <alignment horizontal="center" vertical="center"/>
    </xf>
    <xf numFmtId="0" fontId="9" fillId="0" borderId="13" xfId="1" applyNumberFormat="1" applyFont="1" applyFill="1" applyBorder="1" applyAlignment="1">
      <alignment horizontal="center" vertical="center"/>
    </xf>
    <xf numFmtId="3" fontId="22" fillId="0" borderId="23" xfId="2" applyNumberFormat="1" applyFont="1" applyBorder="1" applyAlignment="1">
      <alignment horizontal="center"/>
    </xf>
    <xf numFmtId="3" fontId="9" fillId="0" borderId="26" xfId="2" applyNumberFormat="1" applyFont="1" applyBorder="1" applyAlignment="1">
      <alignment horizontal="left" wrapText="1"/>
    </xf>
    <xf numFmtId="3" fontId="9" fillId="0" borderId="14" xfId="2" applyNumberFormat="1" applyFont="1" applyBorder="1" applyAlignment="1">
      <alignment horizontal="left" wrapText="1"/>
    </xf>
    <xf numFmtId="3" fontId="9" fillId="0" borderId="21" xfId="2" applyNumberFormat="1" applyFont="1" applyBorder="1" applyAlignment="1">
      <alignment horizontal="left" vertical="center" wrapText="1"/>
    </xf>
    <xf numFmtId="3" fontId="9" fillId="0" borderId="14" xfId="2" applyNumberFormat="1" applyFont="1" applyBorder="1" applyAlignment="1">
      <alignment horizontal="center" wrapText="1"/>
    </xf>
    <xf numFmtId="1" fontId="22" fillId="0" borderId="38" xfId="2" applyNumberFormat="1" applyFont="1" applyFill="1" applyBorder="1" applyAlignment="1">
      <alignment horizontal="center"/>
    </xf>
    <xf numFmtId="3" fontId="7" fillId="0" borderId="37" xfId="2" applyNumberFormat="1" applyFont="1" applyBorder="1" applyAlignment="1">
      <alignment horizontal="center" vertical="center"/>
    </xf>
    <xf numFmtId="165" fontId="9" fillId="0" borderId="88" xfId="3" applyNumberFormat="1" applyFont="1" applyFill="1" applyBorder="1" applyAlignment="1">
      <alignment horizontal="center"/>
    </xf>
    <xf numFmtId="166" fontId="10" fillId="0" borderId="33" xfId="3" applyNumberFormat="1" applyFont="1" applyFill="1" applyBorder="1" applyAlignment="1">
      <alignment horizontal="left"/>
    </xf>
    <xf numFmtId="3" fontId="25" fillId="8" borderId="31" xfId="3" applyNumberFormat="1" applyFont="1" applyFill="1" applyBorder="1"/>
    <xf numFmtId="3" fontId="9" fillId="0" borderId="87" xfId="21" applyNumberFormat="1" applyFont="1" applyBorder="1" applyAlignment="1">
      <alignment horizontal="center"/>
    </xf>
    <xf numFmtId="3" fontId="9" fillId="0" borderId="21" xfId="21" applyNumberFormat="1" applyFont="1" applyBorder="1" applyAlignment="1">
      <alignment horizontal="center"/>
    </xf>
    <xf numFmtId="3" fontId="9" fillId="0" borderId="8" xfId="21" applyNumberFormat="1" applyFont="1" applyBorder="1" applyAlignment="1">
      <alignment horizontal="center"/>
    </xf>
    <xf numFmtId="3" fontId="9" fillId="0" borderId="13" xfId="21" applyNumberFormat="1" applyFont="1" applyBorder="1" applyAlignment="1">
      <alignment horizontal="center"/>
    </xf>
    <xf numFmtId="3" fontId="29" fillId="0" borderId="40" xfId="0" applyNumberFormat="1" applyFont="1" applyFill="1" applyBorder="1"/>
    <xf numFmtId="3" fontId="29" fillId="0" borderId="41" xfId="0" applyNumberFormat="1" applyFont="1" applyFill="1" applyBorder="1"/>
    <xf numFmtId="3" fontId="9" fillId="0" borderId="36" xfId="4" applyNumberFormat="1" applyFont="1" applyFill="1" applyBorder="1" applyAlignment="1">
      <alignment horizontal="center"/>
    </xf>
    <xf numFmtId="3" fontId="9" fillId="0" borderId="20" xfId="4" applyNumberFormat="1" applyFont="1" applyFill="1" applyBorder="1" applyAlignment="1">
      <alignment horizontal="center"/>
    </xf>
    <xf numFmtId="3" fontId="10" fillId="0" borderId="21" xfId="4" applyNumberFormat="1" applyFont="1" applyFill="1" applyBorder="1" applyAlignment="1">
      <alignment horizontal="center"/>
    </xf>
    <xf numFmtId="3" fontId="10" fillId="0" borderId="13" xfId="4" applyNumberFormat="1" applyFont="1" applyFill="1" applyBorder="1" applyAlignment="1">
      <alignment horizontal="center"/>
    </xf>
    <xf numFmtId="3" fontId="9" fillId="0" borderId="90" xfId="2" applyNumberFormat="1" applyFont="1" applyBorder="1" applyAlignment="1">
      <alignment horizontal="center"/>
    </xf>
    <xf numFmtId="3" fontId="9" fillId="0" borderId="91" xfId="2" applyNumberFormat="1" applyFont="1" applyBorder="1" applyAlignment="1">
      <alignment horizontal="center"/>
    </xf>
    <xf numFmtId="3" fontId="9" fillId="0" borderId="92" xfId="2" applyNumberFormat="1" applyFont="1" applyBorder="1" applyAlignment="1">
      <alignment horizontal="center"/>
    </xf>
    <xf numFmtId="0" fontId="9" fillId="0" borderId="42" xfId="1" applyNumberFormat="1" applyFont="1" applyFill="1" applyBorder="1" applyAlignment="1">
      <alignment horizontal="center" vertical="center"/>
    </xf>
    <xf numFmtId="0" fontId="9" fillId="0" borderId="26" xfId="1" applyNumberFormat="1" applyFont="1" applyFill="1" applyBorder="1" applyAlignment="1">
      <alignment horizontal="center" vertical="center"/>
    </xf>
    <xf numFmtId="3" fontId="9" fillId="0" borderId="26" xfId="1" applyNumberFormat="1" applyFont="1" applyFill="1" applyBorder="1" applyAlignment="1">
      <alignment horizontal="center" vertical="center"/>
    </xf>
    <xf numFmtId="0" fontId="9" fillId="0" borderId="27" xfId="1" applyNumberFormat="1" applyFont="1" applyFill="1" applyBorder="1" applyAlignment="1">
      <alignment horizontal="center" vertical="center"/>
    </xf>
    <xf numFmtId="3" fontId="9" fillId="0" borderId="27" xfId="1" applyNumberFormat="1" applyFont="1" applyFill="1" applyBorder="1" applyAlignment="1">
      <alignment horizontal="center" vertical="center"/>
    </xf>
    <xf numFmtId="0" fontId="9" fillId="0" borderId="14" xfId="1" applyNumberFormat="1" applyFont="1" applyFill="1" applyBorder="1" applyAlignment="1">
      <alignment horizontal="center" vertical="center"/>
    </xf>
    <xf numFmtId="3" fontId="9" fillId="0" borderId="14" xfId="1" applyNumberFormat="1" applyFont="1" applyFill="1" applyBorder="1" applyAlignment="1">
      <alignment horizontal="center" vertical="center"/>
    </xf>
    <xf numFmtId="0" fontId="9" fillId="0" borderId="28" xfId="1" applyNumberFormat="1" applyFont="1" applyFill="1" applyBorder="1" applyAlignment="1">
      <alignment horizontal="center" vertical="center"/>
    </xf>
    <xf numFmtId="3" fontId="9" fillId="0" borderId="28" xfId="1" applyNumberFormat="1" applyFont="1" applyFill="1" applyBorder="1" applyAlignment="1">
      <alignment horizontal="center" vertical="center"/>
    </xf>
    <xf numFmtId="1" fontId="7" fillId="0" borderId="8" xfId="2" applyNumberFormat="1" applyFont="1" applyFill="1" applyBorder="1" applyAlignment="1">
      <alignment horizontal="center"/>
    </xf>
    <xf numFmtId="0" fontId="9" fillId="0" borderId="36" xfId="1" applyNumberFormat="1" applyFont="1" applyFill="1" applyBorder="1" applyAlignment="1">
      <alignment horizontal="center" vertical="center"/>
    </xf>
    <xf numFmtId="3" fontId="9" fillId="0" borderId="36" xfId="1" applyNumberFormat="1" applyFont="1" applyFill="1" applyBorder="1" applyAlignment="1">
      <alignment horizontal="center" vertical="center"/>
    </xf>
    <xf numFmtId="169" fontId="9" fillId="0" borderId="44" xfId="1" applyNumberFormat="1" applyFont="1" applyFill="1" applyBorder="1" applyAlignment="1">
      <alignment horizontal="center" vertical="center"/>
    </xf>
    <xf numFmtId="169" fontId="9" fillId="0" borderId="36" xfId="1" applyNumberFormat="1" applyFont="1" applyFill="1" applyBorder="1" applyAlignment="1">
      <alignment horizontal="center" vertical="center"/>
    </xf>
    <xf numFmtId="3" fontId="9" fillId="0" borderId="44" xfId="1" applyNumberFormat="1" applyFont="1" applyFill="1" applyBorder="1" applyAlignment="1">
      <alignment horizontal="center" vertical="center"/>
    </xf>
    <xf numFmtId="3" fontId="9" fillId="0" borderId="22" xfId="4" applyNumberFormat="1" applyFont="1" applyFill="1" applyBorder="1" applyAlignment="1">
      <alignment horizontal="center"/>
    </xf>
    <xf numFmtId="3" fontId="9" fillId="0" borderId="72" xfId="4" applyNumberFormat="1" applyFont="1" applyFill="1" applyBorder="1" applyAlignment="1">
      <alignment horizontal="center"/>
    </xf>
    <xf numFmtId="3" fontId="9" fillId="0" borderId="36" xfId="3" applyNumberFormat="1" applyFont="1" applyFill="1" applyBorder="1" applyAlignment="1">
      <alignment horizontal="center"/>
    </xf>
    <xf numFmtId="169" fontId="7" fillId="4" borderId="1" xfId="2" applyNumberFormat="1" applyFont="1" applyFill="1" applyBorder="1" applyAlignment="1">
      <alignment horizontal="center" vertical="center"/>
    </xf>
    <xf numFmtId="3" fontId="9" fillId="0" borderId="23" xfId="4" applyNumberFormat="1" applyFont="1" applyFill="1" applyBorder="1" applyAlignment="1">
      <alignment horizontal="right"/>
    </xf>
    <xf numFmtId="3" fontId="9" fillId="0" borderId="21" xfId="3" applyNumberFormat="1" applyFont="1" applyFill="1" applyBorder="1" applyAlignment="1">
      <alignment horizontal="right"/>
    </xf>
    <xf numFmtId="3" fontId="9" fillId="0" borderId="43" xfId="3" applyNumberFormat="1" applyFont="1" applyFill="1" applyBorder="1" applyAlignment="1">
      <alignment horizontal="right"/>
    </xf>
    <xf numFmtId="3" fontId="10" fillId="0" borderId="8" xfId="4" applyNumberFormat="1" applyFont="1" applyFill="1" applyBorder="1" applyAlignment="1">
      <alignment horizontal="right"/>
    </xf>
    <xf numFmtId="3" fontId="9" fillId="0" borderId="26" xfId="3" applyNumberFormat="1" applyFont="1" applyFill="1" applyBorder="1" applyAlignment="1">
      <alignment horizontal="right"/>
    </xf>
    <xf numFmtId="3" fontId="10" fillId="0" borderId="26" xfId="4" applyNumberFormat="1" applyFont="1" applyFill="1" applyBorder="1" applyAlignment="1">
      <alignment horizontal="right"/>
    </xf>
    <xf numFmtId="3" fontId="9" fillId="0" borderId="9" xfId="4" applyNumberFormat="1" applyFont="1" applyFill="1" applyBorder="1" applyAlignment="1">
      <alignment horizontal="right"/>
    </xf>
    <xf numFmtId="3" fontId="9" fillId="0" borderId="14" xfId="3" applyNumberFormat="1" applyFont="1" applyFill="1" applyBorder="1" applyAlignment="1">
      <alignment horizontal="right"/>
    </xf>
    <xf numFmtId="3" fontId="12" fillId="3" borderId="28" xfId="0" applyNumberFormat="1" applyFont="1" applyFill="1" applyBorder="1" applyAlignment="1">
      <alignment horizontal="right"/>
    </xf>
    <xf numFmtId="3" fontId="10" fillId="0" borderId="14" xfId="4" applyNumberFormat="1" applyFont="1" applyFill="1" applyBorder="1" applyAlignment="1">
      <alignment horizontal="right"/>
    </xf>
    <xf numFmtId="3" fontId="9" fillId="0" borderId="21" xfId="4" applyNumberFormat="1" applyFont="1" applyFill="1" applyBorder="1" applyAlignment="1">
      <alignment horizontal="right"/>
    </xf>
    <xf numFmtId="3" fontId="9" fillId="0" borderId="32" xfId="3" applyNumberFormat="1" applyFont="1" applyFill="1" applyBorder="1" applyAlignment="1">
      <alignment horizontal="right"/>
    </xf>
    <xf numFmtId="3" fontId="10" fillId="0" borderId="33" xfId="3" applyNumberFormat="1" applyFont="1" applyFill="1" applyBorder="1" applyAlignment="1">
      <alignment horizontal="right"/>
    </xf>
    <xf numFmtId="3" fontId="9" fillId="0" borderId="34" xfId="3" applyNumberFormat="1" applyFont="1" applyFill="1" applyBorder="1" applyAlignment="1">
      <alignment horizontal="right"/>
    </xf>
    <xf numFmtId="3" fontId="10" fillId="0" borderId="30" xfId="3" applyNumberFormat="1" applyFont="1" applyFill="1" applyBorder="1" applyAlignment="1">
      <alignment horizontal="right"/>
    </xf>
    <xf numFmtId="3" fontId="9" fillId="0" borderId="13" xfId="4" applyNumberFormat="1" applyFont="1" applyFill="1" applyBorder="1" applyAlignment="1">
      <alignment horizontal="right"/>
    </xf>
    <xf numFmtId="3" fontId="9" fillId="0" borderId="35" xfId="3" applyNumberFormat="1" applyFont="1" applyFill="1" applyBorder="1" applyAlignment="1">
      <alignment horizontal="right"/>
    </xf>
    <xf numFmtId="3" fontId="10" fillId="0" borderId="31" xfId="3" applyNumberFormat="1" applyFont="1" applyFill="1" applyBorder="1" applyAlignment="1">
      <alignment horizontal="right"/>
    </xf>
    <xf numFmtId="169" fontId="29" fillId="3" borderId="28" xfId="1" applyNumberFormat="1" applyFont="1" applyFill="1" applyBorder="1"/>
    <xf numFmtId="169" fontId="10" fillId="0" borderId="15" xfId="1" applyNumberFormat="1" applyFont="1" applyFill="1" applyBorder="1" applyAlignment="1">
      <alignment horizontal="center"/>
    </xf>
    <xf numFmtId="169" fontId="29" fillId="3" borderId="44" xfId="1" applyNumberFormat="1" applyFont="1" applyFill="1" applyBorder="1"/>
    <xf numFmtId="3" fontId="9" fillId="0" borderId="33" xfId="3" applyNumberFormat="1" applyFont="1" applyFill="1" applyBorder="1" applyAlignment="1">
      <alignment horizontal="right"/>
    </xf>
    <xf numFmtId="0" fontId="29" fillId="3" borderId="28" xfId="0" applyFont="1" applyFill="1" applyBorder="1"/>
    <xf numFmtId="3" fontId="12" fillId="3" borderId="14" xfId="0" applyNumberFormat="1" applyFont="1" applyFill="1" applyBorder="1" applyAlignment="1">
      <alignment horizontal="right"/>
    </xf>
    <xf numFmtId="165" fontId="9" fillId="8" borderId="78" xfId="3" applyNumberFormat="1" applyFont="1" applyFill="1" applyBorder="1" applyAlignment="1">
      <alignment horizontal="center" vertical="center"/>
    </xf>
    <xf numFmtId="166" fontId="10" fillId="8" borderId="95" xfId="3" applyNumberFormat="1" applyFont="1" applyFill="1" applyBorder="1" applyAlignment="1">
      <alignment vertical="center"/>
    </xf>
    <xf numFmtId="1" fontId="10" fillId="8" borderId="19" xfId="2" applyNumberFormat="1" applyFont="1" applyFill="1" applyBorder="1" applyAlignment="1">
      <alignment horizontal="center" vertical="center"/>
    </xf>
    <xf numFmtId="3" fontId="9" fillId="8" borderId="78" xfId="3" applyNumberFormat="1" applyFont="1" applyFill="1" applyBorder="1" applyAlignment="1">
      <alignment horizontal="center" vertical="center"/>
    </xf>
    <xf numFmtId="3" fontId="10" fillId="8" borderId="95" xfId="3" applyNumberFormat="1" applyFont="1" applyFill="1" applyBorder="1" applyAlignment="1">
      <alignment vertical="center"/>
    </xf>
    <xf numFmtId="3" fontId="10" fillId="8" borderId="13" xfId="4" applyNumberFormat="1" applyFont="1" applyFill="1" applyBorder="1" applyAlignment="1">
      <alignment horizontal="center" vertical="center"/>
    </xf>
    <xf numFmtId="169" fontId="10" fillId="0" borderId="8" xfId="1" applyNumberFormat="1" applyFont="1" applyFill="1" applyBorder="1" applyAlignment="1">
      <alignment horizontal="right"/>
    </xf>
    <xf numFmtId="43" fontId="10" fillId="8" borderId="21" xfId="1" applyFont="1" applyFill="1" applyBorder="1" applyAlignment="1">
      <alignment horizontal="right"/>
    </xf>
    <xf numFmtId="169" fontId="10" fillId="8" borderId="26" xfId="1" applyNumberFormat="1" applyFont="1" applyFill="1" applyBorder="1" applyAlignment="1">
      <alignment horizontal="center"/>
    </xf>
    <xf numFmtId="169" fontId="29" fillId="8" borderId="40" xfId="1" applyNumberFormat="1" applyFont="1" applyFill="1" applyBorder="1"/>
    <xf numFmtId="169" fontId="10" fillId="8" borderId="23" xfId="1" applyNumberFormat="1" applyFont="1" applyFill="1" applyBorder="1" applyAlignment="1">
      <alignment horizontal="center"/>
    </xf>
    <xf numFmtId="169" fontId="29" fillId="8" borderId="41" xfId="1" applyNumberFormat="1" applyFont="1" applyFill="1" applyBorder="1"/>
    <xf numFmtId="169" fontId="10" fillId="8" borderId="15" xfId="1" applyNumberFormat="1" applyFont="1" applyFill="1" applyBorder="1" applyAlignment="1">
      <alignment horizontal="center"/>
    </xf>
    <xf numFmtId="3" fontId="0" fillId="0" borderId="8" xfId="4" applyNumberFormat="1" applyFont="1" applyFill="1" applyBorder="1" applyAlignment="1">
      <alignment horizontal="center"/>
    </xf>
    <xf numFmtId="3" fontId="12" fillId="0" borderId="40" xfId="0" applyNumberFormat="1" applyFont="1" applyFill="1" applyBorder="1"/>
    <xf numFmtId="3" fontId="12" fillId="0" borderId="41" xfId="0" applyNumberFormat="1" applyFont="1" applyFill="1" applyBorder="1"/>
    <xf numFmtId="3" fontId="59" fillId="8" borderId="21" xfId="3" applyNumberFormat="1" applyFont="1" applyFill="1" applyBorder="1" applyAlignment="1">
      <alignment horizontal="center" vertical="center"/>
    </xf>
    <xf numFmtId="3" fontId="58" fillId="8" borderId="21" xfId="4" applyNumberFormat="1" applyFont="1" applyFill="1" applyBorder="1" applyAlignment="1">
      <alignment horizontal="center" vertical="center"/>
    </xf>
    <xf numFmtId="3" fontId="59" fillId="8" borderId="26" xfId="3" applyNumberFormat="1" applyFont="1" applyFill="1" applyBorder="1" applyAlignment="1">
      <alignment horizontal="center" vertical="center"/>
    </xf>
    <xf numFmtId="3" fontId="58" fillId="8" borderId="26" xfId="4" applyNumberFormat="1" applyFont="1" applyFill="1" applyBorder="1" applyAlignment="1">
      <alignment horizontal="center" vertical="center"/>
    </xf>
    <xf numFmtId="3" fontId="59" fillId="8" borderId="14" xfId="3" applyNumberFormat="1" applyFont="1" applyFill="1" applyBorder="1" applyAlignment="1">
      <alignment horizontal="center" vertical="center"/>
    </xf>
    <xf numFmtId="3" fontId="59" fillId="8" borderId="14" xfId="4" applyNumberFormat="1" applyFont="1" applyFill="1" applyBorder="1" applyAlignment="1">
      <alignment horizontal="center" vertical="center"/>
    </xf>
    <xf numFmtId="3" fontId="58" fillId="8" borderId="14" xfId="4" applyNumberFormat="1" applyFont="1" applyFill="1" applyBorder="1" applyAlignment="1">
      <alignment horizontal="center" vertical="center"/>
    </xf>
    <xf numFmtId="3" fontId="59" fillId="8" borderId="21" xfId="4" applyNumberFormat="1" applyFont="1" applyFill="1" applyBorder="1" applyAlignment="1">
      <alignment horizontal="center" vertical="center"/>
    </xf>
    <xf numFmtId="3" fontId="59" fillId="8" borderId="26" xfId="4" applyNumberFormat="1" applyFont="1" applyFill="1" applyBorder="1" applyAlignment="1">
      <alignment horizontal="center" vertical="center"/>
    </xf>
    <xf numFmtId="3" fontId="58" fillId="8" borderId="21" xfId="3" applyNumberFormat="1" applyFont="1" applyFill="1" applyBorder="1" applyAlignment="1">
      <alignment horizontal="center" vertical="center"/>
    </xf>
    <xf numFmtId="3" fontId="58" fillId="8" borderId="26" xfId="3" applyNumberFormat="1" applyFont="1" applyFill="1" applyBorder="1" applyAlignment="1">
      <alignment horizontal="center" vertical="center"/>
    </xf>
    <xf numFmtId="3" fontId="58" fillId="8" borderId="14" xfId="3" applyNumberFormat="1" applyFont="1" applyFill="1" applyBorder="1" applyAlignment="1">
      <alignment horizontal="center" vertical="center"/>
    </xf>
    <xf numFmtId="3" fontId="10" fillId="8" borderId="21" xfId="1" applyNumberFormat="1" applyFont="1" applyFill="1" applyBorder="1"/>
    <xf numFmtId="3" fontId="10" fillId="8" borderId="26" xfId="1" applyNumberFormat="1" applyFont="1" applyFill="1" applyBorder="1"/>
    <xf numFmtId="3" fontId="10" fillId="8" borderId="14" xfId="1" applyNumberFormat="1" applyFont="1" applyFill="1" applyBorder="1"/>
    <xf numFmtId="3" fontId="10" fillId="8" borderId="43" xfId="3" applyNumberFormat="1" applyFont="1" applyFill="1" applyBorder="1"/>
    <xf numFmtId="3" fontId="10" fillId="8" borderId="49" xfId="3" applyNumberFormat="1" applyFont="1" applyFill="1" applyBorder="1"/>
    <xf numFmtId="3" fontId="10" fillId="8" borderId="50" xfId="3" applyNumberFormat="1" applyFont="1" applyFill="1" applyBorder="1"/>
    <xf numFmtId="169" fontId="9" fillId="0" borderId="39" xfId="1" applyNumberFormat="1" applyFont="1" applyFill="1" applyBorder="1" applyAlignment="1">
      <alignment vertical="center"/>
    </xf>
    <xf numFmtId="169" fontId="9" fillId="0" borderId="27" xfId="1" applyNumberFormat="1" applyFont="1" applyFill="1" applyBorder="1" applyAlignment="1">
      <alignment vertical="center"/>
    </xf>
    <xf numFmtId="169" fontId="9" fillId="0" borderId="28" xfId="1" applyNumberFormat="1" applyFont="1" applyFill="1" applyBorder="1" applyAlignment="1">
      <alignment vertical="center"/>
    </xf>
    <xf numFmtId="0" fontId="0" fillId="4" borderId="0" xfId="0" applyFill="1"/>
    <xf numFmtId="3" fontId="10" fillId="2" borderId="1" xfId="2" applyNumberFormat="1" applyFont="1" applyFill="1" applyBorder="1" applyAlignment="1">
      <alignment horizontal="center"/>
    </xf>
    <xf numFmtId="3" fontId="10" fillId="2" borderId="2" xfId="2" applyNumberFormat="1" applyFont="1" applyFill="1" applyBorder="1" applyAlignment="1"/>
    <xf numFmtId="3" fontId="10" fillId="2" borderId="6" xfId="2" applyNumberFormat="1" applyFont="1" applyFill="1" applyBorder="1" applyAlignment="1"/>
    <xf numFmtId="3" fontId="10" fillId="2" borderId="2" xfId="2" applyNumberFormat="1" applyFont="1" applyFill="1" applyBorder="1" applyAlignment="1">
      <alignment vertical="center"/>
    </xf>
    <xf numFmtId="169" fontId="7" fillId="2" borderId="2" xfId="2" applyNumberFormat="1" applyFont="1" applyFill="1" applyBorder="1" applyAlignment="1">
      <alignment vertical="center"/>
    </xf>
    <xf numFmtId="0" fontId="10" fillId="0" borderId="13" xfId="1" applyNumberFormat="1" applyFont="1" applyFill="1" applyBorder="1" applyAlignment="1">
      <alignment horizontal="center" vertical="center"/>
    </xf>
    <xf numFmtId="3" fontId="9" fillId="0" borderId="39" xfId="1" applyNumberFormat="1" applyFont="1" applyFill="1" applyBorder="1" applyAlignment="1">
      <alignment horizontal="center" vertical="center"/>
    </xf>
    <xf numFmtId="169" fontId="10" fillId="8" borderId="43" xfId="1" applyNumberFormat="1" applyFont="1" applyFill="1" applyBorder="1"/>
    <xf numFmtId="3" fontId="10" fillId="0" borderId="21" xfId="3" applyNumberFormat="1" applyFont="1" applyFill="1" applyBorder="1" applyAlignment="1">
      <alignment horizontal="center"/>
    </xf>
    <xf numFmtId="3" fontId="10" fillId="0" borderId="26" xfId="3" applyNumberFormat="1" applyFont="1" applyFill="1" applyBorder="1" applyAlignment="1">
      <alignment horizontal="center" wrapText="1"/>
    </xf>
    <xf numFmtId="3" fontId="10" fillId="0" borderId="14" xfId="3" applyNumberFormat="1" applyFont="1" applyFill="1" applyBorder="1" applyAlignment="1">
      <alignment horizontal="center"/>
    </xf>
    <xf numFmtId="0" fontId="10" fillId="0" borderId="13" xfId="1" applyNumberFormat="1" applyFont="1" applyFill="1" applyBorder="1" applyAlignment="1">
      <alignment horizontal="center" vertical="center"/>
    </xf>
    <xf numFmtId="3" fontId="9" fillId="0" borderId="32" xfId="3" applyNumberFormat="1" applyFont="1" applyBorder="1" applyAlignment="1">
      <alignment horizontal="center"/>
    </xf>
    <xf numFmtId="3" fontId="10" fillId="0" borderId="33" xfId="3" applyNumberFormat="1" applyFont="1" applyBorder="1"/>
    <xf numFmtId="3" fontId="9" fillId="0" borderId="34" xfId="3" applyNumberFormat="1" applyFont="1" applyBorder="1" applyAlignment="1">
      <alignment horizontal="center"/>
    </xf>
    <xf numFmtId="3" fontId="10" fillId="0" borderId="30" xfId="3" applyNumberFormat="1" applyFont="1" applyBorder="1"/>
    <xf numFmtId="3" fontId="9" fillId="0" borderId="35" xfId="3" applyNumberFormat="1" applyFont="1" applyBorder="1" applyAlignment="1">
      <alignment horizontal="center"/>
    </xf>
    <xf numFmtId="3" fontId="10" fillId="0" borderId="31" xfId="3" applyNumberFormat="1" applyFont="1" applyBorder="1"/>
    <xf numFmtId="43" fontId="10" fillId="0" borderId="40" xfId="1" applyFont="1" applyFill="1" applyBorder="1" applyAlignment="1">
      <alignment horizontal="center" vertical="center"/>
    </xf>
    <xf numFmtId="3" fontId="10" fillId="2" borderId="1" xfId="2" applyNumberFormat="1" applyFont="1" applyFill="1" applyBorder="1" applyAlignment="1">
      <alignment horizontal="center" vertical="center"/>
    </xf>
    <xf numFmtId="3" fontId="10" fillId="2" borderId="19" xfId="2" applyNumberFormat="1" applyFont="1" applyFill="1" applyBorder="1" applyAlignment="1">
      <alignment horizontal="center"/>
    </xf>
    <xf numFmtId="169" fontId="9" fillId="0" borderId="20" xfId="1" applyNumberFormat="1" applyFont="1" applyBorder="1" applyAlignment="1">
      <alignment horizontal="center"/>
    </xf>
    <xf numFmtId="1" fontId="9" fillId="0" borderId="22" xfId="2" applyNumberFormat="1" applyFont="1" applyBorder="1" applyAlignment="1">
      <alignment horizontal="center"/>
    </xf>
    <xf numFmtId="3" fontId="7" fillId="0" borderId="20" xfId="2" applyNumberFormat="1" applyFont="1" applyBorder="1" applyAlignment="1">
      <alignment horizontal="center"/>
    </xf>
    <xf numFmtId="169" fontId="7" fillId="0" borderId="21" xfId="1" applyNumberFormat="1" applyFont="1" applyBorder="1" applyAlignment="1">
      <alignment horizontal="center"/>
    </xf>
    <xf numFmtId="3" fontId="7" fillId="0" borderId="22" xfId="2" applyNumberFormat="1" applyFont="1" applyBorder="1" applyAlignment="1">
      <alignment horizontal="center"/>
    </xf>
    <xf numFmtId="169" fontId="9" fillId="0" borderId="22" xfId="1" applyNumberFormat="1" applyFont="1" applyBorder="1" applyAlignment="1">
      <alignment horizontal="center"/>
    </xf>
    <xf numFmtId="1" fontId="7" fillId="0" borderId="26" xfId="2" applyNumberFormat="1" applyFont="1" applyBorder="1" applyAlignment="1">
      <alignment horizontal="center"/>
    </xf>
    <xf numFmtId="3" fontId="7" fillId="0" borderId="24" xfId="2" applyNumberFormat="1" applyFont="1" applyBorder="1" applyAlignment="1">
      <alignment horizontal="center"/>
    </xf>
    <xf numFmtId="169" fontId="9" fillId="0" borderId="24" xfId="1" applyNumberFormat="1" applyFont="1" applyBorder="1" applyAlignment="1">
      <alignment horizontal="center"/>
    </xf>
    <xf numFmtId="1" fontId="7" fillId="0" borderId="14" xfId="2" applyNumberFormat="1" applyFont="1" applyBorder="1" applyAlignment="1">
      <alignment horizontal="center"/>
    </xf>
    <xf numFmtId="3" fontId="7" fillId="0" borderId="21" xfId="2" applyNumberFormat="1" applyFont="1" applyBorder="1" applyAlignment="1">
      <alignment horizontal="center"/>
    </xf>
    <xf numFmtId="3" fontId="7" fillId="0" borderId="26" xfId="2" applyNumberFormat="1" applyFont="1" applyBorder="1" applyAlignment="1">
      <alignment horizontal="center"/>
    </xf>
    <xf numFmtId="3" fontId="7" fillId="0" borderId="14" xfId="2" applyNumberFormat="1" applyFont="1" applyBorder="1" applyAlignment="1">
      <alignment horizontal="center"/>
    </xf>
    <xf numFmtId="1" fontId="7" fillId="0" borderId="20" xfId="2" applyNumberFormat="1" applyFont="1" applyBorder="1" applyAlignment="1">
      <alignment horizontal="center"/>
    </xf>
    <xf numFmtId="1" fontId="7" fillId="0" borderId="22" xfId="2" applyNumberFormat="1" applyFont="1" applyBorder="1" applyAlignment="1">
      <alignment horizontal="center"/>
    </xf>
    <xf numFmtId="1" fontId="7" fillId="0" borderId="24" xfId="2" applyNumberFormat="1" applyFont="1" applyBorder="1" applyAlignment="1">
      <alignment horizontal="center"/>
    </xf>
    <xf numFmtId="3" fontId="9" fillId="0" borderId="20" xfId="2" applyNumberFormat="1" applyFont="1" applyBorder="1" applyAlignment="1">
      <alignment horizontal="center"/>
    </xf>
    <xf numFmtId="3" fontId="9" fillId="0" borderId="22" xfId="2" applyNumberFormat="1" applyFont="1" applyBorder="1" applyAlignment="1">
      <alignment horizontal="center"/>
    </xf>
    <xf numFmtId="3" fontId="9" fillId="0" borderId="24" xfId="2" applyNumberFormat="1" applyFont="1" applyBorder="1" applyAlignment="1">
      <alignment horizontal="center"/>
    </xf>
    <xf numFmtId="169" fontId="7" fillId="2" borderId="1" xfId="2" applyNumberFormat="1" applyFont="1" applyFill="1" applyBorder="1" applyAlignment="1">
      <alignment horizontal="center" vertical="center"/>
    </xf>
    <xf numFmtId="169" fontId="7" fillId="2" borderId="2" xfId="1" applyNumberFormat="1" applyFont="1" applyFill="1" applyBorder="1" applyAlignment="1">
      <alignment horizontal="center"/>
    </xf>
    <xf numFmtId="169" fontId="7" fillId="0" borderId="26" xfId="1" applyNumberFormat="1" applyFont="1" applyBorder="1" applyAlignment="1">
      <alignment horizontal="center"/>
    </xf>
    <xf numFmtId="3" fontId="7" fillId="0" borderId="72" xfId="2" applyNumberFormat="1" applyFont="1" applyBorder="1" applyAlignment="1">
      <alignment horizontal="center"/>
    </xf>
    <xf numFmtId="169" fontId="9" fillId="0" borderId="72" xfId="1" applyNumberFormat="1" applyFont="1" applyBorder="1" applyAlignment="1">
      <alignment horizontal="center"/>
    </xf>
    <xf numFmtId="169" fontId="9" fillId="0" borderId="7" xfId="1" applyNumberFormat="1" applyFont="1" applyFill="1" applyBorder="1" applyAlignment="1">
      <alignment horizontal="center" vertical="center"/>
    </xf>
    <xf numFmtId="169" fontId="7" fillId="0" borderId="36" xfId="1" applyNumberFormat="1" applyFont="1" applyBorder="1" applyAlignment="1">
      <alignment horizontal="center"/>
    </xf>
    <xf numFmtId="3" fontId="9" fillId="0" borderId="20" xfId="1" applyNumberFormat="1" applyFont="1" applyFill="1" applyBorder="1" applyAlignment="1">
      <alignment vertical="center"/>
    </xf>
    <xf numFmtId="3" fontId="9" fillId="0" borderId="39" xfId="1" applyNumberFormat="1" applyFont="1" applyFill="1" applyBorder="1" applyAlignment="1">
      <alignment vertical="center"/>
    </xf>
    <xf numFmtId="165" fontId="9" fillId="0" borderId="21" xfId="3" applyNumberFormat="1" applyFont="1" applyBorder="1" applyAlignment="1">
      <alignment horizontal="center"/>
    </xf>
    <xf numFmtId="165" fontId="9" fillId="0" borderId="26" xfId="3" applyNumberFormat="1" applyFont="1" applyBorder="1" applyAlignment="1">
      <alignment horizontal="center"/>
    </xf>
    <xf numFmtId="165" fontId="9" fillId="0" borderId="14" xfId="3" applyNumberFormat="1" applyFont="1" applyBorder="1" applyAlignment="1">
      <alignment horizontal="center"/>
    </xf>
    <xf numFmtId="3" fontId="9" fillId="8" borderId="8" xfId="3" applyNumberFormat="1" applyFont="1" applyFill="1" applyBorder="1" applyAlignment="1">
      <alignment horizontal="center"/>
    </xf>
    <xf numFmtId="166" fontId="10" fillId="0" borderId="8" xfId="3" applyNumberFormat="1" applyFont="1" applyBorder="1"/>
    <xf numFmtId="166" fontId="10" fillId="0" borderId="43" xfId="3" applyNumberFormat="1" applyFont="1" applyBorder="1"/>
    <xf numFmtId="165" fontId="9" fillId="0" borderId="27" xfId="3" applyNumberFormat="1" applyFont="1" applyBorder="1" applyAlignment="1">
      <alignment horizontal="center"/>
    </xf>
    <xf numFmtId="165" fontId="9" fillId="0" borderId="28" xfId="3" applyNumberFormat="1" applyFont="1" applyBorder="1" applyAlignment="1">
      <alignment horizontal="center"/>
    </xf>
    <xf numFmtId="165" fontId="9" fillId="0" borderId="21" xfId="3" applyNumberFormat="1" applyFont="1" applyBorder="1" applyAlignment="1">
      <alignment horizontal="center" vertical="center"/>
    </xf>
    <xf numFmtId="165" fontId="9" fillId="0" borderId="26" xfId="3" applyNumberFormat="1" applyFont="1" applyBorder="1" applyAlignment="1">
      <alignment horizontal="center" vertical="center"/>
    </xf>
    <xf numFmtId="165" fontId="9" fillId="0" borderId="14" xfId="3" applyNumberFormat="1" applyFont="1" applyBorder="1" applyAlignment="1">
      <alignment horizontal="center" vertical="center"/>
    </xf>
    <xf numFmtId="165" fontId="9" fillId="0" borderId="8" xfId="3" applyNumberFormat="1" applyFont="1" applyBorder="1" applyAlignment="1">
      <alignment horizontal="center"/>
    </xf>
    <xf numFmtId="2" fontId="9" fillId="0" borderId="8" xfId="3" applyNumberFormat="1" applyFont="1" applyBorder="1" applyAlignment="1">
      <alignment horizontal="center"/>
    </xf>
    <xf numFmtId="2" fontId="10" fillId="0" borderId="43" xfId="3" applyNumberFormat="1" applyFont="1" applyBorder="1"/>
    <xf numFmtId="2" fontId="9" fillId="0" borderId="26" xfId="3" applyNumberFormat="1" applyFont="1" applyBorder="1" applyAlignment="1">
      <alignment horizontal="center"/>
    </xf>
    <xf numFmtId="2" fontId="9" fillId="0" borderId="14" xfId="3" applyNumberFormat="1" applyFont="1" applyBorder="1" applyAlignment="1">
      <alignment horizontal="center"/>
    </xf>
    <xf numFmtId="3" fontId="9" fillId="0" borderId="21" xfId="3" applyNumberFormat="1" applyFont="1" applyBorder="1" applyAlignment="1">
      <alignment horizontal="center"/>
    </xf>
    <xf numFmtId="3" fontId="10" fillId="0" borderId="43" xfId="3" applyNumberFormat="1" applyFont="1" applyBorder="1"/>
    <xf numFmtId="3" fontId="9" fillId="0" borderId="26" xfId="3" applyNumberFormat="1" applyFont="1" applyBorder="1" applyAlignment="1">
      <alignment horizontal="center"/>
    </xf>
    <xf numFmtId="3" fontId="12" fillId="3" borderId="44" xfId="0" applyNumberFormat="1" applyFont="1" applyFill="1" applyBorder="1"/>
    <xf numFmtId="3" fontId="9" fillId="0" borderId="14" xfId="3" applyNumberFormat="1" applyFont="1" applyBorder="1" applyAlignment="1">
      <alignment horizontal="center"/>
    </xf>
    <xf numFmtId="3" fontId="12" fillId="3" borderId="28" xfId="0" applyNumberFormat="1" applyFont="1" applyFill="1" applyBorder="1"/>
    <xf numFmtId="2" fontId="9" fillId="0" borderId="8" xfId="3" applyNumberFormat="1" applyFont="1" applyBorder="1" applyAlignment="1">
      <alignment horizontal="right"/>
    </xf>
    <xf numFmtId="2" fontId="10" fillId="0" borderId="43" xfId="3" applyNumberFormat="1" applyFont="1" applyBorder="1" applyAlignment="1">
      <alignment horizontal="right"/>
    </xf>
    <xf numFmtId="2" fontId="9" fillId="0" borderId="26" xfId="3" applyNumberFormat="1" applyFont="1" applyBorder="1" applyAlignment="1">
      <alignment horizontal="right"/>
    </xf>
    <xf numFmtId="2" fontId="9" fillId="0" borderId="14" xfId="3" applyNumberFormat="1" applyFont="1" applyBorder="1" applyAlignment="1">
      <alignment horizontal="right"/>
    </xf>
    <xf numFmtId="165" fontId="9" fillId="0" borderId="38" xfId="3" applyNumberFormat="1" applyFont="1" applyBorder="1" applyAlignment="1">
      <alignment horizontal="left" vertical="top" wrapText="1"/>
    </xf>
    <xf numFmtId="165" fontId="9" fillId="0" borderId="7" xfId="3" applyNumberFormat="1" applyFont="1" applyBorder="1" applyAlignment="1">
      <alignment horizontal="left" vertical="top" wrapText="1"/>
    </xf>
    <xf numFmtId="3" fontId="30" fillId="0" borderId="26" xfId="21" applyNumberFormat="1" applyFont="1" applyBorder="1" applyAlignment="1">
      <alignment horizontal="center"/>
    </xf>
    <xf numFmtId="3" fontId="62" fillId="0" borderId="37" xfId="21" applyNumberFormat="1" applyFont="1" applyBorder="1" applyAlignment="1">
      <alignment horizontal="center"/>
    </xf>
    <xf numFmtId="3" fontId="9" fillId="0" borderId="33" xfId="3" applyNumberFormat="1" applyFont="1" applyBorder="1"/>
    <xf numFmtId="3" fontId="62" fillId="0" borderId="60" xfId="21" applyNumberFormat="1" applyFont="1" applyBorder="1" applyAlignment="1">
      <alignment horizontal="center"/>
    </xf>
    <xf numFmtId="3" fontId="63" fillId="3" borderId="36" xfId="0" applyNumberFormat="1" applyFont="1" applyFill="1" applyBorder="1"/>
    <xf numFmtId="3" fontId="9" fillId="0" borderId="43" xfId="3" applyNumberFormat="1" applyFont="1" applyBorder="1"/>
    <xf numFmtId="3" fontId="63" fillId="3" borderId="28" xfId="0" applyNumberFormat="1" applyFont="1" applyFill="1" applyBorder="1"/>
    <xf numFmtId="3" fontId="9" fillId="0" borderId="8" xfId="3" applyNumberFormat="1" applyFont="1" applyBorder="1" applyAlignment="1">
      <alignment horizontal="center"/>
    </xf>
    <xf numFmtId="3" fontId="9" fillId="0" borderId="21" xfId="3" applyNumberFormat="1" applyFont="1" applyBorder="1" applyAlignment="1">
      <alignment horizontal="center" vertical="center"/>
    </xf>
    <xf numFmtId="3" fontId="9" fillId="0" borderId="43" xfId="3" applyNumberFormat="1" applyFont="1" applyBorder="1" applyAlignment="1">
      <alignment horizontal="center" vertical="center"/>
    </xf>
    <xf numFmtId="3" fontId="9" fillId="0" borderId="8" xfId="4" applyNumberFormat="1" applyFont="1" applyFill="1" applyBorder="1" applyAlignment="1">
      <alignment horizontal="center" vertical="center"/>
    </xf>
    <xf numFmtId="3" fontId="10" fillId="0" borderId="23" xfId="4" applyNumberFormat="1" applyFont="1" applyFill="1" applyBorder="1" applyAlignment="1">
      <alignment horizontal="center" vertical="center"/>
    </xf>
    <xf numFmtId="3" fontId="9" fillId="0" borderId="8" xfId="3" applyNumberFormat="1" applyFont="1" applyBorder="1" applyAlignment="1">
      <alignment horizontal="center" vertical="center"/>
    </xf>
    <xf numFmtId="3" fontId="9" fillId="0" borderId="26" xfId="4" applyNumberFormat="1" applyFont="1" applyFill="1" applyBorder="1" applyAlignment="1">
      <alignment horizontal="center" vertical="center"/>
    </xf>
    <xf numFmtId="3" fontId="9" fillId="0" borderId="13" xfId="3" applyNumberFormat="1" applyFont="1" applyBorder="1" applyAlignment="1">
      <alignment horizontal="center" vertical="center"/>
    </xf>
    <xf numFmtId="3" fontId="12" fillId="3" borderId="28" xfId="0" applyNumberFormat="1" applyFont="1" applyFill="1" applyBorder="1" applyAlignment="1">
      <alignment horizontal="center" vertical="center"/>
    </xf>
    <xf numFmtId="3" fontId="9" fillId="0" borderId="14" xfId="4" applyNumberFormat="1" applyFont="1" applyFill="1" applyBorder="1" applyAlignment="1">
      <alignment horizontal="center" vertical="center"/>
    </xf>
    <xf numFmtId="3" fontId="10" fillId="0" borderId="15" xfId="4" applyNumberFormat="1" applyFont="1" applyFill="1" applyBorder="1" applyAlignment="1">
      <alignment horizontal="center" vertical="center"/>
    </xf>
    <xf numFmtId="3" fontId="10" fillId="4" borderId="2" xfId="2" applyNumberFormat="1" applyFont="1" applyFill="1" applyBorder="1" applyAlignment="1">
      <alignment horizontal="center"/>
    </xf>
    <xf numFmtId="3" fontId="22" fillId="8" borderId="89" xfId="2" applyNumberFormat="1" applyFont="1" applyFill="1" applyBorder="1" applyAlignment="1">
      <alignment horizontal="center" vertical="center"/>
    </xf>
    <xf numFmtId="3" fontId="9" fillId="8" borderId="89" xfId="2" applyNumberFormat="1" applyFont="1" applyFill="1" applyBorder="1" applyAlignment="1">
      <alignment horizontal="center" vertical="center"/>
    </xf>
    <xf numFmtId="3" fontId="10" fillId="8" borderId="39" xfId="2" applyNumberFormat="1" applyFont="1" applyFill="1" applyBorder="1" applyAlignment="1">
      <alignment horizontal="center" vertical="center"/>
    </xf>
    <xf numFmtId="3" fontId="10" fillId="0" borderId="39" xfId="3" applyNumberFormat="1" applyFont="1" applyBorder="1"/>
    <xf numFmtId="3" fontId="9" fillId="8" borderId="49" xfId="2" applyNumberFormat="1" applyFont="1" applyFill="1" applyBorder="1" applyAlignment="1">
      <alignment horizontal="center" vertical="center"/>
    </xf>
    <xf numFmtId="3" fontId="9" fillId="8" borderId="26" xfId="2" applyNumberFormat="1" applyFont="1" applyFill="1" applyBorder="1" applyAlignment="1">
      <alignment horizontal="center" vertical="center"/>
    </xf>
    <xf numFmtId="3" fontId="10" fillId="8" borderId="26" xfId="2" applyNumberFormat="1" applyFont="1" applyFill="1" applyBorder="1" applyAlignment="1">
      <alignment horizontal="center" vertical="center"/>
    </xf>
    <xf numFmtId="3" fontId="23" fillId="0" borderId="44" xfId="0" applyNumberFormat="1" applyFont="1" applyBorder="1"/>
    <xf numFmtId="1" fontId="7" fillId="8" borderId="0" xfId="2" applyNumberFormat="1" applyFont="1" applyFill="1" applyAlignment="1">
      <alignment horizontal="center" vertical="center"/>
    </xf>
    <xf numFmtId="3" fontId="22" fillId="8" borderId="14" xfId="2" applyNumberFormat="1" applyFont="1" applyFill="1" applyBorder="1" applyAlignment="1">
      <alignment horizontal="center" vertical="center"/>
    </xf>
    <xf numFmtId="3" fontId="9" fillId="8" borderId="50" xfId="2" applyNumberFormat="1" applyFont="1" applyFill="1" applyBorder="1" applyAlignment="1">
      <alignment horizontal="center" vertical="center"/>
    </xf>
    <xf numFmtId="3" fontId="9" fillId="8" borderId="14" xfId="2" applyNumberFormat="1" applyFont="1" applyFill="1" applyBorder="1" applyAlignment="1">
      <alignment horizontal="center" vertical="center"/>
    </xf>
    <xf numFmtId="3" fontId="10" fillId="8" borderId="28" xfId="2" applyNumberFormat="1" applyFont="1" applyFill="1" applyBorder="1" applyAlignment="1">
      <alignment horizontal="center" vertical="center"/>
    </xf>
    <xf numFmtId="3" fontId="23" fillId="0" borderId="28" xfId="0" applyNumberFormat="1" applyFont="1" applyBorder="1"/>
    <xf numFmtId="3" fontId="22" fillId="0" borderId="43" xfId="2" applyNumberFormat="1" applyFont="1" applyBorder="1" applyAlignment="1">
      <alignment horizontal="center" vertical="center"/>
    </xf>
    <xf numFmtId="3" fontId="22" fillId="0" borderId="49" xfId="2" applyNumberFormat="1" applyFont="1" applyBorder="1" applyAlignment="1">
      <alignment horizontal="center"/>
    </xf>
    <xf numFmtId="3" fontId="9" fillId="0" borderId="21" xfId="2" applyNumberFormat="1" applyFont="1" applyBorder="1" applyAlignment="1">
      <alignment horizontal="center" vertical="center" wrapText="1"/>
    </xf>
    <xf numFmtId="3" fontId="9" fillId="0" borderId="26" xfId="2" applyNumberFormat="1" applyFont="1" applyBorder="1" applyAlignment="1">
      <alignment horizontal="center" wrapText="1"/>
    </xf>
    <xf numFmtId="1" fontId="27" fillId="8" borderId="21" xfId="2" applyNumberFormat="1" applyFont="1" applyFill="1" applyBorder="1" applyAlignment="1">
      <alignment horizontal="center" vertical="center"/>
    </xf>
    <xf numFmtId="49" fontId="26" fillId="0" borderId="21" xfId="2" applyNumberFormat="1" applyFont="1" applyBorder="1" applyAlignment="1">
      <alignment horizontal="center" vertical="center"/>
    </xf>
    <xf numFmtId="3" fontId="26" fillId="0" borderId="21" xfId="2" applyNumberFormat="1" applyFont="1" applyBorder="1" applyAlignment="1">
      <alignment horizontal="center" vertical="center" wrapText="1"/>
    </xf>
    <xf numFmtId="3" fontId="27" fillId="0" borderId="21" xfId="2" applyNumberFormat="1" applyFont="1" applyBorder="1" applyAlignment="1">
      <alignment horizontal="center" vertical="center"/>
    </xf>
    <xf numFmtId="169" fontId="26" fillId="0" borderId="21" xfId="1" applyNumberFormat="1" applyFont="1" applyBorder="1" applyAlignment="1">
      <alignment horizontal="center" vertical="center" wrapText="1"/>
    </xf>
    <xf numFmtId="169" fontId="26" fillId="0" borderId="21" xfId="1" applyNumberFormat="1" applyFont="1" applyBorder="1" applyAlignment="1">
      <alignment horizontal="center" vertical="center"/>
    </xf>
    <xf numFmtId="169" fontId="27" fillId="0" borderId="21" xfId="1" applyNumberFormat="1" applyFont="1" applyBorder="1" applyAlignment="1">
      <alignment horizontal="center" vertical="center"/>
    </xf>
    <xf numFmtId="3" fontId="22" fillId="0" borderId="26" xfId="2" applyNumberFormat="1" applyFont="1" applyBorder="1" applyAlignment="1">
      <alignment horizontal="center"/>
    </xf>
    <xf numFmtId="3" fontId="9" fillId="0" borderId="26" xfId="2" applyNumberFormat="1" applyFont="1" applyBorder="1" applyAlignment="1">
      <alignment horizontal="center" vertical="center"/>
    </xf>
    <xf numFmtId="3" fontId="9" fillId="0" borderId="26" xfId="2" applyNumberFormat="1" applyFont="1" applyBorder="1" applyAlignment="1">
      <alignment horizontal="center"/>
    </xf>
    <xf numFmtId="3" fontId="26" fillId="0" borderId="26" xfId="2" applyNumberFormat="1" applyFont="1" applyBorder="1" applyAlignment="1">
      <alignment horizontal="center" vertical="center" wrapText="1"/>
    </xf>
    <xf numFmtId="3" fontId="22" fillId="0" borderId="14" xfId="2" applyNumberFormat="1" applyFont="1" applyBorder="1" applyAlignment="1">
      <alignment horizontal="center"/>
    </xf>
    <xf numFmtId="3" fontId="9" fillId="0" borderId="14" xfId="2" applyNumberFormat="1" applyFont="1" applyBorder="1" applyAlignment="1">
      <alignment horizontal="center" vertical="center"/>
    </xf>
    <xf numFmtId="3" fontId="9" fillId="0" borderId="14" xfId="2" applyNumberFormat="1" applyFont="1" applyBorder="1" applyAlignment="1">
      <alignment horizontal="center"/>
    </xf>
    <xf numFmtId="3" fontId="26" fillId="0" borderId="14" xfId="2" applyNumberFormat="1" applyFont="1" applyBorder="1" applyAlignment="1">
      <alignment horizontal="center" vertical="center" wrapText="1"/>
    </xf>
    <xf numFmtId="3" fontId="9" fillId="0" borderId="66" xfId="3" applyNumberFormat="1" applyFont="1" applyBorder="1" applyAlignment="1">
      <alignment horizontal="center"/>
    </xf>
    <xf numFmtId="3" fontId="9" fillId="0" borderId="66" xfId="3" applyNumberFormat="1" applyFont="1" applyBorder="1" applyAlignment="1">
      <alignment horizontal="center" vertical="center" wrapText="1"/>
    </xf>
    <xf numFmtId="165" fontId="10" fillId="6" borderId="19" xfId="3" applyNumberFormat="1" applyFont="1" applyFill="1" applyBorder="1" applyAlignment="1">
      <alignment horizontal="left" vertical="top" wrapText="1"/>
    </xf>
    <xf numFmtId="3" fontId="9" fillId="0" borderId="66" xfId="3" applyNumberFormat="1" applyFont="1" applyBorder="1" applyAlignment="1">
      <alignment horizontal="center" vertical="center"/>
    </xf>
    <xf numFmtId="165" fontId="9" fillId="0" borderId="53" xfId="3" applyNumberFormat="1" applyFont="1" applyBorder="1" applyAlignment="1">
      <alignment horizontal="center" vertical="top" wrapText="1"/>
    </xf>
    <xf numFmtId="165" fontId="9" fillId="0" borderId="53" xfId="3" applyNumberFormat="1" applyFont="1" applyBorder="1" applyAlignment="1">
      <alignment horizontal="left" vertical="top" wrapText="1"/>
    </xf>
    <xf numFmtId="3" fontId="9" fillId="0" borderId="66" xfId="3" applyNumberFormat="1" applyFont="1" applyBorder="1" applyAlignment="1">
      <alignment horizontal="center" wrapText="1"/>
    </xf>
    <xf numFmtId="165" fontId="9" fillId="0" borderId="56" xfId="3" applyNumberFormat="1" applyFont="1" applyBorder="1" applyAlignment="1">
      <alignment horizontal="left" vertical="top" wrapText="1"/>
    </xf>
    <xf numFmtId="165" fontId="9" fillId="0" borderId="56" xfId="3" applyNumberFormat="1" applyFont="1" applyBorder="1" applyAlignment="1">
      <alignment horizontal="center"/>
    </xf>
    <xf numFmtId="165" fontId="9" fillId="0" borderId="56" xfId="3" applyNumberFormat="1" applyFont="1" applyBorder="1" applyAlignment="1">
      <alignment horizontal="center" vertical="top" wrapText="1"/>
    </xf>
    <xf numFmtId="165" fontId="9" fillId="0" borderId="56" xfId="3" applyNumberFormat="1" applyFont="1" applyBorder="1" applyAlignment="1">
      <alignment horizontal="center" wrapText="1"/>
    </xf>
    <xf numFmtId="165" fontId="9" fillId="0" borderId="58" xfId="3" applyNumberFormat="1" applyFont="1" applyBorder="1" applyAlignment="1">
      <alignment horizontal="center"/>
    </xf>
    <xf numFmtId="165" fontId="9" fillId="0" borderId="58" xfId="3" applyNumberFormat="1" applyFont="1" applyBorder="1" applyAlignment="1">
      <alignment horizontal="left" vertical="top" wrapText="1"/>
    </xf>
    <xf numFmtId="165" fontId="9" fillId="0" borderId="58" xfId="3" applyNumberFormat="1" applyFont="1" applyBorder="1" applyAlignment="1">
      <alignment horizontal="center" vertical="center" wrapText="1"/>
    </xf>
    <xf numFmtId="165" fontId="9" fillId="0" borderId="58" xfId="3" applyNumberFormat="1" applyFont="1" applyBorder="1" applyAlignment="1">
      <alignment horizontal="center" vertical="top" wrapText="1"/>
    </xf>
    <xf numFmtId="3" fontId="7" fillId="6" borderId="1" xfId="1" applyNumberFormat="1" applyFont="1" applyFill="1" applyBorder="1" applyAlignment="1">
      <alignment horizontal="center" vertical="center"/>
    </xf>
    <xf numFmtId="3" fontId="7" fillId="6" borderId="19" xfId="1" applyNumberFormat="1" applyFont="1" applyFill="1" applyBorder="1" applyAlignment="1">
      <alignment horizontal="center" vertical="center"/>
    </xf>
    <xf numFmtId="3" fontId="10" fillId="6" borderId="19" xfId="3" applyNumberFormat="1" applyFont="1" applyFill="1" applyBorder="1" applyAlignment="1">
      <alignment horizontal="center" vertical="center"/>
    </xf>
    <xf numFmtId="3" fontId="10" fillId="6" borderId="19" xfId="3" applyNumberFormat="1" applyFont="1" applyFill="1" applyBorder="1" applyAlignment="1">
      <alignment horizontal="center" vertical="center" wrapText="1"/>
    </xf>
    <xf numFmtId="3" fontId="7" fillId="6" borderId="19" xfId="4" applyNumberFormat="1" applyFont="1" applyFill="1" applyBorder="1" applyAlignment="1">
      <alignment horizontal="center" vertical="center"/>
    </xf>
    <xf numFmtId="165" fontId="9" fillId="0" borderId="19" xfId="3" applyNumberFormat="1" applyFont="1" applyBorder="1" applyAlignment="1">
      <alignment horizontal="left" vertical="top" wrapText="1"/>
    </xf>
    <xf numFmtId="165" fontId="9" fillId="0" borderId="19" xfId="3" applyNumberFormat="1" applyFont="1" applyBorder="1" applyAlignment="1">
      <alignment horizontal="center" vertical="top" wrapText="1"/>
    </xf>
    <xf numFmtId="49" fontId="9" fillId="0" borderId="21" xfId="4" applyNumberFormat="1" applyFont="1" applyFill="1" applyBorder="1" applyAlignment="1">
      <alignment horizontal="center"/>
    </xf>
    <xf numFmtId="49" fontId="10" fillId="0" borderId="21" xfId="4" applyNumberFormat="1" applyFont="1" applyFill="1" applyBorder="1" applyAlignment="1">
      <alignment horizontal="center"/>
    </xf>
    <xf numFmtId="169" fontId="10" fillId="0" borderId="40" xfId="1" applyNumberFormat="1" applyFont="1" applyFill="1" applyBorder="1"/>
    <xf numFmtId="169" fontId="10" fillId="0" borderId="41" xfId="1" applyNumberFormat="1" applyFont="1" applyFill="1" applyBorder="1"/>
    <xf numFmtId="49" fontId="9" fillId="0" borderId="40" xfId="4" applyNumberFormat="1" applyFont="1" applyFill="1" applyBorder="1" applyAlignment="1">
      <alignment horizontal="center"/>
    </xf>
    <xf numFmtId="49" fontId="9" fillId="0" borderId="27" xfId="4" applyNumberFormat="1" applyFont="1" applyFill="1" applyBorder="1" applyAlignment="1">
      <alignment horizontal="center"/>
    </xf>
    <xf numFmtId="49" fontId="9" fillId="0" borderId="28" xfId="4" applyNumberFormat="1" applyFont="1" applyFill="1" applyBorder="1" applyAlignment="1">
      <alignment horizontal="center"/>
    </xf>
    <xf numFmtId="3" fontId="10" fillId="8" borderId="21" xfId="4" applyNumberFormat="1" applyFont="1" applyFill="1" applyBorder="1" applyAlignment="1">
      <alignment horizontal="center"/>
    </xf>
    <xf numFmtId="3" fontId="10" fillId="8" borderId="13" xfId="4" applyNumberFormat="1" applyFont="1" applyFill="1" applyBorder="1" applyAlignment="1">
      <alignment horizontal="center"/>
    </xf>
    <xf numFmtId="3" fontId="7" fillId="10" borderId="1" xfId="2" applyNumberFormat="1" applyFont="1" applyFill="1" applyBorder="1" applyAlignment="1">
      <alignment horizontal="center"/>
    </xf>
    <xf numFmtId="49" fontId="10" fillId="0" borderId="8" xfId="4" applyNumberFormat="1" applyFont="1" applyFill="1" applyBorder="1" applyAlignment="1">
      <alignment horizontal="right"/>
    </xf>
    <xf numFmtId="49" fontId="10" fillId="0" borderId="23" xfId="4" applyNumberFormat="1" applyFont="1" applyFill="1" applyBorder="1" applyAlignment="1">
      <alignment horizontal="right"/>
    </xf>
    <xf numFmtId="49" fontId="10" fillId="0" borderId="26" xfId="4" applyNumberFormat="1" applyFont="1" applyFill="1" applyBorder="1" applyAlignment="1">
      <alignment horizontal="right"/>
    </xf>
    <xf numFmtId="49" fontId="10" fillId="0" borderId="14" xfId="4" applyNumberFormat="1" applyFont="1" applyFill="1" applyBorder="1" applyAlignment="1">
      <alignment horizontal="right"/>
    </xf>
    <xf numFmtId="49" fontId="10" fillId="0" borderId="15" xfId="4" applyNumberFormat="1" applyFont="1" applyFill="1" applyBorder="1" applyAlignment="1">
      <alignment horizontal="right"/>
    </xf>
    <xf numFmtId="169" fontId="10" fillId="0" borderId="13" xfId="1" applyNumberFormat="1" applyFont="1" applyFill="1" applyBorder="1" applyAlignment="1">
      <alignment horizontal="right"/>
    </xf>
    <xf numFmtId="3" fontId="10" fillId="0" borderId="37" xfId="2" applyNumberFormat="1" applyFont="1" applyBorder="1" applyAlignment="1">
      <alignment horizontal="right" vertical="center"/>
    </xf>
    <xf numFmtId="3" fontId="9" fillId="0" borderId="23" xfId="3" applyNumberFormat="1" applyFont="1" applyFill="1" applyBorder="1" applyAlignment="1">
      <alignment horizontal="center"/>
    </xf>
    <xf numFmtId="3" fontId="9" fillId="8" borderId="24" xfId="4" applyNumberFormat="1" applyFont="1" applyFill="1" applyBorder="1" applyAlignment="1">
      <alignment horizontal="center"/>
    </xf>
    <xf numFmtId="0" fontId="7" fillId="2" borderId="2" xfId="2" applyFont="1" applyFill="1" applyBorder="1" applyAlignment="1">
      <alignment wrapText="1"/>
    </xf>
    <xf numFmtId="3" fontId="22" fillId="2" borderId="19" xfId="2" applyNumberFormat="1" applyFont="1" applyFill="1" applyBorder="1" applyAlignment="1">
      <alignment horizontal="center"/>
    </xf>
    <xf numFmtId="3" fontId="22" fillId="2" borderId="19" xfId="2" applyNumberFormat="1" applyFont="1" applyFill="1" applyBorder="1" applyAlignment="1"/>
    <xf numFmtId="2" fontId="10" fillId="0" borderId="23" xfId="4" applyNumberFormat="1" applyFont="1" applyFill="1" applyBorder="1" applyAlignment="1">
      <alignment horizontal="right"/>
    </xf>
    <xf numFmtId="2" fontId="10" fillId="0" borderId="15" xfId="4" applyNumberFormat="1" applyFont="1" applyFill="1" applyBorder="1" applyAlignment="1">
      <alignment horizontal="right"/>
    </xf>
    <xf numFmtId="3" fontId="10" fillId="0" borderId="37" xfId="2" applyNumberFormat="1" applyFont="1" applyBorder="1" applyAlignment="1">
      <alignment horizontal="right" vertical="top"/>
    </xf>
    <xf numFmtId="3" fontId="10" fillId="0" borderId="8" xfId="4" applyNumberFormat="1" applyFont="1" applyFill="1" applyBorder="1" applyAlignment="1">
      <alignment horizontal="center" vertical="top"/>
    </xf>
    <xf numFmtId="3" fontId="10" fillId="0" borderId="23" xfId="4" applyNumberFormat="1" applyFont="1" applyFill="1" applyBorder="1" applyAlignment="1">
      <alignment horizontal="right" vertical="top"/>
    </xf>
    <xf numFmtId="3" fontId="10" fillId="0" borderId="26" xfId="4" applyNumberFormat="1" applyFont="1" applyFill="1" applyBorder="1" applyAlignment="1">
      <alignment horizontal="center" vertical="top"/>
    </xf>
    <xf numFmtId="3" fontId="10" fillId="0" borderId="14" xfId="4" applyNumberFormat="1" applyFont="1" applyFill="1" applyBorder="1" applyAlignment="1">
      <alignment horizontal="center" vertical="top"/>
    </xf>
    <xf numFmtId="3" fontId="24" fillId="2" borderId="19" xfId="2" applyNumberFormat="1" applyFont="1" applyFill="1" applyBorder="1" applyAlignment="1">
      <alignment horizontal="center"/>
    </xf>
    <xf numFmtId="166" fontId="10" fillId="0" borderId="64" xfId="3" applyNumberFormat="1" applyFont="1" applyFill="1" applyBorder="1" applyAlignment="1">
      <alignment horizontal="center" vertical="top" wrapText="1"/>
    </xf>
    <xf numFmtId="166" fontId="10" fillId="8" borderId="64" xfId="3" applyNumberFormat="1" applyFont="1" applyFill="1" applyBorder="1" applyAlignment="1">
      <alignment horizontal="center" vertical="top" wrapText="1"/>
    </xf>
    <xf numFmtId="166" fontId="10" fillId="0" borderId="100" xfId="3" applyNumberFormat="1" applyFont="1" applyFill="1" applyBorder="1" applyAlignment="1">
      <alignment horizontal="left" vertical="center" wrapText="1"/>
    </xf>
    <xf numFmtId="166" fontId="10" fillId="6" borderId="64" xfId="3" applyNumberFormat="1" applyFont="1" applyFill="1" applyBorder="1" applyAlignment="1">
      <alignment horizontal="left" vertical="center" wrapText="1"/>
    </xf>
    <xf numFmtId="166" fontId="10" fillId="0" borderId="64" xfId="3" applyNumberFormat="1" applyFont="1" applyFill="1" applyBorder="1" applyAlignment="1">
      <alignment horizontal="left" vertical="center" wrapText="1"/>
    </xf>
    <xf numFmtId="166" fontId="10" fillId="6" borderId="101" xfId="3" applyNumberFormat="1" applyFont="1" applyFill="1" applyBorder="1" applyAlignment="1">
      <alignment horizontal="left" vertical="center" wrapText="1"/>
    </xf>
    <xf numFmtId="165" fontId="10" fillId="6" borderId="56" xfId="3" applyNumberFormat="1" applyFont="1" applyFill="1" applyBorder="1" applyAlignment="1">
      <alignment horizontal="center"/>
    </xf>
    <xf numFmtId="165" fontId="9" fillId="6" borderId="56" xfId="3" applyNumberFormat="1" applyFont="1" applyFill="1" applyBorder="1" applyAlignment="1">
      <alignment horizontal="center"/>
    </xf>
    <xf numFmtId="165" fontId="9" fillId="6" borderId="63" xfId="3" applyNumberFormat="1" applyFont="1" applyFill="1" applyBorder="1" applyAlignment="1">
      <alignment horizontal="center"/>
    </xf>
    <xf numFmtId="165" fontId="9" fillId="21" borderId="32" xfId="3" applyNumberFormat="1" applyFont="1" applyFill="1" applyBorder="1" applyAlignment="1">
      <alignment horizontal="center"/>
    </xf>
    <xf numFmtId="166" fontId="10" fillId="21" borderId="33" xfId="3" applyNumberFormat="1" applyFont="1" applyFill="1" applyBorder="1"/>
    <xf numFmtId="1" fontId="7" fillId="21" borderId="62" xfId="2" applyNumberFormat="1" applyFont="1" applyFill="1" applyBorder="1" applyAlignment="1">
      <alignment horizontal="center"/>
    </xf>
    <xf numFmtId="49" fontId="9" fillId="21" borderId="23" xfId="4" applyNumberFormat="1" applyFont="1" applyFill="1" applyBorder="1" applyAlignment="1">
      <alignment horizontal="center"/>
    </xf>
    <xf numFmtId="165" fontId="9" fillId="21" borderId="21" xfId="3" applyNumberFormat="1" applyFont="1" applyFill="1" applyBorder="1" applyAlignment="1">
      <alignment horizontal="center" vertical="center"/>
    </xf>
    <xf numFmtId="169" fontId="10" fillId="21" borderId="43" xfId="1" applyNumberFormat="1" applyFont="1" applyFill="1" applyBorder="1" applyAlignment="1">
      <alignment vertical="center"/>
    </xf>
    <xf numFmtId="3" fontId="10" fillId="21" borderId="21" xfId="1" applyNumberFormat="1" applyFont="1" applyFill="1" applyBorder="1" applyAlignment="1">
      <alignment vertical="center"/>
    </xf>
    <xf numFmtId="169" fontId="10" fillId="21" borderId="21" xfId="1" applyNumberFormat="1" applyFont="1" applyFill="1" applyBorder="1"/>
    <xf numFmtId="169" fontId="10" fillId="21" borderId="8" xfId="1" applyNumberFormat="1" applyFont="1" applyFill="1" applyBorder="1" applyAlignment="1">
      <alignment vertical="center"/>
    </xf>
    <xf numFmtId="169" fontId="9" fillId="21" borderId="8" xfId="1" applyNumberFormat="1" applyFont="1" applyFill="1" applyBorder="1" applyAlignment="1">
      <alignment horizontal="center" vertical="center"/>
    </xf>
    <xf numFmtId="169" fontId="9" fillId="21" borderId="23" xfId="1" applyNumberFormat="1" applyFont="1" applyFill="1" applyBorder="1" applyAlignment="1">
      <alignment horizontal="center" vertical="center"/>
    </xf>
    <xf numFmtId="169" fontId="10" fillId="21" borderId="8" xfId="1" applyNumberFormat="1" applyFont="1" applyFill="1" applyBorder="1" applyAlignment="1">
      <alignment horizontal="center"/>
    </xf>
    <xf numFmtId="49" fontId="9" fillId="21" borderId="8" xfId="4" applyNumberFormat="1" applyFont="1" applyFill="1" applyBorder="1" applyAlignment="1">
      <alignment horizontal="center"/>
    </xf>
    <xf numFmtId="0" fontId="0" fillId="21" borderId="0" xfId="0" applyFill="1"/>
    <xf numFmtId="0" fontId="12" fillId="22" borderId="36" xfId="0" applyFont="1" applyFill="1" applyBorder="1"/>
    <xf numFmtId="1" fontId="7" fillId="21" borderId="56" xfId="2" applyNumberFormat="1" applyFont="1" applyFill="1" applyBorder="1" applyAlignment="1">
      <alignment horizontal="center"/>
    </xf>
    <xf numFmtId="165" fontId="9" fillId="21" borderId="26" xfId="3" applyNumberFormat="1" applyFont="1" applyFill="1" applyBorder="1" applyAlignment="1">
      <alignment horizontal="center" vertical="center"/>
    </xf>
    <xf numFmtId="169" fontId="10" fillId="21" borderId="49" xfId="1" applyNumberFormat="1" applyFont="1" applyFill="1" applyBorder="1" applyAlignment="1">
      <alignment vertical="center"/>
    </xf>
    <xf numFmtId="3" fontId="10" fillId="21" borderId="26" xfId="1" applyNumberFormat="1" applyFont="1" applyFill="1" applyBorder="1" applyAlignment="1">
      <alignment vertical="center"/>
    </xf>
    <xf numFmtId="169" fontId="10" fillId="21" borderId="26" xfId="1" applyNumberFormat="1" applyFont="1" applyFill="1" applyBorder="1"/>
    <xf numFmtId="169" fontId="12" fillId="22" borderId="36" xfId="1" applyNumberFormat="1" applyFont="1" applyFill="1" applyBorder="1" applyAlignment="1">
      <alignment vertical="center"/>
    </xf>
    <xf numFmtId="169" fontId="9" fillId="21" borderId="26" xfId="1" applyNumberFormat="1" applyFont="1" applyFill="1" applyBorder="1" applyAlignment="1">
      <alignment horizontal="center" vertical="center"/>
    </xf>
    <xf numFmtId="49" fontId="9" fillId="21" borderId="26" xfId="4" applyNumberFormat="1" applyFont="1" applyFill="1" applyBorder="1" applyAlignment="1">
      <alignment horizontal="center"/>
    </xf>
    <xf numFmtId="165" fontId="9" fillId="21" borderId="14" xfId="3" applyNumberFormat="1" applyFont="1" applyFill="1" applyBorder="1" applyAlignment="1">
      <alignment horizontal="center"/>
    </xf>
    <xf numFmtId="0" fontId="12" fillId="22" borderId="14" xfId="0" applyFont="1" applyFill="1" applyBorder="1"/>
    <xf numFmtId="1" fontId="7" fillId="21" borderId="63" xfId="2" applyNumberFormat="1" applyFont="1" applyFill="1" applyBorder="1" applyAlignment="1">
      <alignment horizontal="center"/>
    </xf>
    <xf numFmtId="49" fontId="9" fillId="21" borderId="15" xfId="4" applyNumberFormat="1" applyFont="1" applyFill="1" applyBorder="1" applyAlignment="1">
      <alignment horizontal="center"/>
    </xf>
    <xf numFmtId="165" fontId="9" fillId="21" borderId="14" xfId="3" applyNumberFormat="1" applyFont="1" applyFill="1" applyBorder="1" applyAlignment="1">
      <alignment horizontal="center" vertical="center"/>
    </xf>
    <xf numFmtId="169" fontId="10" fillId="21" borderId="50" xfId="1" applyNumberFormat="1" applyFont="1" applyFill="1" applyBorder="1" applyAlignment="1">
      <alignment vertical="center"/>
    </xf>
    <xf numFmtId="3" fontId="10" fillId="21" borderId="14" xfId="1" applyNumberFormat="1" applyFont="1" applyFill="1" applyBorder="1" applyAlignment="1">
      <alignment vertical="center"/>
    </xf>
    <xf numFmtId="169" fontId="10" fillId="21" borderId="14" xfId="1" applyNumberFormat="1" applyFont="1" applyFill="1" applyBorder="1"/>
    <xf numFmtId="169" fontId="12" fillId="22" borderId="14" xfId="1" applyNumberFormat="1" applyFont="1" applyFill="1" applyBorder="1" applyAlignment="1">
      <alignment vertical="center"/>
    </xf>
    <xf numFmtId="169" fontId="9" fillId="21" borderId="14" xfId="1" applyNumberFormat="1" applyFont="1" applyFill="1" applyBorder="1" applyAlignment="1">
      <alignment horizontal="center" vertical="center"/>
    </xf>
    <xf numFmtId="169" fontId="9" fillId="21" borderId="15" xfId="1" applyNumberFormat="1" applyFont="1" applyFill="1" applyBorder="1" applyAlignment="1">
      <alignment horizontal="center" vertical="center"/>
    </xf>
    <xf numFmtId="169" fontId="10" fillId="21" borderId="14" xfId="1" applyNumberFormat="1" applyFont="1" applyFill="1" applyBorder="1" applyAlignment="1">
      <alignment horizontal="center"/>
    </xf>
    <xf numFmtId="49" fontId="9" fillId="21" borderId="14" xfId="4" applyNumberFormat="1" applyFont="1" applyFill="1" applyBorder="1" applyAlignment="1">
      <alignment horizontal="center"/>
    </xf>
    <xf numFmtId="165" fontId="9" fillId="21" borderId="32" xfId="3" applyNumberFormat="1" applyFont="1" applyFill="1" applyBorder="1" applyAlignment="1">
      <alignment horizontal="center" vertical="center"/>
    </xf>
    <xf numFmtId="166" fontId="10" fillId="21" borderId="33" xfId="3" applyNumberFormat="1" applyFont="1" applyFill="1" applyBorder="1" applyAlignment="1">
      <alignment vertical="center"/>
    </xf>
    <xf numFmtId="165" fontId="9" fillId="21" borderId="21" xfId="3" applyNumberFormat="1" applyFont="1" applyFill="1" applyBorder="1" applyAlignment="1">
      <alignment horizontal="center"/>
    </xf>
    <xf numFmtId="166" fontId="10" fillId="21" borderId="43" xfId="3" applyNumberFormat="1" applyFont="1" applyFill="1" applyBorder="1"/>
    <xf numFmtId="3" fontId="9" fillId="21" borderId="8" xfId="4" applyNumberFormat="1" applyFont="1" applyFill="1" applyBorder="1" applyAlignment="1">
      <alignment horizontal="center"/>
    </xf>
    <xf numFmtId="166" fontId="10" fillId="21" borderId="8" xfId="3" applyNumberFormat="1" applyFont="1" applyFill="1" applyBorder="1"/>
    <xf numFmtId="169" fontId="10" fillId="21" borderId="43" xfId="1" applyNumberFormat="1" applyFont="1" applyFill="1" applyBorder="1" applyAlignment="1">
      <alignment horizontal="right"/>
    </xf>
    <xf numFmtId="169" fontId="10" fillId="21" borderId="21" xfId="1" applyNumberFormat="1" applyFont="1" applyFill="1" applyBorder="1" applyAlignment="1">
      <alignment horizontal="right"/>
    </xf>
    <xf numFmtId="3" fontId="9" fillId="21" borderId="23" xfId="4" applyNumberFormat="1" applyFont="1" applyFill="1" applyBorder="1" applyAlignment="1">
      <alignment horizontal="center" vertical="center"/>
    </xf>
    <xf numFmtId="3" fontId="9" fillId="21" borderId="32" xfId="3" applyNumberFormat="1" applyFont="1" applyFill="1" applyBorder="1" applyAlignment="1">
      <alignment horizontal="center" vertical="center"/>
    </xf>
    <xf numFmtId="3" fontId="9" fillId="21" borderId="33" xfId="3" applyNumberFormat="1" applyFont="1" applyFill="1" applyBorder="1" applyAlignment="1">
      <alignment vertical="center"/>
    </xf>
    <xf numFmtId="3" fontId="10" fillId="21" borderId="8" xfId="4" applyNumberFormat="1" applyFont="1" applyFill="1" applyBorder="1" applyAlignment="1">
      <alignment horizontal="center" vertical="center"/>
    </xf>
    <xf numFmtId="49" fontId="9" fillId="21" borderId="8" xfId="4" applyNumberFormat="1" applyFont="1" applyFill="1" applyBorder="1" applyAlignment="1">
      <alignment horizontal="center" vertical="center"/>
    </xf>
    <xf numFmtId="0" fontId="0" fillId="21" borderId="0" xfId="0" applyFill="1" applyAlignment="1">
      <alignment vertical="center"/>
    </xf>
    <xf numFmtId="0" fontId="12" fillId="22" borderId="36" xfId="0" applyFont="1" applyFill="1" applyBorder="1" applyAlignment="1">
      <alignment vertical="center"/>
    </xf>
    <xf numFmtId="165" fontId="9" fillId="21" borderId="26" xfId="3" applyNumberFormat="1" applyFont="1" applyFill="1" applyBorder="1" applyAlignment="1">
      <alignment horizontal="center"/>
    </xf>
    <xf numFmtId="0" fontId="12" fillId="22" borderId="44" xfId="0" applyFont="1" applyFill="1" applyBorder="1"/>
    <xf numFmtId="3" fontId="9" fillId="21" borderId="26" xfId="4" applyNumberFormat="1" applyFont="1" applyFill="1" applyBorder="1" applyAlignment="1">
      <alignment horizontal="center"/>
    </xf>
    <xf numFmtId="169" fontId="10" fillId="21" borderId="49" xfId="1" applyNumberFormat="1" applyFont="1" applyFill="1" applyBorder="1" applyAlignment="1">
      <alignment horizontal="right"/>
    </xf>
    <xf numFmtId="169" fontId="10" fillId="21" borderId="26" xfId="1" applyNumberFormat="1" applyFont="1" applyFill="1" applyBorder="1" applyAlignment="1">
      <alignment horizontal="right"/>
    </xf>
    <xf numFmtId="3" fontId="9" fillId="21" borderId="34" xfId="3" applyNumberFormat="1" applyFont="1" applyFill="1" applyBorder="1" applyAlignment="1">
      <alignment horizontal="center" vertical="center"/>
    </xf>
    <xf numFmtId="3" fontId="10" fillId="21" borderId="26" xfId="4" applyNumberFormat="1" applyFont="1" applyFill="1" applyBorder="1" applyAlignment="1">
      <alignment horizontal="center" vertical="center"/>
    </xf>
    <xf numFmtId="49" fontId="9" fillId="21" borderId="26" xfId="4" applyNumberFormat="1" applyFont="1" applyFill="1" applyBorder="1" applyAlignment="1">
      <alignment horizontal="center" vertical="center"/>
    </xf>
    <xf numFmtId="0" fontId="12" fillId="22" borderId="14" xfId="0" applyFont="1" applyFill="1" applyBorder="1" applyAlignment="1">
      <alignment vertical="center"/>
    </xf>
    <xf numFmtId="0" fontId="12" fillId="22" borderId="28" xfId="0" applyFont="1" applyFill="1" applyBorder="1"/>
    <xf numFmtId="3" fontId="9" fillId="21" borderId="14" xfId="4" applyNumberFormat="1" applyFont="1" applyFill="1" applyBorder="1" applyAlignment="1">
      <alignment horizontal="center"/>
    </xf>
    <xf numFmtId="169" fontId="10" fillId="21" borderId="50" xfId="1" applyNumberFormat="1" applyFont="1" applyFill="1" applyBorder="1" applyAlignment="1">
      <alignment horizontal="right"/>
    </xf>
    <xf numFmtId="169" fontId="10" fillId="21" borderId="14" xfId="1" applyNumberFormat="1" applyFont="1" applyFill="1" applyBorder="1" applyAlignment="1">
      <alignment horizontal="right"/>
    </xf>
    <xf numFmtId="3" fontId="9" fillId="21" borderId="15" xfId="4" applyNumberFormat="1" applyFont="1" applyFill="1" applyBorder="1" applyAlignment="1">
      <alignment horizontal="center" vertical="center"/>
    </xf>
    <xf numFmtId="3" fontId="9" fillId="21" borderId="35" xfId="3" applyNumberFormat="1" applyFont="1" applyFill="1" applyBorder="1" applyAlignment="1">
      <alignment horizontal="center" vertical="center"/>
    </xf>
    <xf numFmtId="3" fontId="12" fillId="22" borderId="14" xfId="0" applyNumberFormat="1" applyFont="1" applyFill="1" applyBorder="1" applyAlignment="1">
      <alignment vertical="center"/>
    </xf>
    <xf numFmtId="3" fontId="10" fillId="21" borderId="14" xfId="4" applyNumberFormat="1" applyFont="1" applyFill="1" applyBorder="1" applyAlignment="1">
      <alignment horizontal="center" vertical="center"/>
    </xf>
    <xf numFmtId="49" fontId="9" fillId="21" borderId="14" xfId="4" applyNumberFormat="1" applyFont="1" applyFill="1" applyBorder="1" applyAlignment="1">
      <alignment horizontal="center" vertical="center"/>
    </xf>
    <xf numFmtId="3" fontId="65" fillId="0" borderId="21" xfId="21" applyNumberFormat="1" applyFont="1" applyBorder="1" applyAlignment="1">
      <alignment horizontal="center"/>
    </xf>
    <xf numFmtId="3" fontId="65" fillId="0" borderId="99" xfId="21" applyNumberFormat="1" applyFont="1" applyBorder="1" applyAlignment="1">
      <alignment horizontal="center"/>
    </xf>
    <xf numFmtId="3" fontId="65" fillId="0" borderId="37" xfId="21" applyNumberFormat="1" applyFont="1" applyBorder="1" applyAlignment="1">
      <alignment horizontal="center"/>
    </xf>
    <xf numFmtId="3" fontId="65" fillId="0" borderId="89" xfId="21" applyNumberFormat="1" applyFont="1" applyBorder="1" applyAlignment="1">
      <alignment horizontal="center"/>
    </xf>
    <xf numFmtId="3" fontId="65" fillId="0" borderId="46" xfId="21" applyNumberFormat="1" applyFont="1" applyBorder="1" applyAlignment="1">
      <alignment horizontal="center"/>
    </xf>
    <xf numFmtId="3" fontId="10" fillId="0" borderId="23" xfId="4" applyNumberFormat="1" applyFont="1" applyFill="1" applyBorder="1" applyAlignment="1">
      <alignment horizontal="right"/>
    </xf>
    <xf numFmtId="3" fontId="10" fillId="0" borderId="42" xfId="1" applyNumberFormat="1" applyFont="1" applyFill="1" applyBorder="1" applyAlignment="1">
      <alignment horizontal="center" vertical="center"/>
    </xf>
    <xf numFmtId="3" fontId="9" fillId="21" borderId="23" xfId="4" applyNumberFormat="1" applyFont="1" applyFill="1" applyBorder="1" applyAlignment="1">
      <alignment horizontal="right"/>
    </xf>
    <xf numFmtId="3" fontId="9" fillId="21" borderId="32" xfId="3" applyNumberFormat="1" applyFont="1" applyFill="1" applyBorder="1" applyAlignment="1">
      <alignment horizontal="right"/>
    </xf>
    <xf numFmtId="3" fontId="9" fillId="21" borderId="33" xfId="3" applyNumberFormat="1" applyFont="1" applyFill="1" applyBorder="1" applyAlignment="1">
      <alignment horizontal="right"/>
    </xf>
    <xf numFmtId="3" fontId="9" fillId="21" borderId="34" xfId="3" applyNumberFormat="1" applyFont="1" applyFill="1" applyBorder="1" applyAlignment="1">
      <alignment horizontal="right"/>
    </xf>
    <xf numFmtId="3" fontId="9" fillId="21" borderId="15" xfId="4" applyNumberFormat="1" applyFont="1" applyFill="1" applyBorder="1" applyAlignment="1">
      <alignment horizontal="right"/>
    </xf>
    <xf numFmtId="3" fontId="9" fillId="21" borderId="35" xfId="3" applyNumberFormat="1" applyFont="1" applyFill="1" applyBorder="1" applyAlignment="1">
      <alignment horizontal="right"/>
    </xf>
    <xf numFmtId="37" fontId="9" fillId="0" borderId="23" xfId="1" applyNumberFormat="1" applyFont="1" applyFill="1" applyBorder="1" applyAlignment="1">
      <alignment horizontal="center"/>
    </xf>
    <xf numFmtId="1" fontId="10" fillId="8" borderId="62" xfId="2" applyNumberFormat="1" applyFont="1" applyFill="1" applyBorder="1" applyAlignment="1">
      <alignment horizontal="center"/>
    </xf>
    <xf numFmtId="3" fontId="10" fillId="8" borderId="21" xfId="1" applyNumberFormat="1" applyFont="1" applyFill="1" applyBorder="1" applyAlignment="1">
      <alignment horizontal="center"/>
    </xf>
    <xf numFmtId="166" fontId="10" fillId="8" borderId="43" xfId="3" applyNumberFormat="1" applyFont="1" applyFill="1" applyBorder="1" applyAlignment="1">
      <alignment horizontal="left" vertical="top" wrapText="1"/>
    </xf>
    <xf numFmtId="1" fontId="10" fillId="8" borderId="56" xfId="2" applyNumberFormat="1" applyFont="1" applyFill="1" applyBorder="1" applyAlignment="1">
      <alignment horizontal="center"/>
    </xf>
    <xf numFmtId="169" fontId="10" fillId="8" borderId="49" xfId="1" applyNumberFormat="1" applyFont="1" applyFill="1" applyBorder="1"/>
    <xf numFmtId="3" fontId="10" fillId="8" borderId="26" xfId="3" applyNumberFormat="1" applyFont="1" applyFill="1" applyBorder="1" applyAlignment="1">
      <alignment horizontal="center"/>
    </xf>
    <xf numFmtId="1" fontId="10" fillId="8" borderId="63" xfId="2" applyNumberFormat="1" applyFont="1" applyFill="1" applyBorder="1" applyAlignment="1">
      <alignment horizontal="center"/>
    </xf>
    <xf numFmtId="169" fontId="10" fillId="8" borderId="50" xfId="1" applyNumberFormat="1" applyFont="1" applyFill="1" applyBorder="1"/>
    <xf numFmtId="3" fontId="10" fillId="8" borderId="14" xfId="3" applyNumberFormat="1" applyFont="1" applyFill="1" applyBorder="1" applyAlignment="1">
      <alignment horizontal="center"/>
    </xf>
    <xf numFmtId="165" fontId="9" fillId="8" borderId="94" xfId="3" applyNumberFormat="1" applyFont="1" applyFill="1" applyBorder="1" applyAlignment="1">
      <alignment horizontal="center"/>
    </xf>
    <xf numFmtId="166" fontId="10" fillId="8" borderId="93" xfId="3" applyNumberFormat="1" applyFont="1" applyFill="1" applyBorder="1"/>
    <xf numFmtId="3" fontId="10" fillId="8" borderId="8" xfId="1" applyNumberFormat="1" applyFont="1" applyFill="1" applyBorder="1" applyAlignment="1">
      <alignment horizontal="center"/>
    </xf>
    <xf numFmtId="166" fontId="10" fillId="8" borderId="29" xfId="3" applyNumberFormat="1" applyFont="1" applyFill="1" applyBorder="1"/>
    <xf numFmtId="0" fontId="28" fillId="10" borderId="20" xfId="0" applyFont="1" applyFill="1" applyBorder="1" applyAlignment="1">
      <alignment horizontal="center"/>
    </xf>
    <xf numFmtId="169" fontId="9" fillId="8" borderId="8" xfId="1" applyNumberFormat="1" applyFont="1" applyFill="1" applyBorder="1" applyAlignment="1">
      <alignment horizontal="center"/>
    </xf>
    <xf numFmtId="169" fontId="28" fillId="10" borderId="21" xfId="1" applyNumberFormat="1" applyFont="1" applyFill="1" applyBorder="1" applyAlignment="1">
      <alignment horizontal="center"/>
    </xf>
    <xf numFmtId="169" fontId="29" fillId="10" borderId="21" xfId="1" applyNumberFormat="1" applyFont="1" applyFill="1" applyBorder="1" applyAlignment="1">
      <alignment horizontal="center"/>
    </xf>
    <xf numFmtId="3" fontId="28" fillId="10" borderId="62" xfId="0" applyNumberFormat="1" applyFont="1" applyFill="1" applyBorder="1" applyAlignment="1">
      <alignment horizontal="center"/>
    </xf>
    <xf numFmtId="3" fontId="29" fillId="10" borderId="62" xfId="0" applyNumberFormat="1" applyFont="1" applyFill="1" applyBorder="1" applyAlignment="1">
      <alignment horizontal="center"/>
    </xf>
    <xf numFmtId="0" fontId="28" fillId="10" borderId="21" xfId="0" applyFont="1" applyFill="1" applyBorder="1" applyAlignment="1">
      <alignment horizontal="center"/>
    </xf>
    <xf numFmtId="0" fontId="28" fillId="10" borderId="23" xfId="0" applyFont="1" applyFill="1" applyBorder="1" applyAlignment="1">
      <alignment horizontal="center"/>
    </xf>
    <xf numFmtId="169" fontId="9" fillId="8" borderId="26" xfId="1" applyNumberFormat="1" applyFont="1" applyFill="1" applyBorder="1" applyAlignment="1">
      <alignment horizontal="center"/>
    </xf>
    <xf numFmtId="169" fontId="28" fillId="10" borderId="8" xfId="1" applyNumberFormat="1" applyFont="1" applyFill="1" applyBorder="1" applyAlignment="1">
      <alignment horizontal="center"/>
    </xf>
    <xf numFmtId="169" fontId="29" fillId="10" borderId="26" xfId="1" applyNumberFormat="1" applyFont="1" applyFill="1" applyBorder="1" applyAlignment="1">
      <alignment horizontal="center"/>
    </xf>
    <xf numFmtId="3" fontId="28" fillId="10" borderId="8" xfId="0" applyNumberFormat="1" applyFont="1" applyFill="1" applyBorder="1" applyAlignment="1">
      <alignment horizontal="center"/>
    </xf>
    <xf numFmtId="3" fontId="29" fillId="10" borderId="8" xfId="0" applyNumberFormat="1" applyFont="1" applyFill="1" applyBorder="1" applyAlignment="1">
      <alignment horizontal="center"/>
    </xf>
    <xf numFmtId="0" fontId="28" fillId="10" borderId="8" xfId="0" applyFont="1" applyFill="1" applyBorder="1" applyAlignment="1">
      <alignment horizontal="center"/>
    </xf>
    <xf numFmtId="0" fontId="28" fillId="10" borderId="15" xfId="0" applyFont="1" applyFill="1" applyBorder="1" applyAlignment="1">
      <alignment horizontal="center"/>
    </xf>
    <xf numFmtId="169" fontId="9" fillId="8" borderId="14" xfId="1" applyNumberFormat="1" applyFont="1" applyFill="1" applyBorder="1" applyAlignment="1">
      <alignment horizontal="center"/>
    </xf>
    <xf numFmtId="169" fontId="28" fillId="10" borderId="13" xfId="1" applyNumberFormat="1" applyFont="1" applyFill="1" applyBorder="1" applyAlignment="1">
      <alignment horizontal="center"/>
    </xf>
    <xf numFmtId="169" fontId="29" fillId="10" borderId="14" xfId="1" applyNumberFormat="1" applyFont="1" applyFill="1" applyBorder="1" applyAlignment="1">
      <alignment horizontal="center"/>
    </xf>
    <xf numFmtId="169" fontId="10" fillId="8" borderId="7" xfId="1" applyNumberFormat="1" applyFont="1" applyFill="1" applyBorder="1" applyAlignment="1">
      <alignment horizontal="center"/>
    </xf>
    <xf numFmtId="3" fontId="28" fillId="10" borderId="14" xfId="0" applyNumberFormat="1" applyFont="1" applyFill="1" applyBorder="1" applyAlignment="1">
      <alignment horizontal="center"/>
    </xf>
    <xf numFmtId="3" fontId="29" fillId="10" borderId="14" xfId="0" applyNumberFormat="1" applyFont="1" applyFill="1" applyBorder="1" applyAlignment="1">
      <alignment horizontal="center"/>
    </xf>
    <xf numFmtId="0" fontId="28" fillId="10" borderId="13" xfId="0" applyFont="1" applyFill="1" applyBorder="1" applyAlignment="1">
      <alignment horizontal="center"/>
    </xf>
    <xf numFmtId="166" fontId="10" fillId="8" borderId="33" xfId="3" applyNumberFormat="1" applyFont="1" applyFill="1" applyBorder="1" applyAlignment="1">
      <alignment wrapText="1"/>
    </xf>
    <xf numFmtId="49" fontId="10" fillId="8" borderId="23" xfId="4" applyNumberFormat="1" applyFont="1" applyFill="1" applyBorder="1" applyAlignment="1">
      <alignment horizontal="center"/>
    </xf>
    <xf numFmtId="169" fontId="10" fillId="8" borderId="21" xfId="1" applyNumberFormat="1" applyFont="1" applyFill="1" applyBorder="1" applyAlignment="1">
      <alignment horizontal="center"/>
    </xf>
    <xf numFmtId="3" fontId="10" fillId="8" borderId="43" xfId="1" applyNumberFormat="1" applyFont="1" applyFill="1" applyBorder="1"/>
    <xf numFmtId="3" fontId="10" fillId="8" borderId="23" xfId="1" applyNumberFormat="1" applyFont="1" applyFill="1" applyBorder="1" applyAlignment="1">
      <alignment horizontal="center"/>
    </xf>
    <xf numFmtId="0" fontId="28" fillId="10" borderId="14" xfId="0" applyFont="1" applyFill="1" applyBorder="1"/>
    <xf numFmtId="3" fontId="29" fillId="10" borderId="28" xfId="0" applyNumberFormat="1" applyFont="1" applyFill="1" applyBorder="1"/>
    <xf numFmtId="3" fontId="28" fillId="10" borderId="14" xfId="0" applyNumberFormat="1" applyFont="1" applyFill="1" applyBorder="1"/>
    <xf numFmtId="169" fontId="9" fillId="8" borderId="43" xfId="1" applyNumberFormat="1" applyFont="1" applyFill="1" applyBorder="1"/>
    <xf numFmtId="3" fontId="9" fillId="8" borderId="21" xfId="1" applyNumberFormat="1" applyFont="1" applyFill="1" applyBorder="1"/>
    <xf numFmtId="3" fontId="9" fillId="8" borderId="8" xfId="3" applyNumberFormat="1" applyFont="1" applyFill="1" applyBorder="1"/>
    <xf numFmtId="3" fontId="9" fillId="8" borderId="43" xfId="1" applyNumberFormat="1" applyFont="1" applyFill="1" applyBorder="1"/>
    <xf numFmtId="3" fontId="9" fillId="8" borderId="43" xfId="3" applyNumberFormat="1" applyFont="1" applyFill="1" applyBorder="1"/>
    <xf numFmtId="3" fontId="28" fillId="10" borderId="28" xfId="0" applyNumberFormat="1" applyFont="1" applyFill="1" applyBorder="1"/>
    <xf numFmtId="3" fontId="9" fillId="8" borderId="26" xfId="3" applyNumberFormat="1" applyFont="1" applyFill="1" applyBorder="1" applyAlignment="1">
      <alignment horizontal="center" vertical="center"/>
    </xf>
    <xf numFmtId="3" fontId="9" fillId="8" borderId="26" xfId="4" applyNumberFormat="1" applyFont="1" applyFill="1" applyBorder="1" applyAlignment="1">
      <alignment horizontal="center" vertical="center"/>
    </xf>
    <xf numFmtId="3" fontId="9" fillId="8" borderId="14" xfId="3" applyNumberFormat="1" applyFont="1" applyFill="1" applyBorder="1" applyAlignment="1">
      <alignment horizontal="center" vertical="center"/>
    </xf>
    <xf numFmtId="3" fontId="9" fillId="8" borderId="14" xfId="4" applyNumberFormat="1" applyFont="1" applyFill="1" applyBorder="1" applyAlignment="1">
      <alignment horizontal="center" vertical="center"/>
    </xf>
    <xf numFmtId="3" fontId="9" fillId="8" borderId="26" xfId="3" applyNumberFormat="1" applyFont="1" applyFill="1" applyBorder="1" applyAlignment="1">
      <alignment vertical="center"/>
    </xf>
    <xf numFmtId="3" fontId="9" fillId="8" borderId="14" xfId="3" applyNumberFormat="1" applyFont="1" applyFill="1" applyBorder="1" applyAlignment="1">
      <alignment vertical="center"/>
    </xf>
    <xf numFmtId="169" fontId="9" fillId="8" borderId="21" xfId="1" applyNumberFormat="1" applyFont="1" applyFill="1" applyBorder="1" applyAlignment="1">
      <alignment vertical="center"/>
    </xf>
    <xf numFmtId="3" fontId="9" fillId="8" borderId="43" xfId="3" applyNumberFormat="1" applyFont="1" applyFill="1" applyBorder="1" applyAlignment="1">
      <alignment vertical="center"/>
    </xf>
    <xf numFmtId="3" fontId="28" fillId="10" borderId="28" xfId="0" applyNumberFormat="1" applyFont="1" applyFill="1" applyBorder="1" applyAlignment="1">
      <alignment vertical="center"/>
    </xf>
    <xf numFmtId="3" fontId="59" fillId="8" borderId="21" xfId="3" applyNumberFormat="1" applyFont="1" applyFill="1" applyBorder="1" applyAlignment="1">
      <alignment vertical="center"/>
    </xf>
    <xf numFmtId="3" fontId="59" fillId="8" borderId="26" xfId="3" applyNumberFormat="1" applyFont="1" applyFill="1" applyBorder="1" applyAlignment="1">
      <alignment vertical="center"/>
    </xf>
    <xf numFmtId="3" fontId="59" fillId="8" borderId="14" xfId="3" applyNumberFormat="1" applyFont="1" applyFill="1" applyBorder="1" applyAlignment="1">
      <alignment vertical="center"/>
    </xf>
    <xf numFmtId="3" fontId="9" fillId="8" borderId="21" xfId="3" applyNumberFormat="1" applyFont="1" applyFill="1" applyBorder="1" applyAlignment="1">
      <alignment horizontal="center" vertical="center"/>
    </xf>
    <xf numFmtId="3" fontId="10" fillId="8" borderId="39" xfId="4" applyNumberFormat="1" applyFont="1" applyFill="1" applyBorder="1" applyAlignment="1">
      <alignment horizontal="center" vertical="center"/>
    </xf>
    <xf numFmtId="3" fontId="10" fillId="8" borderId="27" xfId="4" applyNumberFormat="1" applyFont="1" applyFill="1" applyBorder="1" applyAlignment="1">
      <alignment horizontal="center" vertical="center"/>
    </xf>
    <xf numFmtId="3" fontId="10" fillId="8" borderId="28" xfId="4" applyNumberFormat="1" applyFont="1" applyFill="1" applyBorder="1" applyAlignment="1">
      <alignment horizontal="center" vertical="center"/>
    </xf>
    <xf numFmtId="3" fontId="9" fillId="8" borderId="21" xfId="3" applyNumberFormat="1" applyFont="1" applyFill="1" applyBorder="1" applyAlignment="1">
      <alignment vertical="center"/>
    </xf>
    <xf numFmtId="3" fontId="10" fillId="8" borderId="21" xfId="4" applyNumberFormat="1" applyFont="1" applyFill="1" applyBorder="1" applyAlignment="1">
      <alignment horizontal="center" vertical="center"/>
    </xf>
    <xf numFmtId="3" fontId="10" fillId="8" borderId="26" xfId="4" applyNumberFormat="1" applyFont="1" applyFill="1" applyBorder="1" applyAlignment="1">
      <alignment horizontal="center" vertical="center"/>
    </xf>
    <xf numFmtId="3" fontId="10" fillId="8" borderId="14" xfId="4" applyNumberFormat="1" applyFont="1" applyFill="1" applyBorder="1" applyAlignment="1">
      <alignment horizontal="center" vertical="center"/>
    </xf>
    <xf numFmtId="3" fontId="9" fillId="8" borderId="21" xfId="4" applyNumberFormat="1" applyFont="1" applyFill="1" applyBorder="1" applyAlignment="1">
      <alignment horizontal="center" vertical="center"/>
    </xf>
    <xf numFmtId="166" fontId="9" fillId="0" borderId="43" xfId="3" applyNumberFormat="1" applyFont="1" applyFill="1" applyBorder="1"/>
    <xf numFmtId="166" fontId="9" fillId="0" borderId="49" xfId="3" applyNumberFormat="1" applyFont="1" applyFill="1" applyBorder="1"/>
    <xf numFmtId="166" fontId="9" fillId="0" borderId="50" xfId="3" applyNumberFormat="1" applyFont="1" applyFill="1" applyBorder="1"/>
    <xf numFmtId="165" fontId="30" fillId="8" borderId="41" xfId="3" applyNumberFormat="1" applyFont="1" applyFill="1" applyBorder="1" applyAlignment="1">
      <alignment vertical="top" wrapText="1"/>
    </xf>
    <xf numFmtId="3" fontId="10" fillId="0" borderId="26" xfId="3" applyNumberFormat="1" applyFont="1" applyFill="1" applyBorder="1" applyAlignment="1">
      <alignment horizontal="center"/>
    </xf>
    <xf numFmtId="3" fontId="10" fillId="0" borderId="8" xfId="3" applyNumberFormat="1" applyFont="1" applyFill="1" applyBorder="1" applyAlignment="1">
      <alignment horizontal="center"/>
    </xf>
    <xf numFmtId="3" fontId="10" fillId="8" borderId="49" xfId="1" applyNumberFormat="1" applyFont="1" applyFill="1" applyBorder="1"/>
    <xf numFmtId="3" fontId="28" fillId="10" borderId="15" xfId="1" applyNumberFormat="1" applyFont="1" applyFill="1" applyBorder="1" applyAlignment="1">
      <alignment horizontal="center"/>
    </xf>
    <xf numFmtId="3" fontId="9" fillId="8" borderId="8" xfId="1" applyNumberFormat="1" applyFont="1" applyFill="1" applyBorder="1"/>
    <xf numFmtId="3" fontId="9" fillId="8" borderId="8" xfId="1" applyNumberFormat="1" applyFont="1" applyFill="1" applyBorder="1" applyAlignment="1">
      <alignment horizontal="center"/>
    </xf>
    <xf numFmtId="3" fontId="9" fillId="8" borderId="26" xfId="1" applyNumberFormat="1" applyFont="1" applyFill="1" applyBorder="1" applyAlignment="1">
      <alignment horizontal="center"/>
    </xf>
    <xf numFmtId="3" fontId="28" fillId="10" borderId="14" xfId="1" applyNumberFormat="1" applyFont="1" applyFill="1" applyBorder="1"/>
    <xf numFmtId="3" fontId="9" fillId="8" borderId="14" xfId="1" applyNumberFormat="1" applyFont="1" applyFill="1" applyBorder="1" applyAlignment="1">
      <alignment horizontal="center"/>
    </xf>
    <xf numFmtId="3" fontId="9" fillId="8" borderId="26" xfId="1" applyNumberFormat="1" applyFont="1" applyFill="1" applyBorder="1"/>
    <xf numFmtId="3" fontId="9" fillId="8" borderId="14" xfId="1" applyNumberFormat="1" applyFont="1" applyFill="1" applyBorder="1"/>
    <xf numFmtId="3" fontId="66" fillId="0" borderId="0" xfId="0" applyNumberFormat="1" applyFont="1"/>
    <xf numFmtId="3" fontId="1" fillId="0" borderId="0" xfId="0" applyNumberFormat="1" applyFont="1"/>
    <xf numFmtId="1" fontId="7" fillId="8" borderId="21" xfId="2" applyNumberFormat="1" applyFont="1" applyFill="1" applyBorder="1" applyAlignment="1">
      <alignment horizontal="center"/>
    </xf>
    <xf numFmtId="3" fontId="9" fillId="8" borderId="37" xfId="2" applyNumberFormat="1" applyFont="1" applyFill="1" applyBorder="1" applyAlignment="1">
      <alignment horizontal="center"/>
    </xf>
    <xf numFmtId="3" fontId="10" fillId="8" borderId="21" xfId="1" applyNumberFormat="1" applyFont="1" applyFill="1" applyBorder="1" applyAlignment="1">
      <alignment horizontal="center" vertical="center"/>
    </xf>
    <xf numFmtId="169" fontId="9" fillId="8" borderId="89" xfId="1" applyNumberFormat="1" applyFont="1" applyFill="1" applyBorder="1" applyAlignment="1">
      <alignment horizontal="center"/>
    </xf>
    <xf numFmtId="169" fontId="9" fillId="8" borderId="89" xfId="1" applyNumberFormat="1" applyFont="1" applyFill="1" applyBorder="1" applyAlignment="1">
      <alignment horizontal="center" vertical="center"/>
    </xf>
    <xf numFmtId="3" fontId="10" fillId="8" borderId="21" xfId="2" applyNumberFormat="1" applyFont="1" applyFill="1" applyBorder="1" applyAlignment="1">
      <alignment horizontal="center"/>
    </xf>
    <xf numFmtId="169" fontId="9" fillId="8" borderId="21" xfId="1" applyNumberFormat="1" applyFont="1" applyFill="1" applyBorder="1" applyAlignment="1">
      <alignment horizontal="center" vertical="center"/>
    </xf>
    <xf numFmtId="169" fontId="7" fillId="8" borderId="21" xfId="1" applyNumberFormat="1" applyFont="1" applyFill="1" applyBorder="1" applyAlignment="1">
      <alignment horizontal="center" vertical="center"/>
    </xf>
    <xf numFmtId="0" fontId="10" fillId="8" borderId="21" xfId="1" applyNumberFormat="1" applyFont="1" applyFill="1" applyBorder="1" applyAlignment="1">
      <alignment horizontal="center" vertical="center"/>
    </xf>
    <xf numFmtId="1" fontId="7" fillId="8" borderId="8" xfId="2" applyNumberFormat="1" applyFont="1" applyFill="1" applyBorder="1" applyAlignment="1">
      <alignment horizontal="center"/>
    </xf>
    <xf numFmtId="3" fontId="10" fillId="8" borderId="8" xfId="1" applyNumberFormat="1" applyFont="1" applyFill="1" applyBorder="1" applyAlignment="1">
      <alignment horizontal="center" vertical="center"/>
    </xf>
    <xf numFmtId="169" fontId="9" fillId="8" borderId="37" xfId="1" applyNumberFormat="1" applyFont="1" applyFill="1" applyBorder="1" applyAlignment="1">
      <alignment horizontal="center"/>
    </xf>
    <xf numFmtId="169" fontId="9" fillId="8" borderId="37" xfId="1" applyNumberFormat="1" applyFont="1" applyFill="1" applyBorder="1" applyAlignment="1">
      <alignment horizontal="center" vertical="center"/>
    </xf>
    <xf numFmtId="3" fontId="10" fillId="8" borderId="8" xfId="2" applyNumberFormat="1" applyFont="1" applyFill="1" applyBorder="1" applyAlignment="1">
      <alignment horizontal="center"/>
    </xf>
    <xf numFmtId="0" fontId="10" fillId="8" borderId="8" xfId="1" applyNumberFormat="1" applyFont="1" applyFill="1" applyBorder="1" applyAlignment="1">
      <alignment horizontal="center" vertical="center"/>
    </xf>
    <xf numFmtId="3" fontId="9" fillId="8" borderId="46" xfId="2" applyNumberFormat="1" applyFont="1" applyFill="1" applyBorder="1" applyAlignment="1">
      <alignment horizontal="center" vertical="center"/>
    </xf>
    <xf numFmtId="3" fontId="9" fillId="8" borderId="46" xfId="2" applyNumberFormat="1" applyFont="1" applyFill="1" applyBorder="1" applyAlignment="1">
      <alignment horizontal="center"/>
    </xf>
    <xf numFmtId="3" fontId="10" fillId="8" borderId="13" xfId="1" applyNumberFormat="1" applyFont="1" applyFill="1" applyBorder="1" applyAlignment="1">
      <alignment horizontal="center" vertical="center"/>
    </xf>
    <xf numFmtId="169" fontId="9" fillId="8" borderId="46" xfId="1" applyNumberFormat="1" applyFont="1" applyFill="1" applyBorder="1" applyAlignment="1">
      <alignment horizontal="center"/>
    </xf>
    <xf numFmtId="169" fontId="9" fillId="8" borderId="46" xfId="1" applyNumberFormat="1" applyFont="1" applyFill="1" applyBorder="1" applyAlignment="1">
      <alignment horizontal="center" vertical="center"/>
    </xf>
    <xf numFmtId="3" fontId="10" fillId="8" borderId="13" xfId="2" applyNumberFormat="1" applyFont="1" applyFill="1" applyBorder="1" applyAlignment="1">
      <alignment horizontal="center"/>
    </xf>
    <xf numFmtId="0" fontId="10" fillId="8" borderId="13" xfId="1" applyNumberFormat="1" applyFont="1" applyFill="1" applyBorder="1" applyAlignment="1">
      <alignment horizontal="center" vertical="center"/>
    </xf>
    <xf numFmtId="0" fontId="9" fillId="8" borderId="7" xfId="1" applyNumberFormat="1" applyFont="1" applyFill="1" applyBorder="1" applyAlignment="1">
      <alignment horizontal="center" vertical="center"/>
    </xf>
    <xf numFmtId="3" fontId="10" fillId="8" borderId="7" xfId="2" applyNumberFormat="1" applyFont="1" applyFill="1" applyBorder="1" applyAlignment="1">
      <alignment horizontal="center"/>
    </xf>
    <xf numFmtId="0" fontId="60" fillId="8" borderId="42" xfId="0" applyFont="1" applyFill="1" applyBorder="1" applyAlignment="1">
      <alignment horizontal="center" vertical="top" wrapText="1"/>
    </xf>
    <xf numFmtId="0" fontId="10" fillId="8" borderId="7" xfId="1" applyNumberFormat="1" applyFont="1" applyFill="1" applyBorder="1" applyAlignment="1">
      <alignment horizontal="center" vertical="center"/>
    </xf>
    <xf numFmtId="1" fontId="7" fillId="8" borderId="37" xfId="2" applyNumberFormat="1" applyFont="1" applyFill="1" applyBorder="1" applyAlignment="1">
      <alignment horizontal="center"/>
    </xf>
    <xf numFmtId="3" fontId="0" fillId="8" borderId="0" xfId="0" applyNumberFormat="1" applyFill="1"/>
    <xf numFmtId="0" fontId="3" fillId="8" borderId="0" xfId="0" applyFont="1" applyFill="1"/>
    <xf numFmtId="0" fontId="0" fillId="8" borderId="0" xfId="0" applyFont="1" applyFill="1"/>
    <xf numFmtId="3" fontId="0" fillId="8" borderId="0" xfId="0" applyNumberFormat="1" applyFont="1" applyFill="1"/>
    <xf numFmtId="3" fontId="3" fillId="8" borderId="0" xfId="0" applyNumberFormat="1" applyFont="1" applyFill="1"/>
    <xf numFmtId="3" fontId="34" fillId="8" borderId="0" xfId="0" applyNumberFormat="1" applyFont="1" applyFill="1"/>
    <xf numFmtId="3" fontId="33" fillId="8" borderId="0" xfId="0" applyNumberFormat="1" applyFont="1" applyFill="1"/>
    <xf numFmtId="0" fontId="16" fillId="8" borderId="103" xfId="4" applyNumberFormat="1" applyFont="1" applyFill="1" applyBorder="1" applyAlignment="1">
      <alignment horizontal="center"/>
    </xf>
    <xf numFmtId="0" fontId="16" fillId="8" borderId="104" xfId="4" applyNumberFormat="1" applyFont="1" applyFill="1" applyBorder="1" applyAlignment="1">
      <alignment horizontal="center"/>
    </xf>
    <xf numFmtId="0" fontId="16" fillId="8" borderId="105" xfId="4" applyNumberFormat="1" applyFont="1" applyFill="1" applyBorder="1" applyAlignment="1">
      <alignment horizontal="center"/>
    </xf>
    <xf numFmtId="3" fontId="16" fillId="8" borderId="103" xfId="4" applyNumberFormat="1" applyFont="1" applyFill="1" applyBorder="1" applyAlignment="1">
      <alignment horizontal="center"/>
    </xf>
    <xf numFmtId="3" fontId="16" fillId="8" borderId="104" xfId="4" applyNumberFormat="1" applyFont="1" applyFill="1" applyBorder="1" applyAlignment="1">
      <alignment horizontal="center"/>
    </xf>
    <xf numFmtId="3" fontId="16" fillId="8" borderId="105" xfId="4" applyNumberFormat="1" applyFont="1" applyFill="1" applyBorder="1" applyAlignment="1">
      <alignment horizontal="center"/>
    </xf>
    <xf numFmtId="0" fontId="16" fillId="8" borderId="107" xfId="4" applyNumberFormat="1" applyFont="1" applyFill="1" applyBorder="1" applyAlignment="1">
      <alignment horizontal="center"/>
    </xf>
    <xf numFmtId="3" fontId="16" fillId="8" borderId="107" xfId="4" applyNumberFormat="1" applyFont="1" applyFill="1" applyBorder="1" applyAlignment="1">
      <alignment horizontal="center"/>
    </xf>
    <xf numFmtId="3" fontId="67" fillId="8" borderId="0" xfId="0" applyNumberFormat="1" applyFont="1" applyFill="1"/>
    <xf numFmtId="165" fontId="9" fillId="8" borderId="38" xfId="3" applyNumberFormat="1" applyFont="1" applyFill="1" applyBorder="1" applyAlignment="1">
      <alignment horizontal="center"/>
    </xf>
    <xf numFmtId="165" fontId="9" fillId="8" borderId="7" xfId="3" applyNumberFormat="1" applyFont="1" applyFill="1" applyBorder="1" applyAlignment="1">
      <alignment horizontal="center"/>
    </xf>
    <xf numFmtId="165" fontId="9" fillId="8" borderId="13" xfId="3" applyNumberFormat="1" applyFont="1" applyFill="1" applyBorder="1" applyAlignment="1">
      <alignment horizontal="center"/>
    </xf>
    <xf numFmtId="0" fontId="9" fillId="8" borderId="38" xfId="1" applyNumberFormat="1" applyFont="1" applyFill="1" applyBorder="1" applyAlignment="1">
      <alignment horizontal="center" vertical="center"/>
    </xf>
    <xf numFmtId="0" fontId="9" fillId="8" borderId="7" xfId="1" applyNumberFormat="1" applyFont="1" applyFill="1" applyBorder="1" applyAlignment="1">
      <alignment horizontal="center" vertical="center"/>
    </xf>
    <xf numFmtId="0" fontId="9" fillId="8" borderId="13" xfId="1" applyNumberFormat="1" applyFont="1" applyFill="1" applyBorder="1" applyAlignment="1">
      <alignment horizontal="center" vertical="center"/>
    </xf>
    <xf numFmtId="0" fontId="60" fillId="8" borderId="5" xfId="0" applyFont="1" applyFill="1" applyBorder="1" applyAlignment="1">
      <alignment horizontal="center" vertical="top" wrapText="1"/>
    </xf>
    <xf numFmtId="0" fontId="60" fillId="8" borderId="42" xfId="0" applyFont="1" applyFill="1" applyBorder="1" applyAlignment="1">
      <alignment horizontal="center" vertical="top" wrapText="1"/>
    </xf>
    <xf numFmtId="0" fontId="60" fillId="8" borderId="41" xfId="0" applyFont="1" applyFill="1" applyBorder="1" applyAlignment="1">
      <alignment horizontal="center" vertical="top" wrapText="1"/>
    </xf>
    <xf numFmtId="1" fontId="9" fillId="8" borderId="38" xfId="2" applyNumberFormat="1" applyFont="1" applyFill="1" applyBorder="1" applyAlignment="1">
      <alignment horizontal="center" vertical="center" wrapText="1"/>
    </xf>
    <xf numFmtId="1" fontId="9" fillId="8" borderId="7" xfId="2" applyNumberFormat="1" applyFont="1" applyFill="1" applyBorder="1" applyAlignment="1">
      <alignment horizontal="center" vertical="center" wrapText="1"/>
    </xf>
    <xf numFmtId="1" fontId="9" fillId="8" borderId="13" xfId="2" applyNumberFormat="1" applyFont="1" applyFill="1" applyBorder="1" applyAlignment="1">
      <alignment horizontal="center" vertical="center" wrapText="1"/>
    </xf>
    <xf numFmtId="3" fontId="9" fillId="0" borderId="38" xfId="3" applyNumberFormat="1" applyFont="1" applyFill="1" applyBorder="1" applyAlignment="1">
      <alignment horizontal="center" wrapText="1"/>
    </xf>
    <xf numFmtId="3" fontId="9" fillId="0" borderId="7" xfId="3" applyNumberFormat="1" applyFont="1" applyFill="1" applyBorder="1" applyAlignment="1">
      <alignment horizontal="center" wrapText="1"/>
    </xf>
    <xf numFmtId="3" fontId="9" fillId="0" borderId="13" xfId="3" applyNumberFormat="1" applyFont="1" applyFill="1" applyBorder="1" applyAlignment="1">
      <alignment horizontal="center" wrapText="1"/>
    </xf>
    <xf numFmtId="165" fontId="9" fillId="0" borderId="38" xfId="3" applyNumberFormat="1" applyFont="1" applyFill="1" applyBorder="1" applyAlignment="1">
      <alignment horizontal="left" vertical="center" wrapText="1"/>
    </xf>
    <xf numFmtId="165" fontId="9" fillId="0" borderId="7" xfId="3" applyNumberFormat="1" applyFont="1" applyFill="1" applyBorder="1" applyAlignment="1">
      <alignment horizontal="left" vertical="center" wrapText="1"/>
    </xf>
    <xf numFmtId="165" fontId="9" fillId="0" borderId="13" xfId="3" applyNumberFormat="1" applyFont="1" applyFill="1" applyBorder="1" applyAlignment="1">
      <alignment horizontal="left" vertical="center" wrapText="1"/>
    </xf>
    <xf numFmtId="165" fontId="9" fillId="0" borderId="76" xfId="3" applyNumberFormat="1" applyFont="1" applyFill="1" applyBorder="1" applyAlignment="1">
      <alignment horizontal="center" vertical="top" wrapText="1"/>
    </xf>
    <xf numFmtId="165" fontId="9" fillId="0" borderId="77" xfId="3" applyNumberFormat="1" applyFont="1" applyFill="1" applyBorder="1" applyAlignment="1">
      <alignment horizontal="center" vertical="top" wrapText="1"/>
    </xf>
    <xf numFmtId="165" fontId="9" fillId="0" borderId="78" xfId="3" applyNumberFormat="1" applyFont="1" applyFill="1" applyBorder="1" applyAlignment="1">
      <alignment horizontal="center" vertical="top" wrapText="1"/>
    </xf>
    <xf numFmtId="49" fontId="9" fillId="8" borderId="38" xfId="2" applyNumberFormat="1" applyFont="1" applyFill="1" applyBorder="1" applyAlignment="1">
      <alignment horizontal="center" vertical="center" wrapText="1"/>
    </xf>
    <xf numFmtId="49" fontId="9" fillId="8" borderId="7" xfId="2" applyNumberFormat="1" applyFont="1" applyFill="1" applyBorder="1" applyAlignment="1">
      <alignment horizontal="center" vertical="center"/>
    </xf>
    <xf numFmtId="49" fontId="9" fillId="8" borderId="13" xfId="2" applyNumberFormat="1" applyFont="1" applyFill="1" applyBorder="1" applyAlignment="1">
      <alignment horizontal="center" vertical="center"/>
    </xf>
    <xf numFmtId="49" fontId="9" fillId="8" borderId="7" xfId="2" applyNumberFormat="1" applyFont="1" applyFill="1" applyBorder="1" applyAlignment="1">
      <alignment horizontal="center" vertical="center" wrapText="1"/>
    </xf>
    <xf numFmtId="49" fontId="9" fillId="8" borderId="13" xfId="2" applyNumberFormat="1" applyFont="1" applyFill="1" applyBorder="1" applyAlignment="1">
      <alignment horizontal="center" vertical="center" wrapText="1"/>
    </xf>
    <xf numFmtId="49" fontId="30" fillId="0" borderId="38" xfId="3" applyNumberFormat="1" applyFont="1" applyBorder="1" applyAlignment="1">
      <alignment horizontal="left" vertical="top" wrapText="1"/>
    </xf>
    <xf numFmtId="49" fontId="30" fillId="0" borderId="7" xfId="3" applyNumberFormat="1" applyFont="1" applyBorder="1" applyAlignment="1">
      <alignment horizontal="left" vertical="top" wrapText="1"/>
    </xf>
    <xf numFmtId="49" fontId="30" fillId="0" borderId="13" xfId="3" applyNumberFormat="1" applyFont="1" applyBorder="1" applyAlignment="1">
      <alignment horizontal="left" vertical="top" wrapText="1"/>
    </xf>
    <xf numFmtId="165" fontId="30" fillId="0" borderId="5" xfId="3" applyNumberFormat="1" applyFont="1" applyFill="1" applyBorder="1" applyAlignment="1">
      <alignment horizontal="left" vertical="top" wrapText="1"/>
    </xf>
    <xf numFmtId="165" fontId="30" fillId="0" borderId="42" xfId="3" applyNumberFormat="1" applyFont="1" applyFill="1" applyBorder="1" applyAlignment="1">
      <alignment horizontal="left" vertical="top" wrapText="1"/>
    </xf>
    <xf numFmtId="165" fontId="30" fillId="0" borderId="41" xfId="3" applyNumberFormat="1" applyFont="1" applyFill="1" applyBorder="1" applyAlignment="1">
      <alignment horizontal="left" vertical="top" wrapText="1"/>
    </xf>
    <xf numFmtId="3" fontId="9" fillId="0" borderId="38" xfId="2" applyNumberFormat="1" applyFont="1" applyBorder="1" applyAlignment="1">
      <alignment horizontal="center" vertical="center"/>
    </xf>
    <xf numFmtId="3" fontId="9" fillId="0" borderId="7" xfId="2" applyNumberFormat="1" applyFont="1" applyBorder="1" applyAlignment="1">
      <alignment horizontal="center" vertical="center"/>
    </xf>
    <xf numFmtId="3" fontId="9" fillId="0" borderId="13" xfId="2" applyNumberFormat="1" applyFont="1" applyBorder="1" applyAlignment="1">
      <alignment horizontal="center" vertical="center"/>
    </xf>
    <xf numFmtId="3" fontId="9" fillId="0" borderId="38" xfId="2" applyNumberFormat="1" applyFont="1" applyBorder="1" applyAlignment="1">
      <alignment horizontal="left" vertical="top" wrapText="1"/>
    </xf>
    <xf numFmtId="3" fontId="9" fillId="0" borderId="7" xfId="2" applyNumberFormat="1" applyFont="1" applyBorder="1" applyAlignment="1">
      <alignment horizontal="left" vertical="top" wrapText="1"/>
    </xf>
    <xf numFmtId="3" fontId="9" fillId="0" borderId="13" xfId="2" applyNumberFormat="1" applyFont="1" applyBorder="1" applyAlignment="1">
      <alignment horizontal="left" vertical="top" wrapText="1"/>
    </xf>
    <xf numFmtId="3" fontId="9" fillId="0" borderId="38" xfId="2" applyNumberFormat="1" applyFont="1" applyBorder="1" applyAlignment="1">
      <alignment horizontal="center" vertical="center" wrapText="1"/>
    </xf>
    <xf numFmtId="3" fontId="9" fillId="0" borderId="7" xfId="2" applyNumberFormat="1" applyFont="1" applyBorder="1" applyAlignment="1">
      <alignment horizontal="center" vertical="center" wrapText="1"/>
    </xf>
    <xf numFmtId="3" fontId="9" fillId="0" borderId="13" xfId="2" applyNumberFormat="1" applyFont="1" applyBorder="1" applyAlignment="1">
      <alignment horizontal="center" vertical="center" wrapText="1"/>
    </xf>
    <xf numFmtId="49" fontId="9" fillId="0" borderId="8" xfId="2" applyNumberFormat="1" applyFont="1" applyFill="1" applyBorder="1" applyAlignment="1">
      <alignment horizontal="center" vertical="center"/>
    </xf>
    <xf numFmtId="49" fontId="9" fillId="0" borderId="26" xfId="2" applyNumberFormat="1" applyFont="1" applyFill="1" applyBorder="1" applyAlignment="1">
      <alignment horizontal="center" vertical="center"/>
    </xf>
    <xf numFmtId="49" fontId="9" fillId="0" borderId="36" xfId="2" applyNumberFormat="1" applyFont="1" applyFill="1" applyBorder="1" applyAlignment="1">
      <alignment horizontal="center" vertical="center"/>
    </xf>
    <xf numFmtId="3" fontId="9" fillId="0" borderId="8" xfId="2" applyNumberFormat="1" applyFont="1" applyFill="1" applyBorder="1" applyAlignment="1">
      <alignment horizontal="center" vertical="center"/>
    </xf>
    <xf numFmtId="3" fontId="9" fillId="0" borderId="26" xfId="2" applyNumberFormat="1" applyFont="1" applyFill="1" applyBorder="1" applyAlignment="1">
      <alignment horizontal="center" vertical="center"/>
    </xf>
    <xf numFmtId="3" fontId="9" fillId="0" borderId="36" xfId="2" applyNumberFormat="1" applyFont="1" applyFill="1" applyBorder="1" applyAlignment="1">
      <alignment horizontal="center" vertical="center"/>
    </xf>
    <xf numFmtId="49" fontId="9" fillId="0" borderId="8" xfId="2" applyNumberFormat="1" applyFont="1" applyFill="1" applyBorder="1" applyAlignment="1">
      <alignment horizontal="center" vertical="center" wrapText="1"/>
    </xf>
    <xf numFmtId="49" fontId="9" fillId="0" borderId="26" xfId="2" applyNumberFormat="1" applyFont="1" applyFill="1" applyBorder="1" applyAlignment="1">
      <alignment horizontal="center" vertical="center" wrapText="1"/>
    </xf>
    <xf numFmtId="49" fontId="9" fillId="0" borderId="36" xfId="2" applyNumberFormat="1" applyFont="1" applyFill="1" applyBorder="1" applyAlignment="1">
      <alignment horizontal="center" vertical="center" wrapText="1"/>
    </xf>
    <xf numFmtId="3" fontId="9" fillId="0" borderId="8" xfId="2" applyNumberFormat="1" applyFont="1" applyFill="1" applyBorder="1" applyAlignment="1">
      <alignment horizontal="center" vertical="center" wrapText="1"/>
    </xf>
    <xf numFmtId="3" fontId="9" fillId="0" borderId="26" xfId="2" applyNumberFormat="1" applyFont="1" applyFill="1" applyBorder="1" applyAlignment="1">
      <alignment horizontal="center" vertical="center" wrapText="1"/>
    </xf>
    <xf numFmtId="3" fontId="9" fillId="0" borderId="36" xfId="2" applyNumberFormat="1" applyFont="1" applyFill="1" applyBorder="1" applyAlignment="1">
      <alignment horizontal="center" vertical="center" wrapText="1"/>
    </xf>
    <xf numFmtId="3" fontId="9" fillId="0" borderId="21" xfId="2" applyNumberFormat="1" applyFont="1" applyFill="1" applyBorder="1" applyAlignment="1">
      <alignment horizontal="center" vertical="center"/>
    </xf>
    <xf numFmtId="3" fontId="9" fillId="0" borderId="14" xfId="2" applyNumberFormat="1" applyFont="1" applyFill="1" applyBorder="1" applyAlignment="1">
      <alignment horizontal="center" vertical="center"/>
    </xf>
    <xf numFmtId="49" fontId="9" fillId="0" borderId="21" xfId="2" applyNumberFormat="1" applyFont="1" applyFill="1" applyBorder="1" applyAlignment="1">
      <alignment horizontal="center" vertical="center"/>
    </xf>
    <xf numFmtId="49" fontId="9" fillId="0" borderId="14" xfId="2" applyNumberFormat="1" applyFont="1" applyFill="1" applyBorder="1" applyAlignment="1">
      <alignment horizontal="center" vertical="center"/>
    </xf>
    <xf numFmtId="0" fontId="10" fillId="0" borderId="38" xfId="1" applyNumberFormat="1" applyFont="1" applyFill="1" applyBorder="1" applyAlignment="1">
      <alignment horizontal="center" vertical="center"/>
    </xf>
    <xf numFmtId="0" fontId="10" fillId="0" borderId="7" xfId="1" applyNumberFormat="1" applyFont="1" applyFill="1" applyBorder="1" applyAlignment="1">
      <alignment horizontal="center" vertical="center"/>
    </xf>
    <xf numFmtId="0" fontId="10" fillId="0" borderId="13" xfId="1" applyNumberFormat="1" applyFont="1" applyFill="1" applyBorder="1" applyAlignment="1">
      <alignment horizontal="center" vertical="center"/>
    </xf>
    <xf numFmtId="49" fontId="9" fillId="0" borderId="38" xfId="2" applyNumberFormat="1" applyFont="1" applyFill="1" applyBorder="1" applyAlignment="1">
      <alignment horizontal="center" vertical="center"/>
    </xf>
    <xf numFmtId="49" fontId="9" fillId="0" borderId="7" xfId="2" applyNumberFormat="1" applyFont="1" applyFill="1" applyBorder="1" applyAlignment="1">
      <alignment horizontal="center" vertical="center"/>
    </xf>
    <xf numFmtId="49" fontId="9" fillId="0" borderId="13" xfId="2" applyNumberFormat="1" applyFont="1" applyFill="1" applyBorder="1" applyAlignment="1">
      <alignment horizontal="center" vertical="center"/>
    </xf>
    <xf numFmtId="165" fontId="9" fillId="0" borderId="38" xfId="3" applyNumberFormat="1" applyFont="1" applyFill="1" applyBorder="1" applyAlignment="1">
      <alignment horizontal="center" wrapText="1"/>
    </xf>
    <xf numFmtId="165" fontId="9" fillId="0" borderId="7" xfId="3" applyNumberFormat="1" applyFont="1" applyFill="1" applyBorder="1" applyAlignment="1">
      <alignment horizontal="center" wrapText="1"/>
    </xf>
    <xf numFmtId="165" fontId="9" fillId="0" borderId="13" xfId="3" applyNumberFormat="1" applyFont="1" applyFill="1" applyBorder="1" applyAlignment="1">
      <alignment horizontal="center" wrapText="1"/>
    </xf>
    <xf numFmtId="165" fontId="4" fillId="8" borderId="38" xfId="3" applyNumberFormat="1" applyFont="1" applyFill="1" applyBorder="1" applyAlignment="1">
      <alignment horizontal="center" vertical="top" wrapText="1"/>
    </xf>
    <xf numFmtId="165" fontId="4" fillId="8" borderId="7" xfId="3" applyNumberFormat="1" applyFont="1" applyFill="1" applyBorder="1" applyAlignment="1">
      <alignment horizontal="center" vertical="top" wrapText="1"/>
    </xf>
    <xf numFmtId="165" fontId="4" fillId="8" borderId="13" xfId="3" applyNumberFormat="1" applyFont="1" applyFill="1" applyBorder="1" applyAlignment="1">
      <alignment horizontal="center" vertical="top" wrapText="1"/>
    </xf>
    <xf numFmtId="165" fontId="4" fillId="8" borderId="38" xfId="3" applyNumberFormat="1" applyFont="1" applyFill="1" applyBorder="1" applyAlignment="1">
      <alignment horizontal="center" vertical="center" wrapText="1"/>
    </xf>
    <xf numFmtId="165" fontId="4" fillId="8" borderId="7" xfId="3" applyNumberFormat="1" applyFont="1" applyFill="1" applyBorder="1" applyAlignment="1">
      <alignment horizontal="center" vertical="center" wrapText="1"/>
    </xf>
    <xf numFmtId="165" fontId="4" fillId="8" borderId="13" xfId="3" applyNumberFormat="1" applyFont="1" applyFill="1" applyBorder="1" applyAlignment="1">
      <alignment horizontal="center" vertical="center" wrapText="1"/>
    </xf>
    <xf numFmtId="165" fontId="9" fillId="8" borderId="76" xfId="3" applyNumberFormat="1" applyFont="1" applyFill="1" applyBorder="1" applyAlignment="1">
      <alignment horizontal="left" vertical="center" wrapText="1"/>
    </xf>
    <xf numFmtId="165" fontId="9" fillId="8" borderId="77" xfId="3" applyNumberFormat="1" applyFont="1" applyFill="1" applyBorder="1" applyAlignment="1">
      <alignment horizontal="left" vertical="center" wrapText="1"/>
    </xf>
    <xf numFmtId="165" fontId="9" fillId="8" borderId="78" xfId="3" applyNumberFormat="1" applyFont="1" applyFill="1" applyBorder="1" applyAlignment="1">
      <alignment horizontal="left" vertical="center" wrapText="1"/>
    </xf>
    <xf numFmtId="49" fontId="9" fillId="0" borderId="21" xfId="2" applyNumberFormat="1" applyFont="1" applyFill="1" applyBorder="1" applyAlignment="1">
      <alignment horizontal="center" vertical="center" wrapText="1"/>
    </xf>
    <xf numFmtId="49" fontId="9" fillId="0" borderId="14" xfId="2" applyNumberFormat="1" applyFont="1" applyFill="1" applyBorder="1" applyAlignment="1">
      <alignment horizontal="center" vertical="center" wrapText="1"/>
    </xf>
    <xf numFmtId="166" fontId="10" fillId="0" borderId="38" xfId="3" applyNumberFormat="1" applyFont="1" applyFill="1" applyBorder="1" applyAlignment="1">
      <alignment horizontal="left" vertical="top" wrapText="1"/>
    </xf>
    <xf numFmtId="166" fontId="10" fillId="0" borderId="7" xfId="3" applyNumberFormat="1" applyFont="1" applyFill="1" applyBorder="1" applyAlignment="1">
      <alignment horizontal="left" vertical="top" wrapText="1"/>
    </xf>
    <xf numFmtId="166" fontId="10" fillId="0" borderId="13" xfId="3" applyNumberFormat="1" applyFont="1" applyFill="1" applyBorder="1" applyAlignment="1">
      <alignment horizontal="left" vertical="top" wrapText="1"/>
    </xf>
    <xf numFmtId="49" fontId="9" fillId="8" borderId="38" xfId="2" applyNumberFormat="1" applyFont="1" applyFill="1" applyBorder="1" applyAlignment="1">
      <alignment horizontal="left" vertical="top" wrapText="1"/>
    </xf>
    <xf numFmtId="49" fontId="9" fillId="8" borderId="7" xfId="2" applyNumberFormat="1" applyFont="1" applyFill="1" applyBorder="1" applyAlignment="1">
      <alignment horizontal="left" vertical="top" wrapText="1"/>
    </xf>
    <xf numFmtId="49" fontId="9" fillId="8" borderId="53" xfId="2" applyNumberFormat="1" applyFont="1" applyFill="1" applyBorder="1" applyAlignment="1">
      <alignment horizontal="left" vertical="top" wrapText="1"/>
    </xf>
    <xf numFmtId="3" fontId="26" fillId="8" borderId="38" xfId="2" applyNumberFormat="1" applyFont="1" applyFill="1" applyBorder="1" applyAlignment="1">
      <alignment horizontal="left" vertical="top" wrapText="1"/>
    </xf>
    <xf numFmtId="3" fontId="26" fillId="8" borderId="7" xfId="2" applyNumberFormat="1" applyFont="1" applyFill="1" applyBorder="1" applyAlignment="1">
      <alignment horizontal="left" vertical="top" wrapText="1"/>
    </xf>
    <xf numFmtId="3" fontId="26" fillId="8" borderId="13" xfId="2" applyNumberFormat="1" applyFont="1" applyFill="1" applyBorder="1" applyAlignment="1">
      <alignment horizontal="left" vertical="top" wrapText="1"/>
    </xf>
    <xf numFmtId="49" fontId="26" fillId="0" borderId="38" xfId="2" applyNumberFormat="1" applyFont="1" applyBorder="1" applyAlignment="1">
      <alignment horizontal="left" vertical="top" wrapText="1"/>
    </xf>
    <xf numFmtId="49" fontId="26" fillId="0" borderId="7" xfId="2" applyNumberFormat="1" applyFont="1" applyBorder="1" applyAlignment="1">
      <alignment horizontal="left" vertical="top" wrapText="1"/>
    </xf>
    <xf numFmtId="49" fontId="26" fillId="0" borderId="13" xfId="2" applyNumberFormat="1" applyFont="1" applyBorder="1" applyAlignment="1">
      <alignment horizontal="left" vertical="top" wrapText="1"/>
    </xf>
    <xf numFmtId="165" fontId="9" fillId="8" borderId="76" xfId="3" applyNumberFormat="1" applyFont="1" applyFill="1" applyBorder="1" applyAlignment="1">
      <alignment horizontal="center" vertical="center" wrapText="1"/>
    </xf>
    <xf numFmtId="165" fontId="9" fillId="8" borderId="77" xfId="3" applyNumberFormat="1" applyFont="1" applyFill="1" applyBorder="1" applyAlignment="1">
      <alignment horizontal="center" vertical="center" wrapText="1"/>
    </xf>
    <xf numFmtId="165" fontId="9" fillId="8" borderId="78" xfId="3" applyNumberFormat="1" applyFont="1" applyFill="1" applyBorder="1" applyAlignment="1">
      <alignment horizontal="center" vertical="center" wrapText="1"/>
    </xf>
    <xf numFmtId="165" fontId="10" fillId="8" borderId="76" xfId="3" applyNumberFormat="1" applyFont="1" applyFill="1" applyBorder="1" applyAlignment="1">
      <alignment horizontal="center" vertical="center" wrapText="1"/>
    </xf>
    <xf numFmtId="165" fontId="10" fillId="8" borderId="77" xfId="3" applyNumberFormat="1" applyFont="1" applyFill="1" applyBorder="1" applyAlignment="1">
      <alignment horizontal="center" vertical="center" wrapText="1"/>
    </xf>
    <xf numFmtId="165" fontId="10" fillId="8" borderId="78" xfId="3" applyNumberFormat="1" applyFont="1" applyFill="1" applyBorder="1" applyAlignment="1">
      <alignment horizontal="center" vertical="center" wrapText="1"/>
    </xf>
    <xf numFmtId="3" fontId="9" fillId="0" borderId="21" xfId="2" applyNumberFormat="1" applyFont="1" applyFill="1" applyBorder="1" applyAlignment="1">
      <alignment horizontal="center" vertical="center" wrapText="1"/>
    </xf>
    <xf numFmtId="3" fontId="9" fillId="0" borderId="14" xfId="2" applyNumberFormat="1" applyFont="1" applyFill="1" applyBorder="1" applyAlignment="1">
      <alignment horizontal="center" vertical="center" wrapText="1"/>
    </xf>
    <xf numFmtId="165" fontId="30" fillId="0" borderId="38" xfId="3" applyNumberFormat="1" applyFont="1" applyFill="1" applyBorder="1" applyAlignment="1">
      <alignment horizontal="left" vertical="top" wrapText="1"/>
    </xf>
    <xf numFmtId="165" fontId="30" fillId="0" borderId="7" xfId="3" applyNumberFormat="1" applyFont="1" applyFill="1" applyBorder="1" applyAlignment="1">
      <alignment horizontal="left" vertical="top" wrapText="1"/>
    </xf>
    <xf numFmtId="165" fontId="30" fillId="0" borderId="13" xfId="3" applyNumberFormat="1" applyFont="1" applyFill="1" applyBorder="1" applyAlignment="1">
      <alignment horizontal="left" vertical="top" wrapText="1"/>
    </xf>
    <xf numFmtId="165" fontId="30" fillId="0" borderId="76" xfId="3" applyNumberFormat="1" applyFont="1" applyFill="1" applyBorder="1" applyAlignment="1">
      <alignment horizontal="left" vertical="top" wrapText="1"/>
    </xf>
    <xf numFmtId="165" fontId="30" fillId="0" borderId="77" xfId="3" applyNumberFormat="1" applyFont="1" applyFill="1" applyBorder="1" applyAlignment="1">
      <alignment horizontal="left" vertical="top" wrapText="1"/>
    </xf>
    <xf numFmtId="165" fontId="30" fillId="0" borderId="78" xfId="3" applyNumberFormat="1" applyFont="1" applyFill="1" applyBorder="1" applyAlignment="1">
      <alignment horizontal="left" vertical="top" wrapText="1"/>
    </xf>
    <xf numFmtId="3" fontId="9" fillId="0" borderId="38" xfId="2" applyNumberFormat="1" applyFont="1" applyFill="1" applyBorder="1" applyAlignment="1">
      <alignment horizontal="center" vertical="center" wrapText="1"/>
    </xf>
    <xf numFmtId="3" fontId="9" fillId="0" borderId="7" xfId="2" applyNumberFormat="1" applyFont="1" applyFill="1" applyBorder="1" applyAlignment="1">
      <alignment horizontal="center" vertical="center" wrapText="1"/>
    </xf>
    <xf numFmtId="3" fontId="9" fillId="0" borderId="13" xfId="2" applyNumberFormat="1" applyFont="1" applyFill="1" applyBorder="1" applyAlignment="1">
      <alignment horizontal="center" vertical="center" wrapText="1"/>
    </xf>
    <xf numFmtId="49" fontId="9" fillId="0" borderId="38" xfId="2" applyNumberFormat="1" applyFont="1" applyBorder="1" applyAlignment="1">
      <alignment horizontal="center" vertical="center" wrapText="1"/>
    </xf>
    <xf numFmtId="49" fontId="9" fillId="0" borderId="7" xfId="2" applyNumberFormat="1" applyFont="1" applyBorder="1" applyAlignment="1">
      <alignment horizontal="center" vertical="center" wrapText="1"/>
    </xf>
    <xf numFmtId="49" fontId="9" fillId="0" borderId="13" xfId="2" applyNumberFormat="1" applyFont="1" applyBorder="1" applyAlignment="1">
      <alignment horizontal="center" vertical="center" wrapText="1"/>
    </xf>
    <xf numFmtId="49" fontId="9" fillId="0" borderId="38" xfId="2" applyNumberFormat="1" applyFont="1" applyBorder="1" applyAlignment="1">
      <alignment horizontal="center" vertical="center"/>
    </xf>
    <xf numFmtId="49" fontId="9" fillId="0" borderId="7" xfId="2" applyNumberFormat="1" applyFont="1" applyBorder="1" applyAlignment="1">
      <alignment horizontal="center" vertical="center"/>
    </xf>
    <xf numFmtId="49" fontId="9" fillId="0" borderId="13" xfId="2" applyNumberFormat="1" applyFont="1" applyBorder="1" applyAlignment="1">
      <alignment horizontal="center" vertical="center"/>
    </xf>
    <xf numFmtId="0" fontId="60" fillId="0" borderId="5" xfId="0" applyFont="1" applyBorder="1" applyAlignment="1">
      <alignment horizontal="center" vertical="center" wrapText="1"/>
    </xf>
    <xf numFmtId="0" fontId="60" fillId="0" borderId="42" xfId="0" applyFont="1" applyBorder="1" applyAlignment="1">
      <alignment horizontal="center" vertical="center" wrapText="1"/>
    </xf>
    <xf numFmtId="0" fontId="60" fillId="0" borderId="41" xfId="0" applyFont="1" applyBorder="1" applyAlignment="1">
      <alignment horizontal="center" vertical="center" wrapText="1"/>
    </xf>
    <xf numFmtId="3" fontId="64" fillId="8" borderId="38" xfId="3" applyNumberFormat="1" applyFont="1" applyFill="1" applyBorder="1" applyAlignment="1">
      <alignment horizontal="left" vertical="top" wrapText="1"/>
    </xf>
    <xf numFmtId="3" fontId="64" fillId="8" borderId="7" xfId="3" applyNumberFormat="1" applyFont="1" applyFill="1" applyBorder="1" applyAlignment="1">
      <alignment horizontal="left" vertical="top" wrapText="1"/>
    </xf>
    <xf numFmtId="3" fontId="64" fillId="8" borderId="13" xfId="3" applyNumberFormat="1" applyFont="1" applyFill="1" applyBorder="1" applyAlignment="1">
      <alignment horizontal="left" vertical="top" wrapText="1"/>
    </xf>
    <xf numFmtId="3" fontId="30" fillId="0" borderId="38" xfId="3" applyNumberFormat="1" applyFont="1" applyFill="1" applyBorder="1" applyAlignment="1">
      <alignment horizontal="left" vertical="top" wrapText="1"/>
    </xf>
    <xf numFmtId="3" fontId="30" fillId="0" borderId="7" xfId="3" applyNumberFormat="1" applyFont="1" applyFill="1" applyBorder="1" applyAlignment="1">
      <alignment horizontal="left" vertical="top" wrapText="1"/>
    </xf>
    <xf numFmtId="3" fontId="30" fillId="0" borderId="13" xfId="3" applyNumberFormat="1" applyFont="1" applyFill="1" applyBorder="1" applyAlignment="1">
      <alignment horizontal="left" vertical="top" wrapText="1"/>
    </xf>
    <xf numFmtId="3" fontId="30" fillId="0" borderId="5" xfId="3" applyNumberFormat="1" applyFont="1" applyFill="1" applyBorder="1" applyAlignment="1">
      <alignment horizontal="left" vertical="top" wrapText="1"/>
    </xf>
    <xf numFmtId="3" fontId="30" fillId="0" borderId="42" xfId="3" applyNumberFormat="1" applyFont="1" applyFill="1" applyBorder="1" applyAlignment="1">
      <alignment horizontal="left" vertical="top" wrapText="1"/>
    </xf>
    <xf numFmtId="3" fontId="30" fillId="0" borderId="41" xfId="3" applyNumberFormat="1" applyFont="1" applyFill="1" applyBorder="1" applyAlignment="1">
      <alignment horizontal="left" vertical="top" wrapText="1"/>
    </xf>
    <xf numFmtId="165" fontId="30" fillId="21" borderId="38" xfId="3" applyNumberFormat="1" applyFont="1" applyFill="1" applyBorder="1" applyAlignment="1">
      <alignment horizontal="left" vertical="top" wrapText="1"/>
    </xf>
    <xf numFmtId="165" fontId="30" fillId="21" borderId="7" xfId="3" applyNumberFormat="1" applyFont="1" applyFill="1" applyBorder="1" applyAlignment="1">
      <alignment horizontal="left" vertical="top" wrapText="1"/>
    </xf>
    <xf numFmtId="165" fontId="30" fillId="21" borderId="13" xfId="3" applyNumberFormat="1" applyFont="1" applyFill="1" applyBorder="1" applyAlignment="1">
      <alignment horizontal="left" vertical="top" wrapText="1"/>
    </xf>
    <xf numFmtId="165" fontId="30" fillId="0" borderId="38" xfId="3" applyNumberFormat="1" applyFont="1" applyBorder="1" applyAlignment="1">
      <alignment horizontal="left" vertical="top" wrapText="1"/>
    </xf>
    <xf numFmtId="165" fontId="30" fillId="0" borderId="7" xfId="3" applyNumberFormat="1" applyFont="1" applyBorder="1" applyAlignment="1">
      <alignment horizontal="left" vertical="top" wrapText="1"/>
    </xf>
    <xf numFmtId="165" fontId="30" fillId="0" borderId="13" xfId="3" applyNumberFormat="1" applyFont="1" applyBorder="1" applyAlignment="1">
      <alignment horizontal="left" vertical="top" wrapText="1"/>
    </xf>
    <xf numFmtId="166" fontId="30" fillId="0" borderId="38" xfId="3" applyNumberFormat="1" applyFont="1" applyBorder="1" applyAlignment="1">
      <alignment horizontal="center" wrapText="1"/>
    </xf>
    <xf numFmtId="166" fontId="30" fillId="0" borderId="7" xfId="3" applyNumberFormat="1" applyFont="1" applyBorder="1" applyAlignment="1">
      <alignment horizontal="center"/>
    </xf>
    <xf numFmtId="166" fontId="30" fillId="0" borderId="13" xfId="3" applyNumberFormat="1" applyFont="1" applyBorder="1" applyAlignment="1">
      <alignment horizontal="center"/>
    </xf>
    <xf numFmtId="166" fontId="4" fillId="21" borderId="38" xfId="3" applyNumberFormat="1" applyFont="1" applyFill="1" applyBorder="1" applyAlignment="1">
      <alignment horizontal="left" vertical="top" wrapText="1"/>
    </xf>
    <xf numFmtId="166" fontId="4" fillId="21" borderId="7" xfId="3" applyNumberFormat="1" applyFont="1" applyFill="1" applyBorder="1" applyAlignment="1">
      <alignment horizontal="left" vertical="top" wrapText="1"/>
    </xf>
    <xf numFmtId="166" fontId="4" fillId="21" borderId="13" xfId="3" applyNumberFormat="1" applyFont="1" applyFill="1" applyBorder="1" applyAlignment="1">
      <alignment horizontal="left" vertical="top" wrapText="1"/>
    </xf>
    <xf numFmtId="166" fontId="4" fillId="0" borderId="38" xfId="3" applyNumberFormat="1" applyFont="1" applyBorder="1" applyAlignment="1">
      <alignment horizontal="left" vertical="top" wrapText="1"/>
    </xf>
    <xf numFmtId="166" fontId="4" fillId="0" borderId="7" xfId="3" applyNumberFormat="1" applyFont="1" applyBorder="1" applyAlignment="1">
      <alignment horizontal="left" vertical="top" wrapText="1"/>
    </xf>
    <xf numFmtId="166" fontId="4" fillId="0" borderId="13" xfId="3" applyNumberFormat="1" applyFont="1" applyBorder="1" applyAlignment="1">
      <alignment horizontal="left" vertical="top" wrapText="1"/>
    </xf>
    <xf numFmtId="165" fontId="9" fillId="0" borderId="38" xfId="3" applyNumberFormat="1" applyFont="1" applyBorder="1" applyAlignment="1">
      <alignment horizontal="left" wrapText="1"/>
    </xf>
    <xf numFmtId="165" fontId="9" fillId="0" borderId="7" xfId="3" applyNumberFormat="1" applyFont="1" applyBorder="1" applyAlignment="1">
      <alignment horizontal="left" wrapText="1"/>
    </xf>
    <xf numFmtId="165" fontId="9" fillId="0" borderId="13" xfId="3" applyNumberFormat="1" applyFont="1" applyBorder="1" applyAlignment="1">
      <alignment horizontal="left" wrapText="1"/>
    </xf>
    <xf numFmtId="165" fontId="9" fillId="0" borderId="38" xfId="3" applyNumberFormat="1" applyFont="1" applyBorder="1" applyAlignment="1">
      <alignment horizontal="left" vertical="top" wrapText="1"/>
    </xf>
    <xf numFmtId="165" fontId="9" fillId="0" borderId="7" xfId="3" applyNumberFormat="1" applyFont="1" applyBorder="1" applyAlignment="1">
      <alignment horizontal="left" vertical="top" wrapText="1"/>
    </xf>
    <xf numFmtId="165" fontId="9" fillId="0" borderId="13" xfId="3" applyNumberFormat="1" applyFont="1" applyBorder="1" applyAlignment="1">
      <alignment horizontal="left" vertical="top" wrapText="1"/>
    </xf>
    <xf numFmtId="0" fontId="60" fillId="0" borderId="4" xfId="0" applyFont="1" applyBorder="1" applyAlignment="1">
      <alignment horizontal="center" vertical="center" wrapText="1"/>
    </xf>
    <xf numFmtId="0" fontId="60" fillId="0" borderId="0" xfId="0" applyFont="1" applyAlignment="1">
      <alignment horizontal="center" vertical="center" wrapText="1"/>
    </xf>
    <xf numFmtId="0" fontId="60" fillId="0" borderId="47" xfId="0" applyFont="1" applyBorder="1" applyAlignment="1">
      <alignment horizontal="center" vertical="center" wrapText="1"/>
    </xf>
    <xf numFmtId="166" fontId="4" fillId="0" borderId="38" xfId="3" applyNumberFormat="1" applyFont="1" applyBorder="1" applyAlignment="1">
      <alignment horizontal="left" vertical="center" wrapText="1"/>
    </xf>
    <xf numFmtId="166" fontId="4" fillId="0" borderId="7" xfId="3" applyNumberFormat="1" applyFont="1" applyBorder="1" applyAlignment="1">
      <alignment horizontal="left" vertical="center" wrapText="1"/>
    </xf>
    <xf numFmtId="166" fontId="4" fillId="0" borderId="13" xfId="3" applyNumberFormat="1" applyFont="1" applyBorder="1" applyAlignment="1">
      <alignment horizontal="left" vertical="center" wrapText="1"/>
    </xf>
    <xf numFmtId="165" fontId="9" fillId="21" borderId="38" xfId="3" applyNumberFormat="1" applyFont="1" applyFill="1" applyBorder="1" applyAlignment="1">
      <alignment horizontal="left" vertical="top" wrapText="1"/>
    </xf>
    <xf numFmtId="165" fontId="9" fillId="21" borderId="7" xfId="3" applyNumberFormat="1" applyFont="1" applyFill="1" applyBorder="1" applyAlignment="1">
      <alignment horizontal="left" vertical="top" wrapText="1"/>
    </xf>
    <xf numFmtId="165" fontId="9" fillId="21" borderId="13" xfId="3" applyNumberFormat="1" applyFont="1" applyFill="1" applyBorder="1" applyAlignment="1">
      <alignment horizontal="left" vertical="top" wrapText="1"/>
    </xf>
    <xf numFmtId="166" fontId="30" fillId="0" borderId="38" xfId="3" applyNumberFormat="1" applyFont="1" applyBorder="1" applyAlignment="1">
      <alignment horizontal="left" vertical="top" wrapText="1"/>
    </xf>
    <xf numFmtId="166" fontId="30" fillId="0" borderId="7" xfId="3" applyNumberFormat="1" applyFont="1" applyBorder="1" applyAlignment="1">
      <alignment horizontal="left" vertical="top" wrapText="1"/>
    </xf>
    <xf numFmtId="166" fontId="30" fillId="0" borderId="13" xfId="3" applyNumberFormat="1" applyFont="1" applyBorder="1" applyAlignment="1">
      <alignment horizontal="left" vertical="top" wrapText="1"/>
    </xf>
    <xf numFmtId="166" fontId="9" fillId="0" borderId="38" xfId="3" applyNumberFormat="1" applyFont="1" applyBorder="1" applyAlignment="1">
      <alignment horizontal="left" vertical="top" wrapText="1"/>
    </xf>
    <xf numFmtId="166" fontId="9" fillId="0" borderId="7" xfId="3" applyNumberFormat="1" applyFont="1" applyBorder="1" applyAlignment="1">
      <alignment horizontal="left" vertical="top" wrapText="1"/>
    </xf>
    <xf numFmtId="166" fontId="9" fillId="0" borderId="13" xfId="3" applyNumberFormat="1" applyFont="1" applyBorder="1" applyAlignment="1">
      <alignment horizontal="left" vertical="top" wrapText="1"/>
    </xf>
    <xf numFmtId="166" fontId="30" fillId="21" borderId="38" xfId="3" applyNumberFormat="1" applyFont="1" applyFill="1" applyBorder="1" applyAlignment="1">
      <alignment horizontal="left" vertical="top" wrapText="1"/>
    </xf>
    <xf numFmtId="166" fontId="30" fillId="21" borderId="7" xfId="3" applyNumberFormat="1" applyFont="1" applyFill="1" applyBorder="1" applyAlignment="1">
      <alignment horizontal="left" vertical="top" wrapText="1"/>
    </xf>
    <xf numFmtId="166" fontId="30" fillId="21" borderId="13" xfId="3" applyNumberFormat="1" applyFont="1" applyFill="1" applyBorder="1" applyAlignment="1">
      <alignment horizontal="left" vertical="top" wrapText="1"/>
    </xf>
    <xf numFmtId="166" fontId="10" fillId="8" borderId="38" xfId="3" applyNumberFormat="1" applyFont="1" applyFill="1" applyBorder="1" applyAlignment="1">
      <alignment horizontal="left" vertical="top" wrapText="1"/>
    </xf>
    <xf numFmtId="166" fontId="10" fillId="8" borderId="7" xfId="3" applyNumberFormat="1" applyFont="1" applyFill="1" applyBorder="1" applyAlignment="1">
      <alignment horizontal="left" vertical="top" wrapText="1"/>
    </xf>
    <xf numFmtId="166" fontId="10" fillId="8" borderId="13" xfId="3" applyNumberFormat="1" applyFont="1" applyFill="1" applyBorder="1" applyAlignment="1">
      <alignment horizontal="left" vertical="top" wrapText="1"/>
    </xf>
    <xf numFmtId="165" fontId="9" fillId="8" borderId="76" xfId="3" applyNumberFormat="1" applyFont="1" applyFill="1" applyBorder="1" applyAlignment="1">
      <alignment horizontal="left" vertical="top" wrapText="1"/>
    </xf>
    <xf numFmtId="165" fontId="9" fillId="8" borderId="77" xfId="3" applyNumberFormat="1" applyFont="1" applyFill="1" applyBorder="1" applyAlignment="1">
      <alignment horizontal="left" vertical="top" wrapText="1"/>
    </xf>
    <xf numFmtId="165" fontId="9" fillId="8" borderId="78" xfId="3" applyNumberFormat="1" applyFont="1" applyFill="1" applyBorder="1" applyAlignment="1">
      <alignment horizontal="left" vertical="top" wrapText="1"/>
    </xf>
    <xf numFmtId="3" fontId="9" fillId="0" borderId="61" xfId="2" applyNumberFormat="1" applyFont="1" applyBorder="1" applyAlignment="1">
      <alignment horizontal="left" vertical="top" wrapText="1"/>
    </xf>
    <xf numFmtId="3" fontId="9" fillId="0" borderId="60" xfId="2" applyNumberFormat="1" applyFont="1" applyBorder="1" applyAlignment="1">
      <alignment horizontal="left" vertical="top" wrapText="1"/>
    </xf>
    <xf numFmtId="3" fontId="9" fillId="0" borderId="46" xfId="2" applyNumberFormat="1" applyFont="1" applyBorder="1" applyAlignment="1">
      <alignment horizontal="left" vertical="top" wrapText="1"/>
    </xf>
    <xf numFmtId="1" fontId="22" fillId="0" borderId="61" xfId="2" applyNumberFormat="1" applyFont="1" applyBorder="1" applyAlignment="1">
      <alignment horizontal="center" vertical="top" wrapText="1"/>
    </xf>
    <xf numFmtId="1" fontId="22" fillId="0" borderId="60" xfId="2" applyNumberFormat="1" applyFont="1" applyBorder="1" applyAlignment="1">
      <alignment horizontal="center" vertical="top" wrapText="1"/>
    </xf>
    <xf numFmtId="1" fontId="22" fillId="0" borderId="46" xfId="2" applyNumberFormat="1" applyFont="1" applyBorder="1" applyAlignment="1">
      <alignment horizontal="center" vertical="top" wrapText="1"/>
    </xf>
    <xf numFmtId="3" fontId="9" fillId="0" borderId="38" xfId="2" applyNumberFormat="1" applyFont="1" applyFill="1" applyBorder="1" applyAlignment="1">
      <alignment horizontal="center" vertical="center"/>
    </xf>
    <xf numFmtId="3" fontId="9" fillId="0" borderId="7" xfId="2" applyNumberFormat="1" applyFont="1" applyFill="1" applyBorder="1" applyAlignment="1">
      <alignment horizontal="center" vertical="center"/>
    </xf>
    <xf numFmtId="3" fontId="9" fillId="0" borderId="13" xfId="2" applyNumberFormat="1" applyFont="1" applyFill="1" applyBorder="1" applyAlignment="1">
      <alignment horizontal="center" vertical="center"/>
    </xf>
    <xf numFmtId="3" fontId="9" fillId="0" borderId="38" xfId="2" applyNumberFormat="1" applyFont="1" applyFill="1" applyBorder="1" applyAlignment="1">
      <alignment horizontal="left" vertical="top" wrapText="1"/>
    </xf>
    <xf numFmtId="3" fontId="9" fillId="0" borderId="7" xfId="2" applyNumberFormat="1" applyFont="1" applyFill="1" applyBorder="1" applyAlignment="1">
      <alignment horizontal="left" vertical="top" wrapText="1"/>
    </xf>
    <xf numFmtId="3" fontId="9" fillId="0" borderId="13" xfId="2" applyNumberFormat="1" applyFont="1" applyFill="1" applyBorder="1" applyAlignment="1">
      <alignment horizontal="left" vertical="top" wrapText="1"/>
    </xf>
    <xf numFmtId="49" fontId="9" fillId="0" borderId="38" xfId="2" applyNumberFormat="1" applyFont="1" applyFill="1" applyBorder="1" applyAlignment="1">
      <alignment horizontal="center" vertical="center" wrapText="1"/>
    </xf>
    <xf numFmtId="49" fontId="9" fillId="0" borderId="7" xfId="2" applyNumberFormat="1" applyFont="1" applyFill="1" applyBorder="1" applyAlignment="1">
      <alignment horizontal="center" vertical="center" wrapText="1"/>
    </xf>
    <xf numFmtId="49" fontId="9" fillId="0" borderId="13" xfId="2" applyNumberFormat="1" applyFont="1" applyFill="1" applyBorder="1" applyAlignment="1">
      <alignment horizontal="center" vertical="center" wrapText="1"/>
    </xf>
    <xf numFmtId="0" fontId="10" fillId="0" borderId="38" xfId="1" applyNumberFormat="1" applyFont="1" applyFill="1" applyBorder="1" applyAlignment="1">
      <alignment horizontal="left" vertical="center" wrapText="1"/>
    </xf>
    <xf numFmtId="0" fontId="9" fillId="0" borderId="7" xfId="1" applyNumberFormat="1" applyFont="1" applyFill="1" applyBorder="1" applyAlignment="1">
      <alignment horizontal="left" vertical="center" wrapText="1"/>
    </xf>
    <xf numFmtId="0" fontId="9" fillId="0" borderId="13" xfId="1" applyNumberFormat="1" applyFont="1" applyFill="1" applyBorder="1" applyAlignment="1">
      <alignment horizontal="left" vertical="center" wrapText="1"/>
    </xf>
    <xf numFmtId="0" fontId="15" fillId="9" borderId="3" xfId="0" applyFont="1" applyFill="1" applyBorder="1" applyAlignment="1">
      <alignment horizontal="center" vertical="center"/>
    </xf>
    <xf numFmtId="0" fontId="15" fillId="9" borderId="5" xfId="0" applyFont="1" applyFill="1" applyBorder="1" applyAlignment="1">
      <alignment horizontal="center" vertical="center"/>
    </xf>
    <xf numFmtId="0" fontId="15" fillId="9" borderId="9" xfId="0" applyFont="1" applyFill="1" applyBorder="1" applyAlignment="1">
      <alignment horizontal="center" vertical="center"/>
    </xf>
    <xf numFmtId="0" fontId="15" fillId="9" borderId="42" xfId="0" applyFont="1" applyFill="1" applyBorder="1" applyAlignment="1">
      <alignment horizontal="center" vertical="center"/>
    </xf>
    <xf numFmtId="0" fontId="15" fillId="9" borderId="15" xfId="0" applyFont="1" applyFill="1" applyBorder="1" applyAlignment="1">
      <alignment horizontal="center" vertical="center"/>
    </xf>
    <xf numFmtId="0" fontId="15" fillId="9" borderId="41" xfId="0" applyFont="1" applyFill="1" applyBorder="1" applyAlignment="1">
      <alignment horizontal="center" vertical="center"/>
    </xf>
    <xf numFmtId="1" fontId="22" fillId="0" borderId="38" xfId="2" applyNumberFormat="1" applyFont="1" applyFill="1" applyBorder="1" applyAlignment="1">
      <alignment horizontal="center" wrapText="1"/>
    </xf>
    <xf numFmtId="1" fontId="22" fillId="0" borderId="7" xfId="2" applyNumberFormat="1" applyFont="1" applyFill="1" applyBorder="1" applyAlignment="1">
      <alignment horizontal="center" wrapText="1"/>
    </xf>
    <xf numFmtId="1" fontId="22" fillId="0" borderId="13" xfId="2" applyNumberFormat="1" applyFont="1" applyFill="1" applyBorder="1" applyAlignment="1">
      <alignment horizontal="center" wrapText="1"/>
    </xf>
    <xf numFmtId="1" fontId="9" fillId="0" borderId="38" xfId="2" applyNumberFormat="1" applyFont="1" applyBorder="1" applyAlignment="1">
      <alignment horizontal="center" vertical="center" wrapText="1"/>
    </xf>
    <xf numFmtId="1" fontId="7" fillId="0" borderId="7" xfId="2" applyNumberFormat="1" applyFont="1" applyBorder="1" applyAlignment="1">
      <alignment horizontal="center" vertical="center" wrapText="1"/>
    </xf>
    <xf numFmtId="1" fontId="7" fillId="0" borderId="13" xfId="2" applyNumberFormat="1" applyFont="1" applyBorder="1" applyAlignment="1">
      <alignment horizontal="center" vertical="center" wrapText="1"/>
    </xf>
    <xf numFmtId="0" fontId="60" fillId="0" borderId="5" xfId="0" applyFont="1" applyBorder="1" applyAlignment="1">
      <alignment horizontal="center" vertical="top" wrapText="1"/>
    </xf>
    <xf numFmtId="0" fontId="60" fillId="0" borderId="42" xfId="0" applyFont="1" applyBorder="1" applyAlignment="1">
      <alignment horizontal="center" vertical="top" wrapText="1"/>
    </xf>
    <xf numFmtId="0" fontId="60" fillId="0" borderId="41" xfId="0" applyFont="1" applyBorder="1" applyAlignment="1">
      <alignment horizontal="center" vertical="top" wrapText="1"/>
    </xf>
    <xf numFmtId="166" fontId="30" fillId="0" borderId="38" xfId="3" applyNumberFormat="1" applyFont="1" applyFill="1" applyBorder="1" applyAlignment="1">
      <alignment horizontal="left" vertical="top" wrapText="1"/>
    </xf>
    <xf numFmtId="166" fontId="30" fillId="0" borderId="7" xfId="3" applyNumberFormat="1" applyFont="1" applyFill="1" applyBorder="1" applyAlignment="1">
      <alignment horizontal="left" vertical="top" wrapText="1"/>
    </xf>
    <xf numFmtId="166" fontId="30" fillId="0" borderId="13" xfId="3" applyNumberFormat="1" applyFont="1" applyFill="1" applyBorder="1" applyAlignment="1">
      <alignment horizontal="left" vertical="top" wrapText="1"/>
    </xf>
    <xf numFmtId="0" fontId="60" fillId="0" borderId="96" xfId="0" applyFont="1" applyBorder="1" applyAlignment="1">
      <alignment horizontal="center" vertical="top" wrapText="1"/>
    </xf>
    <xf numFmtId="0" fontId="60" fillId="0" borderId="97" xfId="0" applyFont="1" applyBorder="1" applyAlignment="1">
      <alignment horizontal="center" vertical="top" wrapText="1"/>
    </xf>
    <xf numFmtId="0" fontId="60" fillId="0" borderId="98" xfId="0" applyFont="1" applyBorder="1" applyAlignment="1">
      <alignment horizontal="center" vertical="top" wrapText="1"/>
    </xf>
    <xf numFmtId="3" fontId="9" fillId="0" borderId="61" xfId="2" applyNumberFormat="1" applyFont="1" applyBorder="1" applyAlignment="1">
      <alignment horizontal="center" vertical="top" wrapText="1"/>
    </xf>
    <xf numFmtId="3" fontId="9" fillId="0" borderId="60" xfId="2" applyNumberFormat="1" applyFont="1" applyBorder="1" applyAlignment="1">
      <alignment horizontal="center" vertical="top" wrapText="1"/>
    </xf>
    <xf numFmtId="3" fontId="9" fillId="0" borderId="46" xfId="2" applyNumberFormat="1" applyFont="1" applyBorder="1" applyAlignment="1">
      <alignment horizontal="center" vertical="top" wrapText="1"/>
    </xf>
    <xf numFmtId="3" fontId="28" fillId="0" borderId="38" xfId="2" applyNumberFormat="1" applyFont="1" applyBorder="1" applyAlignment="1">
      <alignment horizontal="left" vertical="center" wrapText="1"/>
    </xf>
    <xf numFmtId="3" fontId="9" fillId="0" borderId="7" xfId="2" applyNumberFormat="1" applyFont="1" applyBorder="1" applyAlignment="1">
      <alignment horizontal="left" vertical="center" wrapText="1"/>
    </xf>
    <xf numFmtId="3" fontId="9" fillId="0" borderId="13" xfId="2" applyNumberFormat="1" applyFont="1" applyBorder="1" applyAlignment="1">
      <alignment horizontal="left" vertical="center" wrapText="1"/>
    </xf>
    <xf numFmtId="0" fontId="9" fillId="0" borderId="38" xfId="1" applyNumberFormat="1" applyFont="1" applyFill="1" applyBorder="1" applyAlignment="1">
      <alignment horizontal="left" vertical="center" wrapText="1"/>
    </xf>
    <xf numFmtId="0" fontId="17" fillId="7" borderId="1" xfId="0" applyFont="1" applyFill="1" applyBorder="1" applyAlignment="1">
      <alignment horizontal="center"/>
    </xf>
    <xf numFmtId="0" fontId="17" fillId="7" borderId="2" xfId="0" applyFont="1" applyFill="1" applyBorder="1" applyAlignment="1">
      <alignment horizontal="center"/>
    </xf>
    <xf numFmtId="49" fontId="9" fillId="0" borderId="38" xfId="2" applyNumberFormat="1" applyFont="1" applyBorder="1" applyAlignment="1">
      <alignment horizontal="left" vertical="center" wrapText="1"/>
    </xf>
    <xf numFmtId="49" fontId="9" fillId="0" borderId="7" xfId="2" applyNumberFormat="1" applyFont="1" applyBorder="1" applyAlignment="1">
      <alignment horizontal="left" vertical="center" wrapText="1"/>
    </xf>
    <xf numFmtId="49" fontId="9" fillId="0" borderId="13" xfId="2" applyNumberFormat="1" applyFont="1" applyBorder="1" applyAlignment="1">
      <alignment horizontal="left" vertical="center" wrapText="1"/>
    </xf>
    <xf numFmtId="49" fontId="26" fillId="0" borderId="38" xfId="2" applyNumberFormat="1" applyFont="1" applyFill="1" applyBorder="1" applyAlignment="1">
      <alignment horizontal="center" vertical="center"/>
    </xf>
    <xf numFmtId="49" fontId="26" fillId="0" borderId="7" xfId="2" applyNumberFormat="1" applyFont="1" applyFill="1" applyBorder="1" applyAlignment="1">
      <alignment horizontal="center" vertical="center"/>
    </xf>
    <xf numFmtId="49" fontId="26" fillId="0" borderId="13" xfId="2" applyNumberFormat="1" applyFont="1" applyFill="1" applyBorder="1" applyAlignment="1">
      <alignment horizontal="center" vertical="center"/>
    </xf>
    <xf numFmtId="3" fontId="26" fillId="0" borderId="38" xfId="2" applyNumberFormat="1" applyFont="1" applyFill="1" applyBorder="1" applyAlignment="1">
      <alignment horizontal="center" vertical="center"/>
    </xf>
    <xf numFmtId="3" fontId="26" fillId="0" borderId="7" xfId="2" applyNumberFormat="1" applyFont="1" applyFill="1" applyBorder="1" applyAlignment="1">
      <alignment horizontal="center" vertical="center"/>
    </xf>
    <xf numFmtId="3" fontId="26" fillId="0" borderId="13" xfId="2" applyNumberFormat="1" applyFont="1" applyFill="1" applyBorder="1" applyAlignment="1">
      <alignment horizontal="center" vertical="center"/>
    </xf>
    <xf numFmtId="49" fontId="26" fillId="0" borderId="38" xfId="2" applyNumberFormat="1" applyFont="1" applyBorder="1" applyAlignment="1">
      <alignment horizontal="center" vertical="center"/>
    </xf>
    <xf numFmtId="49" fontId="26" fillId="0" borderId="7" xfId="2" applyNumberFormat="1" applyFont="1" applyBorder="1" applyAlignment="1">
      <alignment horizontal="center" vertical="center"/>
    </xf>
    <xf numFmtId="49" fontId="26" fillId="0" borderId="13" xfId="2" applyNumberFormat="1" applyFont="1" applyBorder="1" applyAlignment="1">
      <alignment horizontal="center" vertical="center"/>
    </xf>
    <xf numFmtId="3" fontId="26" fillId="8" borderId="38" xfId="2" applyNumberFormat="1" applyFont="1" applyFill="1" applyBorder="1" applyAlignment="1">
      <alignment horizontal="center" vertical="center"/>
    </xf>
    <xf numFmtId="3" fontId="26" fillId="8" borderId="7" xfId="2" applyNumberFormat="1" applyFont="1" applyFill="1" applyBorder="1" applyAlignment="1">
      <alignment horizontal="center" vertical="center"/>
    </xf>
    <xf numFmtId="3" fontId="26" fillId="8" borderId="13" xfId="2" applyNumberFormat="1" applyFont="1" applyFill="1" applyBorder="1" applyAlignment="1">
      <alignment horizontal="center" vertical="center"/>
    </xf>
    <xf numFmtId="165" fontId="4" fillId="0" borderId="38" xfId="3" applyNumberFormat="1" applyFont="1" applyFill="1" applyBorder="1" applyAlignment="1">
      <alignment horizontal="left" vertical="top" wrapText="1"/>
    </xf>
    <xf numFmtId="165" fontId="4" fillId="0" borderId="7" xfId="3" applyNumberFormat="1" applyFont="1" applyFill="1" applyBorder="1" applyAlignment="1">
      <alignment horizontal="left" vertical="top" wrapText="1"/>
    </xf>
    <xf numFmtId="165" fontId="4" fillId="0" borderId="13" xfId="3" applyNumberFormat="1" applyFont="1" applyFill="1" applyBorder="1" applyAlignment="1">
      <alignment horizontal="left" vertical="top" wrapText="1"/>
    </xf>
    <xf numFmtId="165" fontId="4" fillId="0" borderId="7" xfId="3" applyNumberFormat="1" applyFont="1" applyFill="1" applyBorder="1" applyAlignment="1">
      <alignment horizontal="left" vertical="top"/>
    </xf>
    <xf numFmtId="165" fontId="4" fillId="0" borderId="13" xfId="3" applyNumberFormat="1" applyFont="1" applyFill="1" applyBorder="1" applyAlignment="1">
      <alignment horizontal="left" vertical="top"/>
    </xf>
    <xf numFmtId="165" fontId="9" fillId="0" borderId="3" xfId="0" applyNumberFormat="1" applyFont="1" applyFill="1" applyBorder="1" applyAlignment="1">
      <alignment horizontal="center" vertical="center"/>
    </xf>
    <xf numFmtId="165" fontId="9" fillId="0" borderId="9" xfId="0" applyNumberFormat="1" applyFont="1" applyFill="1" applyBorder="1" applyAlignment="1">
      <alignment horizontal="center" vertical="center"/>
    </xf>
    <xf numFmtId="165" fontId="9" fillId="0" borderId="15" xfId="0" applyNumberFormat="1" applyFont="1" applyFill="1" applyBorder="1" applyAlignment="1">
      <alignment horizontal="center" vertical="center"/>
    </xf>
    <xf numFmtId="166" fontId="9" fillId="0" borderId="38" xfId="0" applyNumberFormat="1" applyFont="1" applyFill="1" applyBorder="1" applyAlignment="1">
      <alignment horizontal="center" vertical="center"/>
    </xf>
    <xf numFmtId="166" fontId="9" fillId="0" borderId="7" xfId="0" applyNumberFormat="1" applyFont="1" applyFill="1" applyBorder="1" applyAlignment="1">
      <alignment horizontal="center" vertical="center"/>
    </xf>
    <xf numFmtId="166" fontId="9" fillId="0" borderId="13" xfId="0" applyNumberFormat="1" applyFont="1" applyFill="1" applyBorder="1" applyAlignment="1">
      <alignment horizontal="center" vertical="center"/>
    </xf>
    <xf numFmtId="0" fontId="10" fillId="0" borderId="38" xfId="1" applyNumberFormat="1" applyFont="1" applyFill="1" applyBorder="1" applyAlignment="1">
      <alignment horizontal="center" vertical="center" wrapText="1"/>
    </xf>
    <xf numFmtId="0" fontId="10" fillId="0" borderId="7" xfId="1" applyNumberFormat="1" applyFont="1" applyFill="1" applyBorder="1" applyAlignment="1">
      <alignment horizontal="center" vertical="center" wrapText="1"/>
    </xf>
    <xf numFmtId="0" fontId="10" fillId="0" borderId="13" xfId="1" applyNumberFormat="1" applyFont="1" applyFill="1" applyBorder="1" applyAlignment="1">
      <alignment horizontal="center" vertical="center" wrapText="1"/>
    </xf>
    <xf numFmtId="166" fontId="9" fillId="0" borderId="38"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166" fontId="9" fillId="0" borderId="13" xfId="0" applyNumberFormat="1" applyFont="1" applyBorder="1" applyAlignment="1">
      <alignment horizontal="center" vertical="center" wrapText="1"/>
    </xf>
    <xf numFmtId="49" fontId="9" fillId="0" borderId="38" xfId="2" applyNumberFormat="1" applyFont="1" applyFill="1" applyBorder="1" applyAlignment="1">
      <alignment horizontal="center" vertical="top" wrapText="1"/>
    </xf>
    <xf numFmtId="49" fontId="9" fillId="0" borderId="7" xfId="2" applyNumberFormat="1" applyFont="1" applyFill="1" applyBorder="1" applyAlignment="1">
      <alignment horizontal="center" vertical="top" wrapText="1"/>
    </xf>
    <xf numFmtId="49" fontId="9" fillId="0" borderId="13" xfId="2" applyNumberFormat="1" applyFont="1" applyFill="1" applyBorder="1" applyAlignment="1">
      <alignment horizontal="center" vertical="top" wrapText="1"/>
    </xf>
    <xf numFmtId="3" fontId="9" fillId="0" borderId="38" xfId="2" applyNumberFormat="1" applyFont="1" applyBorder="1" applyAlignment="1">
      <alignment horizontal="center" vertical="top" wrapText="1"/>
    </xf>
    <xf numFmtId="3" fontId="9" fillId="0" borderId="7" xfId="2" applyNumberFormat="1" applyFont="1" applyBorder="1" applyAlignment="1">
      <alignment horizontal="center" vertical="top" wrapText="1"/>
    </xf>
    <xf numFmtId="3" fontId="9" fillId="0" borderId="13" xfId="2" applyNumberFormat="1" applyFont="1" applyBorder="1" applyAlignment="1">
      <alignment horizontal="center" vertical="top" wrapText="1"/>
    </xf>
    <xf numFmtId="0" fontId="9" fillId="0" borderId="38" xfId="1" applyNumberFormat="1" applyFont="1" applyFill="1" applyBorder="1" applyAlignment="1">
      <alignment horizontal="center" vertical="center"/>
    </xf>
    <xf numFmtId="0" fontId="9" fillId="0" borderId="7" xfId="1" applyNumberFormat="1" applyFont="1" applyFill="1" applyBorder="1" applyAlignment="1">
      <alignment horizontal="center" vertical="center"/>
    </xf>
    <xf numFmtId="0" fontId="9" fillId="0" borderId="13" xfId="1" applyNumberFormat="1" applyFont="1" applyFill="1" applyBorder="1" applyAlignment="1">
      <alignment horizontal="center" vertical="center"/>
    </xf>
    <xf numFmtId="165" fontId="4" fillId="8" borderId="38" xfId="3" applyNumberFormat="1" applyFont="1" applyFill="1" applyBorder="1" applyAlignment="1">
      <alignment horizontal="left" vertical="top" wrapText="1"/>
    </xf>
    <xf numFmtId="165" fontId="4" fillId="8" borderId="7" xfId="3" applyNumberFormat="1" applyFont="1" applyFill="1" applyBorder="1" applyAlignment="1">
      <alignment horizontal="left" vertical="top" wrapText="1"/>
    </xf>
    <xf numFmtId="165" fontId="4" fillId="8" borderId="13" xfId="3" applyNumberFormat="1" applyFont="1" applyFill="1" applyBorder="1" applyAlignment="1">
      <alignment horizontal="left" vertical="top" wrapText="1"/>
    </xf>
    <xf numFmtId="166" fontId="30" fillId="8" borderId="38" xfId="3" applyNumberFormat="1" applyFont="1" applyFill="1" applyBorder="1" applyAlignment="1">
      <alignment horizontal="left" vertical="top" wrapText="1"/>
    </xf>
    <xf numFmtId="166" fontId="30" fillId="8" borderId="7" xfId="3" applyNumberFormat="1" applyFont="1" applyFill="1" applyBorder="1" applyAlignment="1">
      <alignment horizontal="left" vertical="top" wrapText="1"/>
    </xf>
    <xf numFmtId="166" fontId="30" fillId="8" borderId="13" xfId="3" applyNumberFormat="1" applyFont="1" applyFill="1" applyBorder="1" applyAlignment="1">
      <alignment horizontal="left" vertical="top" wrapText="1"/>
    </xf>
    <xf numFmtId="165" fontId="9" fillId="0" borderId="3" xfId="0" applyNumberFormat="1" applyFont="1" applyFill="1" applyBorder="1" applyAlignment="1">
      <alignment horizontal="left" vertical="center" wrapText="1"/>
    </xf>
    <xf numFmtId="165" fontId="9" fillId="0" borderId="9" xfId="0" applyNumberFormat="1" applyFont="1" applyFill="1" applyBorder="1" applyAlignment="1">
      <alignment horizontal="left" vertical="center" wrapText="1"/>
    </xf>
    <xf numFmtId="165" fontId="9" fillId="0" borderId="15" xfId="0" applyNumberFormat="1" applyFont="1" applyFill="1" applyBorder="1" applyAlignment="1">
      <alignment horizontal="left" vertical="center" wrapText="1"/>
    </xf>
    <xf numFmtId="3" fontId="9" fillId="0" borderId="38" xfId="2" applyNumberFormat="1" applyFont="1" applyBorder="1" applyAlignment="1">
      <alignment horizontal="left" vertical="center" wrapText="1"/>
    </xf>
    <xf numFmtId="0" fontId="61" fillId="0" borderId="3" xfId="0" applyFont="1" applyBorder="1" applyAlignment="1">
      <alignment horizontal="center" wrapText="1"/>
    </xf>
    <xf numFmtId="0" fontId="61" fillId="0" borderId="4" xfId="0" applyFont="1" applyBorder="1" applyAlignment="1">
      <alignment horizontal="center" wrapText="1"/>
    </xf>
    <xf numFmtId="0" fontId="61" fillId="0" borderId="5" xfId="0" applyFont="1" applyBorder="1" applyAlignment="1">
      <alignment horizontal="center" wrapText="1"/>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5" fillId="0" borderId="7" xfId="2" applyFont="1" applyBorder="1" applyAlignment="1">
      <alignment horizontal="center" wrapText="1"/>
    </xf>
    <xf numFmtId="0" fontId="5" fillId="0" borderId="13" xfId="2" applyFont="1" applyBorder="1" applyAlignment="1">
      <alignment horizontal="center" wrapText="1"/>
    </xf>
    <xf numFmtId="0" fontId="5" fillId="0" borderId="7" xfId="2" applyFont="1" applyBorder="1" applyAlignment="1">
      <alignment horizontal="center" vertical="center"/>
    </xf>
    <xf numFmtId="0" fontId="5" fillId="0" borderId="13" xfId="2" applyFont="1" applyBorder="1" applyAlignment="1">
      <alignment horizontal="center" vertical="center"/>
    </xf>
    <xf numFmtId="0" fontId="5" fillId="0" borderId="9" xfId="2" applyFont="1" applyBorder="1" applyAlignment="1">
      <alignment horizontal="center" vertical="top" wrapText="1"/>
    </xf>
    <xf numFmtId="0" fontId="5" fillId="0" borderId="15" xfId="2" applyFont="1" applyBorder="1" applyAlignment="1">
      <alignment horizontal="center" vertical="top"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3" fontId="3" fillId="0" borderId="11"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0" fillId="0" borderId="10" xfId="0" applyNumberFormat="1" applyFont="1" applyBorder="1" applyAlignment="1">
      <alignment horizontal="center" vertical="center"/>
    </xf>
    <xf numFmtId="3" fontId="0" fillId="0" borderId="16" xfId="0" applyNumberFormat="1" applyFont="1" applyBorder="1" applyAlignment="1">
      <alignment horizontal="center" vertical="center"/>
    </xf>
    <xf numFmtId="3" fontId="0" fillId="0" borderId="11" xfId="0" applyNumberFormat="1" applyFont="1" applyBorder="1" applyAlignment="1">
      <alignment horizontal="center" vertical="center"/>
    </xf>
    <xf numFmtId="3" fontId="0" fillId="0" borderId="17" xfId="0" applyNumberFormat="1" applyFont="1" applyBorder="1" applyAlignment="1">
      <alignment horizontal="center" vertical="center"/>
    </xf>
    <xf numFmtId="0" fontId="0" fillId="0" borderId="12" xfId="0" applyFont="1" applyBorder="1" applyAlignment="1">
      <alignment horizontal="center" vertical="center"/>
    </xf>
    <xf numFmtId="0" fontId="0" fillId="0" borderId="18" xfId="0" applyFont="1" applyBorder="1" applyAlignment="1">
      <alignment horizontal="center" vertical="center"/>
    </xf>
    <xf numFmtId="166" fontId="10" fillId="8" borderId="8" xfId="3" applyNumberFormat="1" applyFont="1" applyFill="1" applyBorder="1" applyAlignment="1">
      <alignment horizontal="left" vertical="top" wrapText="1"/>
    </xf>
    <xf numFmtId="166" fontId="10" fillId="8" borderId="26" xfId="3" applyNumberFormat="1" applyFont="1" applyFill="1" applyBorder="1" applyAlignment="1">
      <alignment horizontal="left" vertical="top" wrapText="1"/>
    </xf>
    <xf numFmtId="166" fontId="10" fillId="8" borderId="14" xfId="3" applyNumberFormat="1" applyFont="1" applyFill="1" applyBorder="1" applyAlignment="1">
      <alignment horizontal="left" vertical="top" wrapText="1"/>
    </xf>
    <xf numFmtId="166" fontId="9" fillId="8" borderId="73" xfId="3" applyNumberFormat="1" applyFont="1" applyFill="1" applyBorder="1" applyAlignment="1">
      <alignment horizontal="center" wrapText="1"/>
    </xf>
    <xf numFmtId="166" fontId="9" fillId="8" borderId="74" xfId="3" applyNumberFormat="1" applyFont="1" applyFill="1" applyBorder="1" applyAlignment="1">
      <alignment horizontal="center" wrapText="1"/>
    </xf>
    <xf numFmtId="166" fontId="9" fillId="8" borderId="75" xfId="3" applyNumberFormat="1" applyFont="1" applyFill="1" applyBorder="1" applyAlignment="1">
      <alignment horizontal="center" wrapText="1"/>
    </xf>
    <xf numFmtId="166" fontId="4" fillId="0" borderId="38" xfId="3" applyNumberFormat="1" applyFont="1" applyFill="1" applyBorder="1" applyAlignment="1">
      <alignment horizontal="left" vertical="top" wrapText="1"/>
    </xf>
    <xf numFmtId="166" fontId="4" fillId="0" borderId="7" xfId="3" applyNumberFormat="1" applyFont="1" applyFill="1" applyBorder="1" applyAlignment="1">
      <alignment horizontal="left" vertical="top" wrapText="1"/>
    </xf>
    <xf numFmtId="166" fontId="4" fillId="0" borderId="13" xfId="3" applyNumberFormat="1" applyFont="1" applyFill="1" applyBorder="1" applyAlignment="1">
      <alignment horizontal="left" vertical="top" wrapText="1"/>
    </xf>
    <xf numFmtId="166" fontId="30" fillId="8" borderId="73" xfId="3" applyNumberFormat="1" applyFont="1" applyFill="1" applyBorder="1" applyAlignment="1">
      <alignment horizontal="left" vertical="top" wrapText="1"/>
    </xf>
    <xf numFmtId="166" fontId="30" fillId="8" borderId="74" xfId="3" applyNumberFormat="1" applyFont="1" applyFill="1" applyBorder="1" applyAlignment="1">
      <alignment horizontal="left" vertical="top" wrapText="1"/>
    </xf>
    <xf numFmtId="166" fontId="30" fillId="8" borderId="75" xfId="3" applyNumberFormat="1" applyFont="1" applyFill="1" applyBorder="1" applyAlignment="1">
      <alignment horizontal="left" vertical="top" wrapText="1"/>
    </xf>
    <xf numFmtId="165" fontId="4" fillId="0" borderId="76" xfId="3" applyNumberFormat="1" applyFont="1" applyFill="1" applyBorder="1" applyAlignment="1">
      <alignment horizontal="left" vertical="top" wrapText="1"/>
    </xf>
    <xf numFmtId="165" fontId="4" fillId="0" borderId="77" xfId="3" applyNumberFormat="1" applyFont="1" applyFill="1" applyBorder="1" applyAlignment="1">
      <alignment horizontal="left" vertical="top" wrapText="1"/>
    </xf>
    <xf numFmtId="165" fontId="4" fillId="0" borderId="78" xfId="3" applyNumberFormat="1" applyFont="1" applyFill="1" applyBorder="1" applyAlignment="1">
      <alignment horizontal="left" vertical="top" wrapText="1"/>
    </xf>
    <xf numFmtId="165" fontId="30" fillId="8" borderId="76" xfId="3" applyNumberFormat="1" applyFont="1" applyFill="1" applyBorder="1" applyAlignment="1">
      <alignment horizontal="left" vertical="top" wrapText="1"/>
    </xf>
    <xf numFmtId="165" fontId="30" fillId="8" borderId="77" xfId="3" applyNumberFormat="1" applyFont="1" applyFill="1" applyBorder="1" applyAlignment="1">
      <alignment horizontal="left" vertical="top" wrapText="1"/>
    </xf>
    <xf numFmtId="165" fontId="30" fillId="8" borderId="78" xfId="3" applyNumberFormat="1" applyFont="1" applyFill="1" applyBorder="1" applyAlignment="1">
      <alignment horizontal="left" vertical="top" wrapText="1"/>
    </xf>
    <xf numFmtId="166" fontId="10" fillId="8" borderId="38" xfId="3" applyNumberFormat="1" applyFont="1" applyFill="1" applyBorder="1" applyAlignment="1">
      <alignment horizontal="center" vertical="center" wrapText="1"/>
    </xf>
    <xf numFmtId="166" fontId="10" fillId="8" borderId="7" xfId="3" applyNumberFormat="1" applyFont="1" applyFill="1" applyBorder="1" applyAlignment="1">
      <alignment horizontal="center" vertical="center" wrapText="1"/>
    </xf>
    <xf numFmtId="166" fontId="10" fillId="8" borderId="13" xfId="3" applyNumberFormat="1" applyFont="1" applyFill="1" applyBorder="1" applyAlignment="1">
      <alignment horizontal="center" vertical="center" wrapText="1"/>
    </xf>
    <xf numFmtId="165" fontId="9" fillId="8" borderId="38" xfId="3" applyNumberFormat="1" applyFont="1" applyFill="1" applyBorder="1" applyAlignment="1">
      <alignment horizontal="left" vertical="top" wrapText="1"/>
    </xf>
    <xf numFmtId="165" fontId="9" fillId="8" borderId="7" xfId="3" applyNumberFormat="1" applyFont="1" applyFill="1" applyBorder="1" applyAlignment="1">
      <alignment horizontal="left" vertical="top" wrapText="1"/>
    </xf>
    <xf numFmtId="165" fontId="9" fillId="8" borderId="13" xfId="3" applyNumberFormat="1" applyFont="1" applyFill="1" applyBorder="1" applyAlignment="1">
      <alignment horizontal="left" vertical="top" wrapText="1"/>
    </xf>
    <xf numFmtId="3" fontId="10" fillId="8" borderId="38" xfId="3" applyNumberFormat="1" applyFont="1" applyFill="1" applyBorder="1" applyAlignment="1">
      <alignment horizontal="center" wrapText="1"/>
    </xf>
    <xf numFmtId="3" fontId="10" fillId="8" borderId="7" xfId="3" applyNumberFormat="1" applyFont="1" applyFill="1" applyBorder="1" applyAlignment="1">
      <alignment horizontal="center" wrapText="1"/>
    </xf>
    <xf numFmtId="3" fontId="10" fillId="8" borderId="13" xfId="3" applyNumberFormat="1" applyFont="1" applyFill="1" applyBorder="1" applyAlignment="1">
      <alignment horizontal="center" wrapText="1"/>
    </xf>
    <xf numFmtId="166" fontId="10" fillId="8" borderId="36" xfId="3" applyNumberFormat="1" applyFont="1" applyFill="1" applyBorder="1" applyAlignment="1">
      <alignment horizontal="left" vertical="top" wrapText="1"/>
    </xf>
    <xf numFmtId="166" fontId="10" fillId="8" borderId="21" xfId="3" applyNumberFormat="1" applyFont="1" applyFill="1" applyBorder="1" applyAlignment="1">
      <alignment horizontal="left" vertical="top" wrapText="1"/>
    </xf>
    <xf numFmtId="1" fontId="22" fillId="0" borderId="61" xfId="2" applyNumberFormat="1" applyFont="1" applyBorder="1" applyAlignment="1">
      <alignment horizontal="center" wrapText="1"/>
    </xf>
    <xf numFmtId="1" fontId="22" fillId="0" borderId="60" xfId="2" applyNumberFormat="1" applyFont="1" applyBorder="1" applyAlignment="1">
      <alignment horizontal="center" wrapText="1"/>
    </xf>
    <xf numFmtId="1" fontId="22" fillId="0" borderId="46" xfId="2" applyNumberFormat="1" applyFont="1" applyBorder="1" applyAlignment="1">
      <alignment horizontal="center" wrapText="1"/>
    </xf>
    <xf numFmtId="165" fontId="4" fillId="0" borderId="5" xfId="3" applyNumberFormat="1" applyFont="1" applyFill="1" applyBorder="1" applyAlignment="1">
      <alignment horizontal="left" vertical="top" wrapText="1"/>
    </xf>
    <xf numFmtId="165" fontId="4" fillId="0" borderId="42" xfId="3" applyNumberFormat="1" applyFont="1" applyFill="1" applyBorder="1" applyAlignment="1">
      <alignment horizontal="left" vertical="top" wrapText="1"/>
    </xf>
    <xf numFmtId="165" fontId="4" fillId="0" borderId="41" xfId="3" applyNumberFormat="1" applyFont="1" applyFill="1" applyBorder="1" applyAlignment="1">
      <alignment horizontal="left" vertical="top" wrapText="1"/>
    </xf>
    <xf numFmtId="165" fontId="4" fillId="0" borderId="3" xfId="3" applyNumberFormat="1" applyFont="1" applyFill="1" applyBorder="1" applyAlignment="1">
      <alignment horizontal="left" vertical="top" wrapText="1"/>
    </xf>
    <xf numFmtId="165" fontId="4" fillId="0" borderId="9" xfId="3" applyNumberFormat="1" applyFont="1" applyFill="1" applyBorder="1" applyAlignment="1">
      <alignment horizontal="left" vertical="top" wrapText="1"/>
    </xf>
    <xf numFmtId="165" fontId="4" fillId="0" borderId="15" xfId="3" applyNumberFormat="1" applyFont="1" applyFill="1" applyBorder="1" applyAlignment="1">
      <alignment horizontal="left" vertical="top" wrapText="1"/>
    </xf>
    <xf numFmtId="3" fontId="9" fillId="0" borderId="3" xfId="2" applyNumberFormat="1" applyFont="1" applyBorder="1" applyAlignment="1">
      <alignment horizontal="left" vertical="top" wrapText="1"/>
    </xf>
    <xf numFmtId="3" fontId="9" fillId="0" borderId="9" xfId="2" applyNumberFormat="1" applyFont="1" applyBorder="1" applyAlignment="1">
      <alignment horizontal="left" vertical="top" wrapText="1"/>
    </xf>
    <xf numFmtId="3" fontId="9" fillId="0" borderId="15" xfId="2" applyNumberFormat="1" applyFont="1" applyBorder="1" applyAlignment="1">
      <alignment horizontal="left" vertical="top" wrapText="1"/>
    </xf>
    <xf numFmtId="1" fontId="22" fillId="0" borderId="61" xfId="2" applyNumberFormat="1" applyFont="1" applyBorder="1" applyAlignment="1">
      <alignment horizontal="center"/>
    </xf>
    <xf numFmtId="1" fontId="22" fillId="0" borderId="60" xfId="2" applyNumberFormat="1" applyFont="1" applyBorder="1" applyAlignment="1">
      <alignment horizontal="center"/>
    </xf>
    <xf numFmtId="1" fontId="22" fillId="0" borderId="46" xfId="2" applyNumberFormat="1" applyFont="1" applyBorder="1" applyAlignment="1">
      <alignment horizontal="center"/>
    </xf>
    <xf numFmtId="3" fontId="26" fillId="0" borderId="3" xfId="2" applyNumberFormat="1" applyFont="1" applyBorder="1" applyAlignment="1">
      <alignment horizontal="center" vertical="center" wrapText="1"/>
    </xf>
    <xf numFmtId="3" fontId="26" fillId="0" borderId="9" xfId="2" applyNumberFormat="1" applyFont="1" applyBorder="1" applyAlignment="1">
      <alignment horizontal="center" vertical="center" wrapText="1"/>
    </xf>
    <xf numFmtId="3" fontId="26" fillId="0" borderId="15" xfId="2" applyNumberFormat="1" applyFont="1" applyBorder="1" applyAlignment="1">
      <alignment horizontal="center" vertical="center" wrapText="1"/>
    </xf>
    <xf numFmtId="0" fontId="15" fillId="8" borderId="106" xfId="0" applyFont="1" applyFill="1" applyBorder="1" applyAlignment="1">
      <alignment horizontal="center" vertical="center" wrapText="1"/>
    </xf>
    <xf numFmtId="0" fontId="15" fillId="8" borderId="102" xfId="0" applyFont="1" applyFill="1" applyBorder="1" applyAlignment="1">
      <alignment horizontal="center" vertical="center" wrapText="1"/>
    </xf>
    <xf numFmtId="3" fontId="16" fillId="8" borderId="102" xfId="4" applyNumberFormat="1" applyFont="1" applyFill="1" applyBorder="1" applyAlignment="1">
      <alignment horizontal="center" vertical="center" wrapText="1"/>
    </xf>
    <xf numFmtId="3" fontId="16" fillId="8" borderId="102" xfId="4" applyNumberFormat="1" applyFont="1" applyFill="1" applyBorder="1" applyAlignment="1">
      <alignment horizontal="center" vertical="center"/>
    </xf>
    <xf numFmtId="0" fontId="17" fillId="7" borderId="6" xfId="0" applyFont="1" applyFill="1" applyBorder="1" applyAlignment="1">
      <alignment horizontal="center"/>
    </xf>
    <xf numFmtId="0" fontId="60" fillId="0" borderId="5" xfId="0" applyFont="1" applyBorder="1" applyAlignment="1">
      <alignment horizontal="center" wrapText="1"/>
    </xf>
    <xf numFmtId="0" fontId="60" fillId="0" borderId="42" xfId="0" applyFont="1" applyBorder="1" applyAlignment="1">
      <alignment horizontal="center" wrapText="1"/>
    </xf>
    <xf numFmtId="0" fontId="60" fillId="0" borderId="41" xfId="0" applyFont="1" applyBorder="1" applyAlignment="1">
      <alignment horizontal="center" wrapText="1"/>
    </xf>
    <xf numFmtId="166" fontId="26" fillId="8" borderId="38" xfId="3" applyNumberFormat="1" applyFont="1" applyFill="1" applyBorder="1" applyAlignment="1">
      <alignment horizontal="center" vertical="center"/>
    </xf>
    <xf numFmtId="166" fontId="26" fillId="8" borderId="7" xfId="3" applyNumberFormat="1" applyFont="1" applyFill="1" applyBorder="1" applyAlignment="1">
      <alignment horizontal="center" vertical="center"/>
    </xf>
    <xf numFmtId="166" fontId="26" fillId="8" borderId="13" xfId="3" applyNumberFormat="1" applyFont="1" applyFill="1" applyBorder="1" applyAlignment="1">
      <alignment horizontal="center" vertical="center"/>
    </xf>
    <xf numFmtId="3" fontId="9" fillId="0" borderId="61" xfId="2" applyNumberFormat="1" applyFont="1" applyBorder="1" applyAlignment="1">
      <alignment horizontal="center" wrapText="1"/>
    </xf>
    <xf numFmtId="3" fontId="9" fillId="0" borderId="60" xfId="2" applyNumberFormat="1" applyFont="1" applyBorder="1" applyAlignment="1">
      <alignment horizontal="center" wrapText="1"/>
    </xf>
    <xf numFmtId="3" fontId="9" fillId="0" borderId="46" xfId="2" applyNumberFormat="1" applyFont="1" applyBorder="1" applyAlignment="1">
      <alignment horizontal="center" wrapText="1"/>
    </xf>
    <xf numFmtId="1" fontId="22" fillId="0" borderId="69" xfId="2" applyNumberFormat="1" applyFont="1" applyFill="1" applyBorder="1" applyAlignment="1">
      <alignment horizontal="center" wrapText="1"/>
    </xf>
    <xf numFmtId="1" fontId="22" fillId="0" borderId="70" xfId="2" applyNumberFormat="1" applyFont="1" applyFill="1" applyBorder="1" applyAlignment="1">
      <alignment horizontal="center" wrapText="1"/>
    </xf>
    <xf numFmtId="1" fontId="22" fillId="0" borderId="71" xfId="2" applyNumberFormat="1" applyFont="1" applyFill="1" applyBorder="1" applyAlignment="1">
      <alignment horizontal="center" wrapText="1"/>
    </xf>
  </cellXfs>
  <cellStyles count="174">
    <cellStyle name="_ALB content sheet" xfId="47"/>
    <cellStyle name="_ALB_StructPC tables" xfId="48"/>
    <cellStyle name="_Output to team May 12 2008 10pm" xfId="49"/>
    <cellStyle name="_PC Table Summary fror Gramoz May 13 2008" xfId="50"/>
    <cellStyle name="1 indent" xfId="51"/>
    <cellStyle name="2 indents" xfId="52"/>
    <cellStyle name="20% - Accent5 2" xfId="53"/>
    <cellStyle name="3 indents" xfId="54"/>
    <cellStyle name="4 indents" xfId="55"/>
    <cellStyle name="5 indents" xfId="56"/>
    <cellStyle name="BoA" xfId="57"/>
    <cellStyle name="Celkem" xfId="58"/>
    <cellStyle name="Comma" xfId="1" builtinId="3"/>
    <cellStyle name="Comma  - Style1" xfId="59"/>
    <cellStyle name="Comma 2" xfId="5"/>
    <cellStyle name="Comma 2 2" xfId="6"/>
    <cellStyle name="Comma 2 2 3 3" xfId="7"/>
    <cellStyle name="Comma 2 3" xfId="8"/>
    <cellStyle name="Comma 2 3 2" xfId="9"/>
    <cellStyle name="Comma 2 3 3" xfId="10"/>
    <cellStyle name="Comma 2 4" xfId="60"/>
    <cellStyle name="Comma 2 4 2" xfId="61"/>
    <cellStyle name="Comma 2 5" xfId="62"/>
    <cellStyle name="Comma 3" xfId="11"/>
    <cellStyle name="Comma 3 2" xfId="12"/>
    <cellStyle name="Comma 3 3" xfId="63"/>
    <cellStyle name="Comma 4" xfId="13"/>
    <cellStyle name="Comma 4 2" xfId="64"/>
    <cellStyle name="Comma 4 3" xfId="65"/>
    <cellStyle name="Comma 5" xfId="14"/>
    <cellStyle name="Comma 5 2" xfId="66"/>
    <cellStyle name="Comma 8" xfId="4"/>
    <cellStyle name="Comma(3)" xfId="67"/>
    <cellStyle name="Comma0" xfId="15"/>
    <cellStyle name="Curren - Style3" xfId="68"/>
    <cellStyle name="Curren - Style4" xfId="69"/>
    <cellStyle name="Currency0" xfId="16"/>
    <cellStyle name="Date" xfId="17"/>
    <cellStyle name="Datum" xfId="70"/>
    <cellStyle name="Defl/Infl" xfId="71"/>
    <cellStyle name="Euro" xfId="72"/>
    <cellStyle name="Exogenous" xfId="73"/>
    <cellStyle name="Finanční0" xfId="74"/>
    <cellStyle name="Finanèní0" xfId="75"/>
    <cellStyle name="Fixed" xfId="18"/>
    <cellStyle name="Grey" xfId="76"/>
    <cellStyle name="Heading 1 2" xfId="19"/>
    <cellStyle name="Heading 2 2" xfId="20"/>
    <cellStyle name="Hipervínculo_IIF" xfId="77"/>
    <cellStyle name="IMF" xfId="78"/>
    <cellStyle name="imf-one decimal" xfId="79"/>
    <cellStyle name="imf-zero decimal" xfId="80"/>
    <cellStyle name="Input [yellow]" xfId="81"/>
    <cellStyle name="INSTAT" xfId="82"/>
    <cellStyle name="Label" xfId="83"/>
    <cellStyle name="Měna0" xfId="84"/>
    <cellStyle name="Millares [0]_BALPROGRAMA2001R" xfId="85"/>
    <cellStyle name="Millares_BALPROGRAMA2001R" xfId="86"/>
    <cellStyle name="Milliers [0]_Encours - Apr rééch" xfId="87"/>
    <cellStyle name="Milliers_Encours - Apr rééch" xfId="88"/>
    <cellStyle name="Mìna0" xfId="89"/>
    <cellStyle name="Model" xfId="90"/>
    <cellStyle name="MoF" xfId="91"/>
    <cellStyle name="Moneda [0]_BALPROGRAMA2001R" xfId="92"/>
    <cellStyle name="Moneda_BALPROGRAMA2001R" xfId="93"/>
    <cellStyle name="Monétaire [0]_Encours - Apr rééch" xfId="94"/>
    <cellStyle name="Monétaire_Encours - Apr rééch" xfId="95"/>
    <cellStyle name="Normal" xfId="0" builtinId="0"/>
    <cellStyle name="Normal - Style1" xfId="96"/>
    <cellStyle name="Normal - Style2" xfId="97"/>
    <cellStyle name="Normal - Style5" xfId="98"/>
    <cellStyle name="Normal - Style6" xfId="99"/>
    <cellStyle name="Normal - Style7" xfId="100"/>
    <cellStyle name="Normal - Style8" xfId="101"/>
    <cellStyle name="Normal 10" xfId="21"/>
    <cellStyle name="Normal 11" xfId="22"/>
    <cellStyle name="Normal 11 2" xfId="23"/>
    <cellStyle name="Normal 12" xfId="24"/>
    <cellStyle name="Normal 12 2" xfId="103"/>
    <cellStyle name="Normal 13" xfId="2"/>
    <cellStyle name="Normal 13 2" xfId="104"/>
    <cellStyle name="Normal 14" xfId="3"/>
    <cellStyle name="Normal 15" xfId="125"/>
    <cellStyle name="Normal 16" xfId="166"/>
    <cellStyle name="Normal 17" xfId="102"/>
    <cellStyle name="Normal 18" xfId="165"/>
    <cellStyle name="Normal 19" xfId="162"/>
    <cellStyle name="Normal 2" xfId="25"/>
    <cellStyle name="Normal 2 2" xfId="26"/>
    <cellStyle name="Normal 2 3" xfId="27"/>
    <cellStyle name="Normal 2 4" xfId="105"/>
    <cellStyle name="Normal 2 4 2" xfId="106"/>
    <cellStyle name="Normal 2 4 3" xfId="107"/>
    <cellStyle name="Normal 20" xfId="164"/>
    <cellStyle name="Normal 21" xfId="163"/>
    <cellStyle name="Normal 3" xfId="28"/>
    <cellStyle name="Normal 3 2" xfId="29"/>
    <cellStyle name="Normal 3 2 2" xfId="30"/>
    <cellStyle name="Normal 3 3" xfId="108"/>
    <cellStyle name="Normal 3 4" xfId="46"/>
    <cellStyle name="Normal 4" xfId="31"/>
    <cellStyle name="Normal 4 2" xfId="32"/>
    <cellStyle name="Normal 4 3" xfId="109"/>
    <cellStyle name="Normal 4 3 2" xfId="159"/>
    <cellStyle name="Normal 5" xfId="33"/>
    <cellStyle name="Normal 5 2" xfId="34"/>
    <cellStyle name="Normal 5 3" xfId="110"/>
    <cellStyle name="Normal 6" xfId="35"/>
    <cellStyle name="Normal 6 2" xfId="36"/>
    <cellStyle name="Normal 6 3" xfId="37"/>
    <cellStyle name="Normal 7" xfId="38"/>
    <cellStyle name="Normal 8" xfId="39"/>
    <cellStyle name="Normal 8 2" xfId="40"/>
    <cellStyle name="Normal 9" xfId="41"/>
    <cellStyle name="Normal 9 2" xfId="111"/>
    <cellStyle name="Normal Table" xfId="112"/>
    <cellStyle name="Output Amounts" xfId="113"/>
    <cellStyle name="Percent [2]" xfId="42"/>
    <cellStyle name="Percent 10" xfId="170"/>
    <cellStyle name="Percent 11" xfId="171"/>
    <cellStyle name="Percent 12" xfId="172"/>
    <cellStyle name="Percent 13" xfId="173"/>
    <cellStyle name="Percent 2" xfId="43"/>
    <cellStyle name="Percent 2 2" xfId="114"/>
    <cellStyle name="Percent 3" xfId="115"/>
    <cellStyle name="Percent 4" xfId="116"/>
    <cellStyle name="Percent 5" xfId="160"/>
    <cellStyle name="Percent 6" xfId="161"/>
    <cellStyle name="Percent 7" xfId="167"/>
    <cellStyle name="Percent 8" xfId="168"/>
    <cellStyle name="Percent 9" xfId="169"/>
    <cellStyle name="percentage difference" xfId="117"/>
    <cellStyle name="percentage difference one decimal" xfId="118"/>
    <cellStyle name="percentage difference zero decimal" xfId="119"/>
    <cellStyle name="Pevný" xfId="120"/>
    <cellStyle name="Presentation" xfId="121"/>
    <cellStyle name="Proj" xfId="122"/>
    <cellStyle name="Publication" xfId="123"/>
    <cellStyle name="STYL1 - Style1" xfId="124"/>
    <cellStyle name="Style 1" xfId="44"/>
    <cellStyle name="Style 1 2" xfId="126"/>
    <cellStyle name="Text" xfId="127"/>
    <cellStyle name="Total 2" xfId="45"/>
    <cellStyle name="WebAnchor1" xfId="128"/>
    <cellStyle name="WebAnchor2" xfId="129"/>
    <cellStyle name="WebAnchor3" xfId="130"/>
    <cellStyle name="WebAnchor4" xfId="131"/>
    <cellStyle name="WebAnchor5" xfId="132"/>
    <cellStyle name="WebAnchor6" xfId="133"/>
    <cellStyle name="WebAnchor7" xfId="134"/>
    <cellStyle name="Webexclude" xfId="135"/>
    <cellStyle name="WebFN" xfId="136"/>
    <cellStyle name="WebFN1" xfId="137"/>
    <cellStyle name="WebFN2" xfId="138"/>
    <cellStyle name="WebFN3" xfId="139"/>
    <cellStyle name="WebFN4" xfId="140"/>
    <cellStyle name="WebHR" xfId="141"/>
    <cellStyle name="WebIndent1" xfId="142"/>
    <cellStyle name="WebIndent1wFN3" xfId="143"/>
    <cellStyle name="WebIndent2" xfId="144"/>
    <cellStyle name="WebNoBR" xfId="145"/>
    <cellStyle name="Záhlaví 1" xfId="146"/>
    <cellStyle name="Záhlaví 2" xfId="147"/>
    <cellStyle name="zero" xfId="148"/>
    <cellStyle name="ДАТА" xfId="149"/>
    <cellStyle name="ДЕНЕЖНЫЙ_BOPENGC" xfId="150"/>
    <cellStyle name="ЗАГОЛОВОК1" xfId="151"/>
    <cellStyle name="ЗАГОЛОВОК2" xfId="152"/>
    <cellStyle name="ИТОГОВЫЙ" xfId="153"/>
    <cellStyle name="Обычный_BOPENGC" xfId="154"/>
    <cellStyle name="ПРОЦЕНТНЫЙ_BOPENGC" xfId="155"/>
    <cellStyle name="ТЕКСТ" xfId="156"/>
    <cellStyle name="ФИКСИРОВАННЫЙ" xfId="157"/>
    <cellStyle name="ФИНАНСОВЫЙ_BOPENGC" xfId="1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32"/>
  <sheetViews>
    <sheetView tabSelected="1" zoomScale="70" zoomScaleNormal="70" workbookViewId="0">
      <pane ySplit="4" topLeftCell="A194" activePane="bottomLeft" state="frozen"/>
      <selection pane="bottomLeft" activeCell="H204" sqref="H204"/>
    </sheetView>
  </sheetViews>
  <sheetFormatPr defaultRowHeight="15"/>
  <cols>
    <col min="1" max="1" width="14.140625" customWidth="1"/>
    <col min="2" max="2" width="53.140625" customWidth="1"/>
    <col min="4" max="4" width="10.7109375" customWidth="1"/>
    <col min="5" max="6" width="17" customWidth="1"/>
    <col min="7" max="7" width="18.85546875" style="332" customWidth="1"/>
    <col min="8" max="8" width="18.7109375" style="188" customWidth="1"/>
    <col min="9" max="9" width="26.7109375" style="189" customWidth="1"/>
    <col min="10" max="10" width="22.42578125" style="206" customWidth="1"/>
    <col min="11" max="11" width="17" style="206" bestFit="1" customWidth="1"/>
    <col min="12" max="12" width="19" style="206" bestFit="1" customWidth="1"/>
    <col min="13" max="13" width="19" style="208" bestFit="1" customWidth="1"/>
    <col min="14" max="14" width="58.5703125" style="189" customWidth="1"/>
    <col min="15" max="16" width="17" style="206" bestFit="1" customWidth="1"/>
    <col min="17" max="17" width="19" style="206" bestFit="1" customWidth="1"/>
    <col min="18" max="18" width="19" style="208" bestFit="1" customWidth="1"/>
    <col min="19" max="19" width="44.140625" style="189" customWidth="1"/>
    <col min="21" max="21" width="17.28515625" customWidth="1"/>
    <col min="22" max="23" width="14.7109375" bestFit="1" customWidth="1"/>
    <col min="24" max="25" width="18.28515625" bestFit="1" customWidth="1"/>
  </cols>
  <sheetData>
    <row r="1" spans="1:19" ht="15.75" thickBot="1"/>
    <row r="2" spans="1:19" ht="48.75" customHeight="1" thickBot="1">
      <c r="A2" s="1"/>
      <c r="B2" s="2"/>
      <c r="C2" s="2"/>
      <c r="D2" s="2"/>
      <c r="E2" s="1401" t="s">
        <v>0</v>
      </c>
      <c r="F2" s="1402"/>
      <c r="G2" s="1402"/>
      <c r="H2" s="1402"/>
      <c r="I2" s="1403"/>
      <c r="J2" s="1404" t="s">
        <v>1</v>
      </c>
      <c r="K2" s="1405"/>
      <c r="L2" s="1405"/>
      <c r="M2" s="1405"/>
      <c r="N2" s="1406"/>
      <c r="O2" s="1407" t="s">
        <v>2</v>
      </c>
      <c r="P2" s="1408"/>
      <c r="Q2" s="1408"/>
      <c r="R2" s="1408"/>
      <c r="S2" s="1409"/>
    </row>
    <row r="3" spans="1:19" ht="15.75">
      <c r="A3" s="1410" t="s">
        <v>3</v>
      </c>
      <c r="B3" s="3" t="s">
        <v>4</v>
      </c>
      <c r="C3" s="1412" t="s">
        <v>5</v>
      </c>
      <c r="D3" s="1414" t="s">
        <v>6</v>
      </c>
      <c r="E3" s="1416" t="s">
        <v>7</v>
      </c>
      <c r="F3" s="1418" t="s">
        <v>8</v>
      </c>
      <c r="G3" s="1420" t="s">
        <v>9</v>
      </c>
      <c r="H3" s="1418" t="s">
        <v>10</v>
      </c>
      <c r="I3" s="1426" t="s">
        <v>11</v>
      </c>
      <c r="J3" s="1422" t="s">
        <v>7</v>
      </c>
      <c r="K3" s="1424" t="s">
        <v>8</v>
      </c>
      <c r="L3" s="1424" t="s">
        <v>9</v>
      </c>
      <c r="M3" s="1420" t="s">
        <v>10</v>
      </c>
      <c r="N3" s="1426" t="s">
        <v>11</v>
      </c>
      <c r="O3" s="1422" t="s">
        <v>7</v>
      </c>
      <c r="P3" s="1424" t="s">
        <v>8</v>
      </c>
      <c r="Q3" s="1424" t="s">
        <v>9</v>
      </c>
      <c r="R3" s="1420" t="s">
        <v>10</v>
      </c>
      <c r="S3" s="1426" t="s">
        <v>11</v>
      </c>
    </row>
    <row r="4" spans="1:19" ht="16.5" thickBot="1">
      <c r="A4" s="1411"/>
      <c r="B4" s="4" t="s">
        <v>12</v>
      </c>
      <c r="C4" s="1413"/>
      <c r="D4" s="1415"/>
      <c r="E4" s="1417"/>
      <c r="F4" s="1419"/>
      <c r="G4" s="1421"/>
      <c r="H4" s="1419"/>
      <c r="I4" s="1427"/>
      <c r="J4" s="1423"/>
      <c r="K4" s="1425"/>
      <c r="L4" s="1425"/>
      <c r="M4" s="1421"/>
      <c r="N4" s="1427"/>
      <c r="O4" s="1423"/>
      <c r="P4" s="1425"/>
      <c r="Q4" s="1425"/>
      <c r="R4" s="1421"/>
      <c r="S4" s="1427"/>
    </row>
    <row r="5" spans="1:19" ht="16.5" thickBot="1">
      <c r="A5" s="5" t="s">
        <v>13</v>
      </c>
      <c r="B5" s="17" t="s">
        <v>14</v>
      </c>
      <c r="C5" s="18"/>
      <c r="D5" s="169"/>
      <c r="E5" s="749">
        <f>E6</f>
        <v>13100</v>
      </c>
      <c r="F5" s="749">
        <f t="shared" ref="F5:H5" si="0">F6</f>
        <v>45000</v>
      </c>
      <c r="G5" s="749">
        <f t="shared" si="0"/>
        <v>0</v>
      </c>
      <c r="H5" s="749">
        <f t="shared" si="0"/>
        <v>58100</v>
      </c>
      <c r="I5" s="191"/>
      <c r="J5" s="161">
        <f>J6</f>
        <v>0</v>
      </c>
      <c r="K5" s="162">
        <f t="shared" ref="K5" si="1">K6</f>
        <v>0</v>
      </c>
      <c r="L5" s="169">
        <f t="shared" ref="L5" si="2">L6</f>
        <v>1010500</v>
      </c>
      <c r="M5" s="111">
        <f t="shared" ref="M5" si="3">M6</f>
        <v>1010500</v>
      </c>
      <c r="N5" s="192"/>
      <c r="O5" s="162">
        <f>O6</f>
        <v>13100</v>
      </c>
      <c r="P5" s="169">
        <f t="shared" ref="P5" si="4">P6</f>
        <v>45000</v>
      </c>
      <c r="Q5" s="160">
        <f t="shared" ref="Q5" si="5">Q6</f>
        <v>1010500</v>
      </c>
      <c r="R5" s="112">
        <f t="shared" ref="R5" si="6">R6</f>
        <v>1068600</v>
      </c>
      <c r="S5" s="193"/>
    </row>
    <row r="6" spans="1:19" ht="42.75" customHeight="1">
      <c r="A6" s="8">
        <v>1120</v>
      </c>
      <c r="B6" s="9" t="s">
        <v>15</v>
      </c>
      <c r="C6" s="212">
        <v>2024</v>
      </c>
      <c r="D6" s="100"/>
      <c r="E6" s="101">
        <v>13100</v>
      </c>
      <c r="F6" s="158">
        <v>45000</v>
      </c>
      <c r="G6" s="103"/>
      <c r="H6" s="128">
        <f>E6+F6+G6</f>
        <v>58100</v>
      </c>
      <c r="I6" s="1148" t="s">
        <v>403</v>
      </c>
      <c r="J6" s="100"/>
      <c r="K6" s="101"/>
      <c r="L6" s="158">
        <v>1010500</v>
      </c>
      <c r="M6" s="142">
        <f>J6+K6+L6</f>
        <v>1010500</v>
      </c>
      <c r="N6" s="1145" t="s">
        <v>404</v>
      </c>
      <c r="O6" s="158">
        <f t="shared" ref="O6:P6" si="7">J6+E6</f>
        <v>13100</v>
      </c>
      <c r="P6" s="158">
        <f t="shared" si="7"/>
        <v>45000</v>
      </c>
      <c r="Q6" s="158">
        <f>L6+G6</f>
        <v>1010500</v>
      </c>
      <c r="R6" s="142">
        <f>Q6+H6</f>
        <v>1068600</v>
      </c>
      <c r="S6" s="194"/>
    </row>
    <row r="7" spans="1:19" ht="57.75" customHeight="1">
      <c r="A7" s="11">
        <v>1120</v>
      </c>
      <c r="B7" s="12"/>
      <c r="C7" s="213">
        <v>2025</v>
      </c>
      <c r="D7" s="100"/>
      <c r="E7" s="101">
        <v>13100</v>
      </c>
      <c r="F7" s="158">
        <v>50000</v>
      </c>
      <c r="G7" s="105"/>
      <c r="H7" s="128">
        <f>E7+F7+G7</f>
        <v>63100</v>
      </c>
      <c r="I7" s="1149"/>
      <c r="J7" s="100"/>
      <c r="K7" s="104"/>
      <c r="L7" s="158"/>
      <c r="M7" s="143">
        <f t="shared" ref="M7:M8" si="8">J7+K7+L7</f>
        <v>0</v>
      </c>
      <c r="N7" s="1146"/>
      <c r="O7" s="100">
        <f t="shared" ref="O7:O8" si="9">J7+E7</f>
        <v>13100</v>
      </c>
      <c r="P7" s="104">
        <f t="shared" ref="P7:P8" si="10">K7+F7</f>
        <v>50000</v>
      </c>
      <c r="Q7" s="158">
        <f>L7+G7</f>
        <v>0</v>
      </c>
      <c r="R7" s="143">
        <f>Q7+H7</f>
        <v>63100</v>
      </c>
      <c r="S7" s="194"/>
    </row>
    <row r="8" spans="1:19" ht="82.5" customHeight="1" thickBot="1">
      <c r="A8" s="14">
        <v>1120</v>
      </c>
      <c r="B8" s="15"/>
      <c r="C8" s="214">
        <v>2026</v>
      </c>
      <c r="D8" s="106"/>
      <c r="E8" s="101">
        <v>13100</v>
      </c>
      <c r="F8" s="108">
        <v>49000</v>
      </c>
      <c r="G8" s="109"/>
      <c r="H8" s="140">
        <f>E8+F8+G8</f>
        <v>62100</v>
      </c>
      <c r="I8" s="1150"/>
      <c r="J8" s="106"/>
      <c r="K8" s="107"/>
      <c r="L8" s="108"/>
      <c r="M8" s="144">
        <f t="shared" si="8"/>
        <v>0</v>
      </c>
      <c r="N8" s="1147"/>
      <c r="O8" s="106">
        <f t="shared" si="9"/>
        <v>13100</v>
      </c>
      <c r="P8" s="107">
        <f t="shared" si="10"/>
        <v>49000</v>
      </c>
      <c r="Q8" s="108">
        <f>L8+G8</f>
        <v>0</v>
      </c>
      <c r="R8" s="144">
        <f>Q8+H8</f>
        <v>62100</v>
      </c>
      <c r="S8" s="195"/>
    </row>
    <row r="9" spans="1:19" ht="16.5" thickBot="1">
      <c r="A9" s="5" t="s">
        <v>16</v>
      </c>
      <c r="B9" s="17" t="s">
        <v>17</v>
      </c>
      <c r="C9" s="18"/>
      <c r="D9" s="169"/>
      <c r="E9" s="160">
        <f>E10+E13</f>
        <v>0</v>
      </c>
      <c r="F9" s="160">
        <f t="shared" ref="F9:H9" si="11">F10+F13</f>
        <v>26200</v>
      </c>
      <c r="G9" s="160">
        <f t="shared" si="11"/>
        <v>0</v>
      </c>
      <c r="H9" s="160">
        <f t="shared" si="11"/>
        <v>26200</v>
      </c>
      <c r="I9" s="191"/>
      <c r="J9" s="162">
        <f>J10+J13</f>
        <v>72000</v>
      </c>
      <c r="K9" s="162">
        <f t="shared" ref="K9:M9" si="12">K10+K13</f>
        <v>7000</v>
      </c>
      <c r="L9" s="162">
        <f t="shared" si="12"/>
        <v>255282</v>
      </c>
      <c r="M9" s="162">
        <f t="shared" si="12"/>
        <v>334282</v>
      </c>
      <c r="N9" s="192"/>
      <c r="O9" s="162">
        <f>O10+O13</f>
        <v>72000</v>
      </c>
      <c r="P9" s="169">
        <f t="shared" ref="P9:R9" si="13">P10+P13</f>
        <v>33200</v>
      </c>
      <c r="Q9" s="160">
        <f t="shared" si="13"/>
        <v>255282</v>
      </c>
      <c r="R9" s="112">
        <f t="shared" si="13"/>
        <v>360482</v>
      </c>
      <c r="S9" s="193"/>
    </row>
    <row r="10" spans="1:19" s="219" customFormat="1" ht="38.25" customHeight="1">
      <c r="A10" s="517">
        <v>1110</v>
      </c>
      <c r="B10" s="518" t="s">
        <v>18</v>
      </c>
      <c r="C10" s="212">
        <v>2024</v>
      </c>
      <c r="D10" s="519"/>
      <c r="E10" s="520">
        <v>0</v>
      </c>
      <c r="F10" s="167">
        <v>0</v>
      </c>
      <c r="G10" s="521">
        <v>0</v>
      </c>
      <c r="H10" s="522">
        <f t="shared" ref="H10:H15" si="14">G10+F10+E10</f>
        <v>0</v>
      </c>
      <c r="I10" s="1133"/>
      <c r="J10" s="101">
        <v>72000</v>
      </c>
      <c r="K10" s="523">
        <v>7000</v>
      </c>
      <c r="L10" s="524">
        <v>255282</v>
      </c>
      <c r="M10" s="525">
        <f t="shared" ref="M10:M15" si="15">SUM(J10:L10)</f>
        <v>334282</v>
      </c>
      <c r="N10" s="1248" t="s">
        <v>405</v>
      </c>
      <c r="O10" s="383">
        <f>J10+E10</f>
        <v>72000</v>
      </c>
      <c r="P10" s="383">
        <f t="shared" ref="P10:Q12" si="16">K10+F10</f>
        <v>7000</v>
      </c>
      <c r="Q10" s="383">
        <f>L10+G10</f>
        <v>255282</v>
      </c>
      <c r="R10" s="526">
        <f>M10+H10</f>
        <v>334282</v>
      </c>
      <c r="S10" s="1452"/>
    </row>
    <row r="11" spans="1:19" s="219" customFormat="1" ht="30" customHeight="1">
      <c r="A11" s="527">
        <v>1110</v>
      </c>
      <c r="B11" s="528"/>
      <c r="C11" s="213">
        <v>2025</v>
      </c>
      <c r="D11" s="519"/>
      <c r="E11" s="529">
        <v>0</v>
      </c>
      <c r="F11" s="619">
        <v>0</v>
      </c>
      <c r="G11" s="528">
        <v>0</v>
      </c>
      <c r="H11" s="522">
        <f t="shared" si="14"/>
        <v>0</v>
      </c>
      <c r="I11" s="1134"/>
      <c r="J11" s="101">
        <v>72000</v>
      </c>
      <c r="K11" s="530">
        <v>21770</v>
      </c>
      <c r="L11" s="524">
        <v>163424</v>
      </c>
      <c r="M11" s="525">
        <f t="shared" si="15"/>
        <v>257194</v>
      </c>
      <c r="N11" s="1249"/>
      <c r="O11" s="383">
        <f t="shared" ref="O11:O12" si="17">J11+E11</f>
        <v>72000</v>
      </c>
      <c r="P11" s="383">
        <f t="shared" si="16"/>
        <v>21770</v>
      </c>
      <c r="Q11" s="383">
        <f t="shared" si="16"/>
        <v>163424</v>
      </c>
      <c r="R11" s="531">
        <f t="shared" ref="R11:R15" si="18">M11+H11</f>
        <v>257194</v>
      </c>
      <c r="S11" s="1453"/>
    </row>
    <row r="12" spans="1:19" s="219" customFormat="1" ht="42" customHeight="1" thickBot="1">
      <c r="A12" s="456">
        <v>1110</v>
      </c>
      <c r="B12" s="532"/>
      <c r="C12" s="214">
        <v>2026</v>
      </c>
      <c r="D12" s="533"/>
      <c r="E12" s="534">
        <v>0</v>
      </c>
      <c r="F12" s="108">
        <v>0</v>
      </c>
      <c r="G12" s="532">
        <v>0</v>
      </c>
      <c r="H12" s="535">
        <f t="shared" si="14"/>
        <v>0</v>
      </c>
      <c r="I12" s="1135"/>
      <c r="J12" s="101">
        <v>72000</v>
      </c>
      <c r="K12" s="536">
        <v>20770</v>
      </c>
      <c r="L12" s="537">
        <v>215324</v>
      </c>
      <c r="M12" s="525">
        <f t="shared" si="15"/>
        <v>308094</v>
      </c>
      <c r="N12" s="1250"/>
      <c r="O12" s="899">
        <f t="shared" si="17"/>
        <v>72000</v>
      </c>
      <c r="P12" s="899">
        <f t="shared" si="16"/>
        <v>20770</v>
      </c>
      <c r="Q12" s="395">
        <f t="shared" si="16"/>
        <v>215324</v>
      </c>
      <c r="R12" s="539">
        <f t="shared" si="18"/>
        <v>308094</v>
      </c>
      <c r="S12" s="1454"/>
    </row>
    <row r="13" spans="1:19" ht="46.5" customHeight="1">
      <c r="A13" s="8">
        <v>1120</v>
      </c>
      <c r="B13" s="9" t="s">
        <v>19</v>
      </c>
      <c r="C13" s="212">
        <v>2024</v>
      </c>
      <c r="D13" s="166"/>
      <c r="E13" s="118">
        <v>0</v>
      </c>
      <c r="F13" s="167">
        <v>26200</v>
      </c>
      <c r="G13" s="167"/>
      <c r="H13" s="117">
        <f t="shared" si="14"/>
        <v>26200</v>
      </c>
      <c r="I13" s="1148" t="s">
        <v>428</v>
      </c>
      <c r="J13" s="167">
        <v>0</v>
      </c>
      <c r="K13" s="167">
        <v>0</v>
      </c>
      <c r="L13" s="166">
        <v>0</v>
      </c>
      <c r="M13" s="145">
        <f t="shared" si="15"/>
        <v>0</v>
      </c>
      <c r="N13" s="1251"/>
      <c r="O13" s="166">
        <f>J13+E13</f>
        <v>0</v>
      </c>
      <c r="P13" s="166">
        <f t="shared" ref="P13:P15" si="19">K13+F13</f>
        <v>26200</v>
      </c>
      <c r="Q13" s="898">
        <f>L13+G13</f>
        <v>0</v>
      </c>
      <c r="R13" s="9">
        <f t="shared" si="18"/>
        <v>26200</v>
      </c>
      <c r="S13" s="194"/>
    </row>
    <row r="14" spans="1:19" ht="54" customHeight="1">
      <c r="A14" s="11">
        <v>1120</v>
      </c>
      <c r="B14" s="22"/>
      <c r="C14" s="213">
        <v>2025</v>
      </c>
      <c r="D14" s="163"/>
      <c r="E14" s="119">
        <v>0</v>
      </c>
      <c r="F14" s="22">
        <v>26200</v>
      </c>
      <c r="G14" s="22"/>
      <c r="H14" s="113">
        <f t="shared" si="14"/>
        <v>26200</v>
      </c>
      <c r="I14" s="1149"/>
      <c r="J14" s="22">
        <v>0</v>
      </c>
      <c r="K14" s="22">
        <v>0</v>
      </c>
      <c r="L14" s="163">
        <v>0</v>
      </c>
      <c r="M14" s="146">
        <f t="shared" si="15"/>
        <v>0</v>
      </c>
      <c r="N14" s="1252"/>
      <c r="O14" s="163">
        <f t="shared" ref="O14:O15" si="20">J14+E14</f>
        <v>0</v>
      </c>
      <c r="P14" s="163">
        <f t="shared" si="19"/>
        <v>26200</v>
      </c>
      <c r="Q14" s="119">
        <f t="shared" ref="Q14:Q15" si="21">L14+G14</f>
        <v>0</v>
      </c>
      <c r="R14" s="147">
        <f t="shared" si="18"/>
        <v>26200</v>
      </c>
      <c r="S14" s="194"/>
    </row>
    <row r="15" spans="1:19" ht="32.25" customHeight="1" thickBot="1">
      <c r="A15" s="14">
        <v>1120</v>
      </c>
      <c r="B15" s="23"/>
      <c r="C15" s="214">
        <v>2026</v>
      </c>
      <c r="D15" s="168"/>
      <c r="E15" s="121">
        <v>0</v>
      </c>
      <c r="F15" s="23">
        <v>26200</v>
      </c>
      <c r="G15" s="23"/>
      <c r="H15" s="120">
        <f t="shared" si="14"/>
        <v>26200</v>
      </c>
      <c r="I15" s="1150"/>
      <c r="J15" s="23">
        <v>0</v>
      </c>
      <c r="K15" s="23">
        <v>0</v>
      </c>
      <c r="L15" s="168">
        <v>0</v>
      </c>
      <c r="M15" s="148">
        <f t="shared" si="15"/>
        <v>0</v>
      </c>
      <c r="N15" s="1253"/>
      <c r="O15" s="168">
        <f t="shared" si="20"/>
        <v>0</v>
      </c>
      <c r="P15" s="168">
        <f t="shared" si="19"/>
        <v>26200</v>
      </c>
      <c r="Q15" s="121">
        <f t="shared" si="21"/>
        <v>0</v>
      </c>
      <c r="R15" s="149">
        <f t="shared" si="18"/>
        <v>26200</v>
      </c>
      <c r="S15" s="195"/>
    </row>
    <row r="16" spans="1:19" ht="16.5" thickBot="1">
      <c r="A16" s="5" t="s">
        <v>20</v>
      </c>
      <c r="B16" s="17" t="s">
        <v>21</v>
      </c>
      <c r="C16" s="18"/>
      <c r="D16" s="169"/>
      <c r="E16" s="160">
        <f>E17</f>
        <v>186000</v>
      </c>
      <c r="F16" s="160">
        <f t="shared" ref="F16:H16" si="22">F17</f>
        <v>0</v>
      </c>
      <c r="G16" s="160">
        <f t="shared" si="22"/>
        <v>0</v>
      </c>
      <c r="H16" s="160">
        <f t="shared" si="22"/>
        <v>186000</v>
      </c>
      <c r="I16" s="191"/>
      <c r="J16" s="161">
        <f>J17</f>
        <v>0</v>
      </c>
      <c r="K16" s="161">
        <f t="shared" ref="K16:M16" si="23">K17</f>
        <v>0</v>
      </c>
      <c r="L16" s="161">
        <f t="shared" si="23"/>
        <v>0</v>
      </c>
      <c r="M16" s="161">
        <f t="shared" si="23"/>
        <v>0</v>
      </c>
      <c r="N16" s="192"/>
      <c r="O16" s="162">
        <f>O17</f>
        <v>186000</v>
      </c>
      <c r="P16" s="162">
        <f t="shared" ref="P16:R16" si="24">P17</f>
        <v>0</v>
      </c>
      <c r="Q16" s="162">
        <f t="shared" si="24"/>
        <v>0</v>
      </c>
      <c r="R16" s="162">
        <f t="shared" si="24"/>
        <v>186000</v>
      </c>
      <c r="S16" s="193"/>
    </row>
    <row r="17" spans="1:22" ht="15.75">
      <c r="A17" s="8">
        <v>1110</v>
      </c>
      <c r="B17" s="25" t="s">
        <v>18</v>
      </c>
      <c r="C17" s="212">
        <v>2024</v>
      </c>
      <c r="D17" s="170"/>
      <c r="E17" s="118">
        <v>186000</v>
      </c>
      <c r="F17" s="171">
        <v>0</v>
      </c>
      <c r="G17" s="171">
        <v>0</v>
      </c>
      <c r="H17" s="737">
        <f>G17+F17+E17</f>
        <v>186000</v>
      </c>
      <c r="I17" s="1151" t="s">
        <v>406</v>
      </c>
      <c r="J17" s="171">
        <v>0</v>
      </c>
      <c r="K17" s="164">
        <v>0</v>
      </c>
      <c r="L17" s="170">
        <v>0</v>
      </c>
      <c r="M17" s="738">
        <f>J17+K17+L17</f>
        <v>0</v>
      </c>
      <c r="N17" s="1254"/>
      <c r="O17" s="164">
        <f>J17+E17</f>
        <v>186000</v>
      </c>
      <c r="P17" s="170">
        <f t="shared" ref="P17:P19" si="25">K17+F17</f>
        <v>0</v>
      </c>
      <c r="Q17" s="118">
        <f t="shared" ref="Q17:Q19" si="26">L17+G17</f>
        <v>0</v>
      </c>
      <c r="R17" s="25">
        <f t="shared" ref="R17:R19" si="27">M17+H17</f>
        <v>186000</v>
      </c>
      <c r="S17" s="194"/>
    </row>
    <row r="18" spans="1:22" ht="15.75">
      <c r="A18" s="11">
        <v>1110</v>
      </c>
      <c r="B18" s="26"/>
      <c r="C18" s="213">
        <v>2025</v>
      </c>
      <c r="D18" s="170"/>
      <c r="E18" s="119">
        <v>0</v>
      </c>
      <c r="F18" s="26">
        <v>0</v>
      </c>
      <c r="G18" s="26">
        <v>0</v>
      </c>
      <c r="H18" s="335">
        <f>G18+F18+E18</f>
        <v>0</v>
      </c>
      <c r="I18" s="1152"/>
      <c r="J18" s="26">
        <v>0</v>
      </c>
      <c r="K18" s="164">
        <v>0</v>
      </c>
      <c r="L18" s="170">
        <v>0</v>
      </c>
      <c r="M18" s="739">
        <f t="shared" ref="M18:M19" si="28">J18+K18+L18</f>
        <v>0</v>
      </c>
      <c r="N18" s="1255"/>
      <c r="O18" s="164">
        <f t="shared" ref="O18:O19" si="29">J18+E18</f>
        <v>0</v>
      </c>
      <c r="P18" s="170">
        <f t="shared" si="25"/>
        <v>0</v>
      </c>
      <c r="Q18" s="119">
        <f t="shared" si="26"/>
        <v>0</v>
      </c>
      <c r="R18" s="123">
        <f t="shared" si="27"/>
        <v>0</v>
      </c>
      <c r="S18" s="194"/>
    </row>
    <row r="19" spans="1:22" ht="16.5" thickBot="1">
      <c r="A19" s="14">
        <v>1110</v>
      </c>
      <c r="B19" s="27"/>
      <c r="C19" s="214">
        <v>2026</v>
      </c>
      <c r="D19" s="172"/>
      <c r="E19" s="121">
        <v>0</v>
      </c>
      <c r="F19" s="27">
        <v>0</v>
      </c>
      <c r="G19" s="27">
        <v>0</v>
      </c>
      <c r="H19" s="336">
        <f t="shared" ref="H19" si="30">G19+F19+E19</f>
        <v>0</v>
      </c>
      <c r="I19" s="1153"/>
      <c r="J19" s="27">
        <v>0</v>
      </c>
      <c r="K19" s="165">
        <v>0</v>
      </c>
      <c r="L19" s="172">
        <v>0</v>
      </c>
      <c r="M19" s="740">
        <f t="shared" si="28"/>
        <v>0</v>
      </c>
      <c r="N19" s="1256"/>
      <c r="O19" s="165">
        <f t="shared" si="29"/>
        <v>0</v>
      </c>
      <c r="P19" s="172">
        <f t="shared" si="25"/>
        <v>0</v>
      </c>
      <c r="Q19" s="121">
        <f t="shared" si="26"/>
        <v>0</v>
      </c>
      <c r="R19" s="124">
        <f t="shared" si="27"/>
        <v>0</v>
      </c>
      <c r="S19" s="195"/>
    </row>
    <row r="20" spans="1:22" ht="16.5" thickBot="1">
      <c r="A20" s="5" t="s">
        <v>22</v>
      </c>
      <c r="B20" s="17" t="s">
        <v>23</v>
      </c>
      <c r="C20" s="18"/>
      <c r="D20" s="169"/>
      <c r="E20" s="160">
        <f>E21+E24+E27+E30+E33+E36+E39</f>
        <v>318958</v>
      </c>
      <c r="F20" s="161">
        <f>F21+F24+F27+F30+F33+F36+F39</f>
        <v>6355000</v>
      </c>
      <c r="G20" s="162">
        <f>G21+G24+G27+G30+G33+G36+G39</f>
        <v>2634000</v>
      </c>
      <c r="H20" s="160">
        <f>H21+H24+H27+H30+H33+H36+H39</f>
        <v>9307958</v>
      </c>
      <c r="I20" s="191"/>
      <c r="J20" s="161">
        <f>J21+J24+J27+J30+J33+J36+J39</f>
        <v>56000</v>
      </c>
      <c r="K20" s="162">
        <f>K21+K24+K27+K30+K33+K36+K39</f>
        <v>16000000</v>
      </c>
      <c r="L20" s="169">
        <f>L21+L24+L27+L30+L33+L36+L39</f>
        <v>1564000</v>
      </c>
      <c r="M20" s="111">
        <f>M21+M24+M27+M30+M33+M36+M39</f>
        <v>17620000</v>
      </c>
      <c r="N20" s="192"/>
      <c r="O20" s="162">
        <f>O21+O24+O27+O30+O33+O36+O39</f>
        <v>374958</v>
      </c>
      <c r="P20" s="169">
        <f>P21+P24+P27+P30+P33+P36+P39</f>
        <v>22355000</v>
      </c>
      <c r="Q20" s="160">
        <f>Q21+Q24+Q27+Q30+Q33+Q36+Q39</f>
        <v>4198000</v>
      </c>
      <c r="R20" s="112">
        <f>R21+R24+R27+R30+R33+R36+R39</f>
        <v>26927958</v>
      </c>
      <c r="S20" s="193"/>
    </row>
    <row r="21" spans="1:22" ht="27.75" customHeight="1">
      <c r="A21" s="28">
        <v>1110</v>
      </c>
      <c r="B21" s="438" t="s">
        <v>18</v>
      </c>
      <c r="C21" s="212">
        <v>2024</v>
      </c>
      <c r="D21" s="881"/>
      <c r="E21" s="585">
        <v>24150</v>
      </c>
      <c r="F21" s="737">
        <v>30000</v>
      </c>
      <c r="G21" s="585">
        <v>25000</v>
      </c>
      <c r="H21" s="737">
        <f t="shared" ref="H21:H26" si="31">E21+F21+G21</f>
        <v>79150</v>
      </c>
      <c r="I21" s="1434" t="s">
        <v>375</v>
      </c>
      <c r="J21" s="29"/>
      <c r="K21" s="31"/>
      <c r="L21" s="30"/>
      <c r="M21" s="19"/>
      <c r="N21" s="58"/>
      <c r="O21" s="668">
        <f>E21+J21</f>
        <v>24150</v>
      </c>
      <c r="P21" s="669">
        <f>F21</f>
        <v>30000</v>
      </c>
      <c r="Q21" s="670">
        <f>G21+L21</f>
        <v>25000</v>
      </c>
      <c r="R21" s="671">
        <f t="shared" ref="R21:R23" si="32">H21</f>
        <v>79150</v>
      </c>
      <c r="S21" s="31"/>
    </row>
    <row r="22" spans="1:22" ht="27" customHeight="1">
      <c r="A22" s="32">
        <v>1110</v>
      </c>
      <c r="B22" s="446"/>
      <c r="C22" s="213">
        <v>2025</v>
      </c>
      <c r="D22" s="31"/>
      <c r="E22" s="344">
        <v>24150</v>
      </c>
      <c r="F22" s="335">
        <v>30000</v>
      </c>
      <c r="G22" s="344">
        <v>0</v>
      </c>
      <c r="H22" s="335">
        <f t="shared" si="31"/>
        <v>54150</v>
      </c>
      <c r="I22" s="1435"/>
      <c r="J22" s="33"/>
      <c r="K22" s="34"/>
      <c r="L22" s="30"/>
      <c r="M22" s="55"/>
      <c r="N22" s="69"/>
      <c r="O22" s="668">
        <f>E22+J22</f>
        <v>24150</v>
      </c>
      <c r="P22" s="672">
        <f t="shared" ref="P22:R32" si="33">F22</f>
        <v>30000</v>
      </c>
      <c r="Q22" s="670">
        <f t="shared" ref="Q22:Q41" si="34">G22+L22</f>
        <v>0</v>
      </c>
      <c r="R22" s="673">
        <f t="shared" si="32"/>
        <v>54150</v>
      </c>
      <c r="S22" s="34"/>
    </row>
    <row r="23" spans="1:22" ht="72.75" customHeight="1" thickBot="1">
      <c r="A23" s="35">
        <v>1110</v>
      </c>
      <c r="B23" s="453"/>
      <c r="C23" s="214">
        <v>2026</v>
      </c>
      <c r="D23" s="349"/>
      <c r="E23" s="346">
        <v>24150</v>
      </c>
      <c r="F23" s="336">
        <v>30000</v>
      </c>
      <c r="G23" s="346">
        <v>0</v>
      </c>
      <c r="H23" s="336">
        <f t="shared" si="31"/>
        <v>54150</v>
      </c>
      <c r="I23" s="1436"/>
      <c r="J23" s="36"/>
      <c r="K23" s="38"/>
      <c r="L23" s="37"/>
      <c r="M23" s="20"/>
      <c r="N23" s="70"/>
      <c r="O23" s="674">
        <f t="shared" ref="O23:O29" si="35">E23+J23</f>
        <v>24150</v>
      </c>
      <c r="P23" s="675">
        <f t="shared" si="33"/>
        <v>30000</v>
      </c>
      <c r="Q23" s="676">
        <f t="shared" si="34"/>
        <v>0</v>
      </c>
      <c r="R23" s="677">
        <f t="shared" si="32"/>
        <v>54150</v>
      </c>
      <c r="S23" s="38"/>
    </row>
    <row r="24" spans="1:22" ht="21.75" customHeight="1">
      <c r="A24" s="28" t="s">
        <v>24</v>
      </c>
      <c r="B24" s="438" t="s">
        <v>25</v>
      </c>
      <c r="C24" s="212">
        <v>2024</v>
      </c>
      <c r="D24" s="882">
        <v>172</v>
      </c>
      <c r="E24" s="585">
        <v>157000</v>
      </c>
      <c r="F24" s="737">
        <v>554000</v>
      </c>
      <c r="G24" s="585">
        <v>520000</v>
      </c>
      <c r="H24" s="737">
        <f t="shared" si="31"/>
        <v>1231000</v>
      </c>
      <c r="I24" s="1434" t="s">
        <v>376</v>
      </c>
      <c r="J24" s="337"/>
      <c r="K24" s="39"/>
      <c r="L24" s="585">
        <v>1337000</v>
      </c>
      <c r="M24" s="737">
        <f>J24+K24+L24</f>
        <v>1337000</v>
      </c>
      <c r="N24" s="1335" t="s">
        <v>440</v>
      </c>
      <c r="O24" s="678">
        <f>E24+J24</f>
        <v>157000</v>
      </c>
      <c r="P24" s="669">
        <f t="shared" ref="P24:P29" si="36">F24+K24</f>
        <v>554000</v>
      </c>
      <c r="Q24" s="679">
        <f>G24+L24</f>
        <v>1857000</v>
      </c>
      <c r="R24" s="680">
        <f>SUM(O24:Q24)</f>
        <v>2568000</v>
      </c>
      <c r="S24" s="39"/>
    </row>
    <row r="25" spans="1:22" ht="19.5" customHeight="1">
      <c r="A25" s="32" t="s">
        <v>24</v>
      </c>
      <c r="B25" s="446"/>
      <c r="C25" s="213">
        <v>2025</v>
      </c>
      <c r="D25" s="31"/>
      <c r="E25" s="344">
        <v>157000</v>
      </c>
      <c r="F25" s="335">
        <v>469000</v>
      </c>
      <c r="G25" s="344">
        <v>370000</v>
      </c>
      <c r="H25" s="335">
        <f t="shared" si="31"/>
        <v>996000</v>
      </c>
      <c r="I25" s="1435"/>
      <c r="J25" s="338"/>
      <c r="K25" s="40"/>
      <c r="L25" s="344">
        <v>986000</v>
      </c>
      <c r="M25" s="335">
        <f t="shared" ref="M25:M26" si="37">J25+K25+L25</f>
        <v>986000</v>
      </c>
      <c r="N25" s="1336"/>
      <c r="O25" s="490">
        <f t="shared" si="35"/>
        <v>157000</v>
      </c>
      <c r="P25" s="672">
        <f t="shared" si="36"/>
        <v>469000</v>
      </c>
      <c r="Q25" s="681">
        <f t="shared" si="34"/>
        <v>1356000</v>
      </c>
      <c r="R25" s="682">
        <f>SUM(O25:Q25)</f>
        <v>1982000</v>
      </c>
      <c r="S25" s="40"/>
    </row>
    <row r="26" spans="1:22" ht="26.25" customHeight="1" thickBot="1">
      <c r="A26" s="35" t="s">
        <v>24</v>
      </c>
      <c r="B26" s="453"/>
      <c r="C26" s="214">
        <v>2026</v>
      </c>
      <c r="D26" s="349"/>
      <c r="E26" s="346">
        <v>157000</v>
      </c>
      <c r="F26" s="336">
        <v>400000</v>
      </c>
      <c r="G26" s="346">
        <v>87000</v>
      </c>
      <c r="H26" s="336">
        <f t="shared" si="31"/>
        <v>644000</v>
      </c>
      <c r="I26" s="1436"/>
      <c r="J26" s="339"/>
      <c r="K26" s="41"/>
      <c r="L26" s="346">
        <v>560000</v>
      </c>
      <c r="M26" s="336">
        <f t="shared" si="37"/>
        <v>560000</v>
      </c>
      <c r="N26" s="1337"/>
      <c r="O26" s="683">
        <f t="shared" si="35"/>
        <v>157000</v>
      </c>
      <c r="P26" s="675">
        <f t="shared" si="36"/>
        <v>400000</v>
      </c>
      <c r="Q26" s="684">
        <f t="shared" si="34"/>
        <v>647000</v>
      </c>
      <c r="R26" s="685">
        <f>SUM(O26:Q26)</f>
        <v>1204000</v>
      </c>
      <c r="S26" s="41"/>
    </row>
    <row r="27" spans="1:22" ht="31.5" customHeight="1">
      <c r="A27" s="28" t="s">
        <v>26</v>
      </c>
      <c r="B27" s="438" t="s">
        <v>27</v>
      </c>
      <c r="C27" s="212">
        <v>2024</v>
      </c>
      <c r="D27" s="882" t="s">
        <v>377</v>
      </c>
      <c r="E27" s="585">
        <v>30808</v>
      </c>
      <c r="F27" s="737">
        <v>200000</v>
      </c>
      <c r="G27" s="585"/>
      <c r="H27" s="737">
        <f>E27+F27</f>
        <v>230808</v>
      </c>
      <c r="I27" s="1365" t="s">
        <v>378</v>
      </c>
      <c r="J27" s="340"/>
      <c r="K27" s="31"/>
      <c r="L27" s="343">
        <v>227000</v>
      </c>
      <c r="M27" s="356">
        <f>J27+K27+L27</f>
        <v>227000</v>
      </c>
      <c r="N27" s="1335" t="s">
        <v>379</v>
      </c>
      <c r="O27" s="678">
        <f>E27+J27</f>
        <v>30808</v>
      </c>
      <c r="P27" s="669">
        <f t="shared" si="36"/>
        <v>200000</v>
      </c>
      <c r="Q27" s="670">
        <f>G27+L27</f>
        <v>227000</v>
      </c>
      <c r="R27" s="671">
        <f>H27+M27</f>
        <v>457808</v>
      </c>
      <c r="S27" s="31"/>
      <c r="V27" s="332"/>
    </row>
    <row r="28" spans="1:22" ht="28.5" customHeight="1">
      <c r="A28" s="32" t="s">
        <v>26</v>
      </c>
      <c r="B28" s="438"/>
      <c r="C28" s="213">
        <v>2025</v>
      </c>
      <c r="D28" s="31"/>
      <c r="E28" s="344">
        <v>30808</v>
      </c>
      <c r="F28" s="335"/>
      <c r="G28" s="344"/>
      <c r="H28" s="335">
        <f>E28+F28</f>
        <v>30808</v>
      </c>
      <c r="I28" s="1366"/>
      <c r="J28" s="361"/>
      <c r="K28" s="34"/>
      <c r="L28" s="344">
        <v>565000</v>
      </c>
      <c r="M28" s="883">
        <f>J28+K28+L28</f>
        <v>565000</v>
      </c>
      <c r="N28" s="1336"/>
      <c r="O28" s="490">
        <f t="shared" si="35"/>
        <v>30808</v>
      </c>
      <c r="P28" s="672">
        <f t="shared" si="36"/>
        <v>0</v>
      </c>
      <c r="Q28" s="670">
        <f t="shared" si="34"/>
        <v>565000</v>
      </c>
      <c r="R28" s="673">
        <f t="shared" ref="R28:R29" si="38">H28+M28</f>
        <v>595808</v>
      </c>
      <c r="S28" s="34"/>
    </row>
    <row r="29" spans="1:22" ht="32.25" customHeight="1" thickBot="1">
      <c r="A29" s="35" t="s">
        <v>26</v>
      </c>
      <c r="B29" s="543"/>
      <c r="C29" s="214">
        <v>2026</v>
      </c>
      <c r="D29" s="349"/>
      <c r="E29" s="346">
        <v>30808</v>
      </c>
      <c r="F29" s="336"/>
      <c r="G29" s="346"/>
      <c r="H29" s="336">
        <f>E29+F29</f>
        <v>30808</v>
      </c>
      <c r="I29" s="1367"/>
      <c r="J29" s="362"/>
      <c r="K29" s="38"/>
      <c r="L29" s="346"/>
      <c r="M29" s="884">
        <f t="shared" ref="M29" si="39">SUM(J29:L29)</f>
        <v>0</v>
      </c>
      <c r="N29" s="1337"/>
      <c r="O29" s="683">
        <f t="shared" si="35"/>
        <v>30808</v>
      </c>
      <c r="P29" s="675">
        <f t="shared" si="36"/>
        <v>0</v>
      </c>
      <c r="Q29" s="676">
        <f t="shared" si="34"/>
        <v>0</v>
      </c>
      <c r="R29" s="677">
        <f t="shared" si="38"/>
        <v>30808</v>
      </c>
      <c r="S29" s="38"/>
    </row>
    <row r="30" spans="1:22" ht="42" customHeight="1">
      <c r="A30" s="28" t="s">
        <v>28</v>
      </c>
      <c r="B30" s="438" t="s">
        <v>29</v>
      </c>
      <c r="C30" s="212">
        <v>2024</v>
      </c>
      <c r="D30" s="882" t="s">
        <v>380</v>
      </c>
      <c r="E30" s="585">
        <v>107000</v>
      </c>
      <c r="F30" s="737"/>
      <c r="G30" s="585">
        <v>500000</v>
      </c>
      <c r="H30" s="585">
        <f>E30+F30+G30</f>
        <v>607000</v>
      </c>
      <c r="I30" s="1460" t="s">
        <v>381</v>
      </c>
      <c r="J30" s="342"/>
      <c r="K30" s="463">
        <v>16000000</v>
      </c>
      <c r="L30" s="30"/>
      <c r="M30" s="359">
        <f>SUM(J30:L30)</f>
        <v>16000000</v>
      </c>
      <c r="N30" s="1335" t="s">
        <v>441</v>
      </c>
      <c r="O30" s="678">
        <f>E30+J30</f>
        <v>107000</v>
      </c>
      <c r="P30" s="669">
        <f>F30+K30</f>
        <v>16000000</v>
      </c>
      <c r="Q30" s="670">
        <f>G30+L30</f>
        <v>500000</v>
      </c>
      <c r="R30" s="671">
        <f>SUM(O30:Q30)</f>
        <v>16607000</v>
      </c>
      <c r="S30" s="31"/>
    </row>
    <row r="31" spans="1:22" ht="30.75" customHeight="1">
      <c r="A31" s="32" t="s">
        <v>28</v>
      </c>
      <c r="B31" s="541"/>
      <c r="C31" s="213">
        <v>2025</v>
      </c>
      <c r="D31" s="31"/>
      <c r="E31" s="344">
        <v>107000</v>
      </c>
      <c r="F31" s="335"/>
      <c r="G31" s="344"/>
      <c r="H31" s="344">
        <f>E31+F31+G31</f>
        <v>107000</v>
      </c>
      <c r="I31" s="1461"/>
      <c r="J31" s="43"/>
      <c r="K31" s="34"/>
      <c r="L31" s="30"/>
      <c r="M31" s="55"/>
      <c r="N31" s="1336"/>
      <c r="O31" s="490">
        <f t="shared" ref="O31:O32" si="40">E31+J31</f>
        <v>107000</v>
      </c>
      <c r="P31" s="672">
        <f t="shared" ref="P31:P32" si="41">F31+K31</f>
        <v>0</v>
      </c>
      <c r="Q31" s="670">
        <f t="shared" si="34"/>
        <v>0</v>
      </c>
      <c r="R31" s="673">
        <f t="shared" si="33"/>
        <v>107000</v>
      </c>
      <c r="S31" s="34"/>
    </row>
    <row r="32" spans="1:22" ht="33.75" customHeight="1" thickBot="1">
      <c r="A32" s="35" t="s">
        <v>28</v>
      </c>
      <c r="B32" s="543"/>
      <c r="C32" s="214">
        <v>2026</v>
      </c>
      <c r="D32" s="349"/>
      <c r="E32" s="346">
        <v>107000</v>
      </c>
      <c r="F32" s="336"/>
      <c r="G32" s="346"/>
      <c r="H32" s="346">
        <f>E32+F32+G32</f>
        <v>107000</v>
      </c>
      <c r="I32" s="1462"/>
      <c r="J32" s="43"/>
      <c r="K32" s="38"/>
      <c r="L32" s="37"/>
      <c r="M32" s="20"/>
      <c r="N32" s="1337"/>
      <c r="O32" s="683">
        <f t="shared" si="40"/>
        <v>107000</v>
      </c>
      <c r="P32" s="675">
        <f t="shared" si="41"/>
        <v>0</v>
      </c>
      <c r="Q32" s="676">
        <f t="shared" si="34"/>
        <v>0</v>
      </c>
      <c r="R32" s="677">
        <f t="shared" si="33"/>
        <v>107000</v>
      </c>
      <c r="S32" s="38"/>
    </row>
    <row r="33" spans="1:19" ht="68.25" customHeight="1">
      <c r="A33" s="28" t="s">
        <v>30</v>
      </c>
      <c r="B33" s="438" t="s">
        <v>31</v>
      </c>
      <c r="C33" s="212">
        <v>2024</v>
      </c>
      <c r="D33" s="49" t="s">
        <v>382</v>
      </c>
      <c r="E33" s="517"/>
      <c r="F33" s="737">
        <v>5541000</v>
      </c>
      <c r="G33" s="720">
        <v>1425000</v>
      </c>
      <c r="H33" s="585">
        <f>SUM(E33:G33)</f>
        <v>6966000</v>
      </c>
      <c r="I33" s="1463" t="s">
        <v>383</v>
      </c>
      <c r="J33" s="585">
        <v>56000</v>
      </c>
      <c r="K33" s="885"/>
      <c r="L33" s="30"/>
      <c r="M33" s="585">
        <f>J33+K33+L33</f>
        <v>56000</v>
      </c>
      <c r="N33" s="1162" t="s">
        <v>442</v>
      </c>
      <c r="O33" s="678">
        <f>E33+J33</f>
        <v>56000</v>
      </c>
      <c r="P33" s="669">
        <f t="shared" ref="P33:P41" si="42">F33+K33</f>
        <v>5541000</v>
      </c>
      <c r="Q33" s="670">
        <f>G33+L33</f>
        <v>1425000</v>
      </c>
      <c r="R33" s="671">
        <f>O33+P33+Q33</f>
        <v>7022000</v>
      </c>
      <c r="S33" s="31"/>
    </row>
    <row r="34" spans="1:19" ht="36" customHeight="1">
      <c r="A34" s="32" t="s">
        <v>30</v>
      </c>
      <c r="B34" s="541"/>
      <c r="C34" s="213">
        <v>2025</v>
      </c>
      <c r="D34" s="30"/>
      <c r="E34" s="55"/>
      <c r="F34" s="335">
        <v>6105000</v>
      </c>
      <c r="G34" s="478">
        <v>3370000</v>
      </c>
      <c r="H34" s="344">
        <f>SUM(E34:G34)</f>
        <v>9475000</v>
      </c>
      <c r="I34" s="1464"/>
      <c r="J34" s="344">
        <v>56000</v>
      </c>
      <c r="K34" s="886"/>
      <c r="L34" s="30"/>
      <c r="M34" s="344">
        <f>J34+K34+L34</f>
        <v>56000</v>
      </c>
      <c r="N34" s="1163"/>
      <c r="O34" s="490">
        <f t="shared" ref="O34:O35" si="43">E34+J34</f>
        <v>56000</v>
      </c>
      <c r="P34" s="672">
        <f t="shared" si="42"/>
        <v>6105000</v>
      </c>
      <c r="Q34" s="670">
        <f t="shared" si="34"/>
        <v>3370000</v>
      </c>
      <c r="R34" s="673">
        <f t="shared" ref="R34:R35" si="44">O34+P34+Q34</f>
        <v>9531000</v>
      </c>
      <c r="S34" s="34"/>
    </row>
    <row r="35" spans="1:19" ht="69" customHeight="1" thickBot="1">
      <c r="A35" s="35" t="s">
        <v>30</v>
      </c>
      <c r="B35" s="543"/>
      <c r="C35" s="214">
        <v>2026</v>
      </c>
      <c r="D35" s="37"/>
      <c r="E35" s="20"/>
      <c r="F35" s="336">
        <v>6980000</v>
      </c>
      <c r="G35" s="479">
        <v>173000</v>
      </c>
      <c r="H35" s="346">
        <f>SUM(E35:G35)</f>
        <v>7153000</v>
      </c>
      <c r="I35" s="1465"/>
      <c r="J35" s="346">
        <v>80000</v>
      </c>
      <c r="K35" s="887"/>
      <c r="L35" s="37"/>
      <c r="M35" s="346">
        <f>J35+K35+L35</f>
        <v>80000</v>
      </c>
      <c r="N35" s="1164"/>
      <c r="O35" s="683">
        <f t="shared" si="43"/>
        <v>80000</v>
      </c>
      <c r="P35" s="675">
        <f t="shared" si="42"/>
        <v>6980000</v>
      </c>
      <c r="Q35" s="676">
        <f t="shared" si="34"/>
        <v>173000</v>
      </c>
      <c r="R35" s="677">
        <f t="shared" si="44"/>
        <v>7233000</v>
      </c>
      <c r="S35" s="38"/>
    </row>
    <row r="36" spans="1:19" ht="48" customHeight="1">
      <c r="A36" s="28" t="s">
        <v>32</v>
      </c>
      <c r="B36" s="438" t="s">
        <v>33</v>
      </c>
      <c r="C36" s="212">
        <v>2024</v>
      </c>
      <c r="D36" s="30"/>
      <c r="E36" s="517"/>
      <c r="F36" s="737">
        <v>30000</v>
      </c>
      <c r="G36" s="888">
        <v>144000</v>
      </c>
      <c r="H36" s="702">
        <f>E36+F36+G36</f>
        <v>174000</v>
      </c>
      <c r="I36" s="1365" t="s">
        <v>384</v>
      </c>
      <c r="J36" s="342"/>
      <c r="K36" s="31"/>
      <c r="L36" s="347"/>
      <c r="M36" s="348"/>
      <c r="N36" s="1335"/>
      <c r="O36" s="678">
        <f>E36+J36</f>
        <v>0</v>
      </c>
      <c r="P36" s="669">
        <f t="shared" si="42"/>
        <v>30000</v>
      </c>
      <c r="Q36" s="679">
        <f>G36+L36</f>
        <v>144000</v>
      </c>
      <c r="R36" s="680">
        <f>SUM(O36:Q36)</f>
        <v>174000</v>
      </c>
      <c r="S36" s="31"/>
    </row>
    <row r="37" spans="1:19" ht="33.75" customHeight="1">
      <c r="A37" s="32" t="s">
        <v>32</v>
      </c>
      <c r="B37" s="541"/>
      <c r="C37" s="213">
        <v>2025</v>
      </c>
      <c r="D37" s="30"/>
      <c r="E37" s="55"/>
      <c r="F37" s="688">
        <v>30000</v>
      </c>
      <c r="G37" s="526">
        <v>50000</v>
      </c>
      <c r="H37" s="341">
        <f>E37+F37+G37</f>
        <v>80000</v>
      </c>
      <c r="I37" s="1366"/>
      <c r="J37" s="43"/>
      <c r="K37" s="34"/>
      <c r="L37" s="350"/>
      <c r="M37" s="351"/>
      <c r="N37" s="1336"/>
      <c r="O37" s="490">
        <f t="shared" ref="O37:O38" si="45">E37+J37</f>
        <v>0</v>
      </c>
      <c r="P37" s="672">
        <f t="shared" si="42"/>
        <v>30000</v>
      </c>
      <c r="Q37" s="681">
        <f t="shared" si="34"/>
        <v>50000</v>
      </c>
      <c r="R37" s="682">
        <f>SUM(O37:Q37)</f>
        <v>80000</v>
      </c>
      <c r="S37" s="34"/>
    </row>
    <row r="38" spans="1:19" ht="108.75" customHeight="1" thickBot="1">
      <c r="A38" s="35" t="s">
        <v>32</v>
      </c>
      <c r="B38" s="42"/>
      <c r="C38" s="214">
        <v>2026</v>
      </c>
      <c r="D38" s="37"/>
      <c r="E38" s="20"/>
      <c r="F38" s="686">
        <v>30000</v>
      </c>
      <c r="G38" s="889">
        <v>40000</v>
      </c>
      <c r="H38" s="687">
        <f>E38+F38+G38</f>
        <v>70000</v>
      </c>
      <c r="I38" s="1367"/>
      <c r="J38" s="42"/>
      <c r="K38" s="38"/>
      <c r="L38" s="352"/>
      <c r="M38" s="353"/>
      <c r="N38" s="1337"/>
      <c r="O38" s="683">
        <f t="shared" si="45"/>
        <v>0</v>
      </c>
      <c r="P38" s="675">
        <f t="shared" si="42"/>
        <v>30000</v>
      </c>
      <c r="Q38" s="684">
        <f t="shared" si="34"/>
        <v>40000</v>
      </c>
      <c r="R38" s="685">
        <f>SUM(O38:Q38)</f>
        <v>70000</v>
      </c>
      <c r="S38" s="38"/>
    </row>
    <row r="39" spans="1:19" ht="43.5" customHeight="1">
      <c r="A39" s="28" t="s">
        <v>34</v>
      </c>
      <c r="B39" s="438" t="s">
        <v>35</v>
      </c>
      <c r="C39" s="212">
        <v>2024</v>
      </c>
      <c r="D39" s="30"/>
      <c r="E39" s="441"/>
      <c r="F39" s="442"/>
      <c r="G39" s="526">
        <v>20000</v>
      </c>
      <c r="H39" s="702">
        <f>E39+F39+G39</f>
        <v>20000</v>
      </c>
      <c r="I39" s="1365" t="s">
        <v>385</v>
      </c>
      <c r="J39" s="31"/>
      <c r="K39" s="31"/>
      <c r="L39" s="347"/>
      <c r="M39" s="348"/>
      <c r="N39" s="1335"/>
      <c r="O39" s="668">
        <f>E39+J39</f>
        <v>0</v>
      </c>
      <c r="P39" s="679">
        <f t="shared" si="42"/>
        <v>0</v>
      </c>
      <c r="Q39" s="689">
        <f>G39+L39</f>
        <v>20000</v>
      </c>
      <c r="R39" s="671">
        <f>H39+M39</f>
        <v>20000</v>
      </c>
      <c r="S39" s="31"/>
    </row>
    <row r="40" spans="1:19" ht="43.5" customHeight="1">
      <c r="A40" s="32" t="s">
        <v>34</v>
      </c>
      <c r="B40" s="29"/>
      <c r="C40" s="213">
        <v>2025</v>
      </c>
      <c r="D40" s="30"/>
      <c r="E40" s="55"/>
      <c r="F40" s="58"/>
      <c r="G40" s="105"/>
      <c r="H40" s="341">
        <f>E40+F40+G40</f>
        <v>0</v>
      </c>
      <c r="I40" s="1366"/>
      <c r="J40" s="34"/>
      <c r="K40" s="34"/>
      <c r="L40" s="350"/>
      <c r="M40" s="351"/>
      <c r="N40" s="1336"/>
      <c r="O40" s="668">
        <f t="shared" ref="O40:O41" si="46">E40+J40</f>
        <v>0</v>
      </c>
      <c r="P40" s="681">
        <f t="shared" si="42"/>
        <v>0</v>
      </c>
      <c r="Q40" s="689">
        <f t="shared" si="34"/>
        <v>0</v>
      </c>
      <c r="R40" s="673">
        <f t="shared" ref="R40:R41" si="47">H40+M40</f>
        <v>0</v>
      </c>
      <c r="S40" s="34"/>
    </row>
    <row r="41" spans="1:19" ht="37.5" customHeight="1" thickBot="1">
      <c r="A41" s="35" t="s">
        <v>34</v>
      </c>
      <c r="B41" s="42"/>
      <c r="C41" s="214">
        <v>2026</v>
      </c>
      <c r="D41" s="37"/>
      <c r="E41" s="20"/>
      <c r="F41" s="690"/>
      <c r="G41" s="109"/>
      <c r="H41" s="687">
        <f>SUM(E41:G41)</f>
        <v>0</v>
      </c>
      <c r="I41" s="1367"/>
      <c r="J41" s="38"/>
      <c r="K41" s="38"/>
      <c r="L41" s="352"/>
      <c r="M41" s="353"/>
      <c r="N41" s="1337"/>
      <c r="O41" s="668">
        <f t="shared" si="46"/>
        <v>0</v>
      </c>
      <c r="P41" s="681">
        <f t="shared" si="42"/>
        <v>0</v>
      </c>
      <c r="Q41" s="691">
        <f t="shared" si="34"/>
        <v>0</v>
      </c>
      <c r="R41" s="677">
        <f t="shared" si="47"/>
        <v>0</v>
      </c>
      <c r="S41" s="38"/>
    </row>
    <row r="42" spans="1:19" ht="16.5" thickBot="1">
      <c r="A42" s="5" t="s">
        <v>235</v>
      </c>
      <c r="B42" s="17" t="s">
        <v>236</v>
      </c>
      <c r="C42" s="18"/>
      <c r="D42" s="169"/>
      <c r="E42" s="160">
        <f>E43+E46+E49+E52+E55+E58+E61+E64+E67+E70+E73</f>
        <v>59293.600000000006</v>
      </c>
      <c r="F42" s="161">
        <f>F43+F46+F49+F52+F55+F58+F61+F64+F67+F70+F73</f>
        <v>3887929.8659999999</v>
      </c>
      <c r="G42" s="162">
        <f t="shared" ref="G42" si="48">G43+G46+G49+G52+G55+G58+G61+G64+G67+G70+G73</f>
        <v>89544217.310000002</v>
      </c>
      <c r="H42" s="122">
        <f>H43+H46+H49+H52+H55+H58+H61+H64+H67+H70+H73</f>
        <v>93491440.776000008</v>
      </c>
      <c r="I42" s="191"/>
      <c r="J42" s="161">
        <f>J43+J46+J49+J52+J55+J58+J61+J64+J67+J70+J73</f>
        <v>0</v>
      </c>
      <c r="K42" s="162">
        <f t="shared" ref="K42:M42" si="49">K43+K46+K49+K52+K55+K58+K61+K64+K67+K70+K73</f>
        <v>0</v>
      </c>
      <c r="L42" s="169">
        <f t="shared" si="49"/>
        <v>19239821.708999999</v>
      </c>
      <c r="M42" s="111">
        <f t="shared" si="49"/>
        <v>19239821.708999999</v>
      </c>
      <c r="N42" s="192"/>
      <c r="O42" s="162">
        <f>O43+O46+O49+O52+O55+O58+O61+O64+O67+O70+O73</f>
        <v>59293.600000000006</v>
      </c>
      <c r="P42" s="162">
        <f>P43+P46+P49+P52+P55+P58+P61+P64+P67+P70+P73</f>
        <v>3887929.8659999999</v>
      </c>
      <c r="Q42" s="162">
        <f t="shared" ref="Q42:R42" si="50">Q43+Q46+Q49+Q52+Q55+Q58+Q61+Q64+Q67+Q70+Q73</f>
        <v>108784039.01900001</v>
      </c>
      <c r="R42" s="162">
        <f t="shared" si="50"/>
        <v>112731262.48500001</v>
      </c>
      <c r="S42" s="193"/>
    </row>
    <row r="43" spans="1:19" ht="23.25" customHeight="1">
      <c r="A43" s="28">
        <v>1110</v>
      </c>
      <c r="B43" s="29" t="s">
        <v>18</v>
      </c>
      <c r="C43" s="212">
        <v>2024</v>
      </c>
      <c r="D43" s="30"/>
      <c r="E43" s="779"/>
      <c r="F43" s="334">
        <v>600000</v>
      </c>
      <c r="G43" s="103"/>
      <c r="H43" s="334">
        <f>SUM(E43:G43)</f>
        <v>600000</v>
      </c>
      <c r="I43" s="1287" t="s">
        <v>314</v>
      </c>
      <c r="J43" s="404"/>
      <c r="K43" s="405"/>
      <c r="L43" s="406"/>
      <c r="M43" s="407"/>
      <c r="N43" s="1263"/>
      <c r="O43" s="100"/>
      <c r="P43" s="101">
        <f>F43</f>
        <v>600000</v>
      </c>
      <c r="Q43" s="158">
        <f>G43+L43</f>
        <v>0</v>
      </c>
      <c r="R43" s="142">
        <f t="shared" ref="R43:R44" si="51">H43</f>
        <v>600000</v>
      </c>
      <c r="S43" s="31"/>
    </row>
    <row r="44" spans="1:19" ht="25.5" customHeight="1">
      <c r="A44" s="32">
        <v>1110</v>
      </c>
      <c r="B44" s="33"/>
      <c r="C44" s="213">
        <v>2025</v>
      </c>
      <c r="D44" s="30"/>
      <c r="E44" s="780"/>
      <c r="F44" s="335"/>
      <c r="G44" s="105"/>
      <c r="H44" s="335">
        <f>SUM(E44:G44)</f>
        <v>0</v>
      </c>
      <c r="I44" s="1288"/>
      <c r="J44" s="408"/>
      <c r="K44" s="409"/>
      <c r="L44" s="406"/>
      <c r="M44" s="409"/>
      <c r="N44" s="1264"/>
      <c r="O44" s="100"/>
      <c r="P44" s="104">
        <f t="shared" ref="P44:P45" si="52">F44</f>
        <v>0</v>
      </c>
      <c r="Q44" s="158">
        <f t="shared" ref="Q44" si="53">G44</f>
        <v>0</v>
      </c>
      <c r="R44" s="143">
        <f t="shared" si="51"/>
        <v>0</v>
      </c>
      <c r="S44" s="34"/>
    </row>
    <row r="45" spans="1:19" ht="46.5" customHeight="1" thickBot="1">
      <c r="A45" s="35">
        <v>1110</v>
      </c>
      <c r="B45" s="36"/>
      <c r="C45" s="214">
        <v>2026</v>
      </c>
      <c r="D45" s="37"/>
      <c r="E45" s="781"/>
      <c r="F45" s="336"/>
      <c r="G45" s="109"/>
      <c r="H45" s="336">
        <f>SUM(E45:G45)</f>
        <v>0</v>
      </c>
      <c r="I45" s="1289"/>
      <c r="J45" s="410"/>
      <c r="K45" s="411"/>
      <c r="L45" s="412"/>
      <c r="M45" s="314">
        <f>J45+K45+L45</f>
        <v>0</v>
      </c>
      <c r="N45" s="1265"/>
      <c r="O45" s="106"/>
      <c r="P45" s="107">
        <f t="shared" si="52"/>
        <v>0</v>
      </c>
      <c r="Q45" s="108">
        <f>L45</f>
        <v>0</v>
      </c>
      <c r="R45" s="144">
        <f>M45</f>
        <v>0</v>
      </c>
      <c r="S45" s="38"/>
    </row>
    <row r="46" spans="1:19" s="219" customFormat="1" ht="26.25" customHeight="1" thickBot="1">
      <c r="A46" s="379">
        <v>4520</v>
      </c>
      <c r="B46" s="438" t="s">
        <v>237</v>
      </c>
      <c r="C46" s="212">
        <v>2024</v>
      </c>
      <c r="D46" s="440"/>
      <c r="E46" s="782">
        <f>50882.8+8410.8</f>
        <v>59293.600000000006</v>
      </c>
      <c r="F46" s="724">
        <v>3242344.8659999999</v>
      </c>
      <c r="G46" s="480">
        <f>83554102.56+1976064.75</f>
        <v>85530167.310000002</v>
      </c>
      <c r="H46" s="465">
        <f>E46+F46+G46</f>
        <v>88831805.776000008</v>
      </c>
      <c r="I46" s="1159" t="s">
        <v>315</v>
      </c>
      <c r="J46" s="444"/>
      <c r="K46" s="443"/>
      <c r="L46" s="460"/>
      <c r="M46" s="463">
        <f>J46+K46+L46</f>
        <v>0</v>
      </c>
      <c r="N46" s="1394"/>
      <c r="O46" s="445">
        <f>E46+J46</f>
        <v>59293.600000000006</v>
      </c>
      <c r="P46" s="445">
        <f t="shared" ref="P46:Q48" si="54">F46+K46</f>
        <v>3242344.8659999999</v>
      </c>
      <c r="Q46" s="445">
        <f>G46+L46</f>
        <v>85530167.310000002</v>
      </c>
      <c r="R46" s="445">
        <f>H46+M46</f>
        <v>88831805.776000008</v>
      </c>
      <c r="S46" s="443"/>
    </row>
    <row r="47" spans="1:19" s="219" customFormat="1" ht="41.25" customHeight="1" thickBot="1">
      <c r="A47" s="379">
        <v>4520</v>
      </c>
      <c r="B47" s="446"/>
      <c r="C47" s="213">
        <v>2025</v>
      </c>
      <c r="D47" s="448"/>
      <c r="E47" s="557">
        <v>59293.600000000006</v>
      </c>
      <c r="F47" s="724">
        <v>8410973.1569999997</v>
      </c>
      <c r="G47" s="481">
        <v>37457357</v>
      </c>
      <c r="H47" s="466">
        <f>E47+F47+G47</f>
        <v>45927623.756999999</v>
      </c>
      <c r="I47" s="1160"/>
      <c r="J47" s="452"/>
      <c r="K47" s="451"/>
      <c r="L47" s="461"/>
      <c r="M47" s="463">
        <f t="shared" ref="M47:M48" si="55">J47+K47+L47</f>
        <v>0</v>
      </c>
      <c r="N47" s="1395"/>
      <c r="O47" s="445">
        <f t="shared" ref="O47:O48" si="56">E47+J47</f>
        <v>59293.600000000006</v>
      </c>
      <c r="P47" s="445">
        <f t="shared" si="54"/>
        <v>8410973.1569999997</v>
      </c>
      <c r="Q47" s="445">
        <f t="shared" si="54"/>
        <v>37457357</v>
      </c>
      <c r="R47" s="445">
        <f>H47+M47</f>
        <v>45927623.756999999</v>
      </c>
      <c r="S47" s="451"/>
    </row>
    <row r="48" spans="1:19" s="219" customFormat="1" ht="34.5" customHeight="1" thickBot="1">
      <c r="A48" s="397">
        <v>4520</v>
      </c>
      <c r="B48" s="453"/>
      <c r="C48" s="214">
        <v>2026</v>
      </c>
      <c r="D48" s="455"/>
      <c r="E48" s="534">
        <v>59293.600000000006</v>
      </c>
      <c r="F48" s="725">
        <v>10056543.357000001</v>
      </c>
      <c r="G48" s="482">
        <v>29378200</v>
      </c>
      <c r="H48" s="467">
        <f>E48+F48+G48</f>
        <v>39494036.957000002</v>
      </c>
      <c r="I48" s="1161"/>
      <c r="J48" s="459"/>
      <c r="K48" s="458"/>
      <c r="L48" s="462"/>
      <c r="M48" s="464">
        <f t="shared" si="55"/>
        <v>0</v>
      </c>
      <c r="N48" s="1396"/>
      <c r="O48" s="609">
        <f t="shared" si="56"/>
        <v>59293.600000000006</v>
      </c>
      <c r="P48" s="609">
        <f t="shared" si="54"/>
        <v>10056543.357000001</v>
      </c>
      <c r="Q48" s="609">
        <f t="shared" si="54"/>
        <v>29378200</v>
      </c>
      <c r="R48" s="609">
        <f>H48+M48</f>
        <v>39494036.957000002</v>
      </c>
      <c r="S48" s="458"/>
    </row>
    <row r="49" spans="1:22" ht="27" customHeight="1">
      <c r="A49" s="28">
        <v>4540</v>
      </c>
      <c r="B49" s="29" t="s">
        <v>238</v>
      </c>
      <c r="C49" s="212">
        <v>2024</v>
      </c>
      <c r="D49" s="49"/>
      <c r="E49" s="340"/>
      <c r="F49" s="334"/>
      <c r="G49" s="483"/>
      <c r="H49" s="341">
        <f>E49+F49+G49</f>
        <v>0</v>
      </c>
      <c r="I49" s="1159"/>
      <c r="J49" s="783"/>
      <c r="K49" s="31"/>
      <c r="L49" s="413">
        <v>10927700</v>
      </c>
      <c r="M49" s="334">
        <f>SUM(J49:L49)</f>
        <v>10927700</v>
      </c>
      <c r="N49" s="1281" t="s">
        <v>316</v>
      </c>
      <c r="O49" s="100">
        <f>E49+J49</f>
        <v>0</v>
      </c>
      <c r="P49" s="101">
        <f t="shared" ref="P49:P51" si="57">F49+K49</f>
        <v>0</v>
      </c>
      <c r="Q49" s="158">
        <f>G49+L49</f>
        <v>10927700</v>
      </c>
      <c r="R49" s="142">
        <f>H49+M49</f>
        <v>10927700</v>
      </c>
      <c r="S49" s="31"/>
      <c r="V49" s="332"/>
    </row>
    <row r="50" spans="1:22" ht="33" customHeight="1">
      <c r="A50" s="28">
        <v>4540</v>
      </c>
      <c r="B50" s="29"/>
      <c r="C50" s="213">
        <v>2025</v>
      </c>
      <c r="D50" s="30"/>
      <c r="E50" s="780"/>
      <c r="F50" s="784"/>
      <c r="G50" s="484"/>
      <c r="H50" s="341">
        <f t="shared" ref="H50:H51" si="58">E50+F50+G50</f>
        <v>0</v>
      </c>
      <c r="I50" s="1160"/>
      <c r="J50" s="783"/>
      <c r="K50" s="34"/>
      <c r="L50" s="344"/>
      <c r="M50" s="785"/>
      <c r="N50" s="1282"/>
      <c r="O50" s="100">
        <f t="shared" ref="O50:O51" si="59">E50+J50</f>
        <v>0</v>
      </c>
      <c r="P50" s="104">
        <f t="shared" si="57"/>
        <v>0</v>
      </c>
      <c r="Q50" s="158">
        <f t="shared" ref="Q50:Q51" si="60">G50+L50</f>
        <v>0</v>
      </c>
      <c r="R50" s="143">
        <f t="shared" ref="R50:R51" si="61">H50+M50</f>
        <v>0</v>
      </c>
      <c r="S50" s="34"/>
    </row>
    <row r="51" spans="1:22" ht="43.5" customHeight="1" thickBot="1">
      <c r="A51" s="20">
        <v>4540</v>
      </c>
      <c r="B51" s="42"/>
      <c r="C51" s="214">
        <v>2026</v>
      </c>
      <c r="D51" s="37"/>
      <c r="E51" s="781"/>
      <c r="F51" s="345"/>
      <c r="G51" s="485"/>
      <c r="H51" s="341">
        <f t="shared" si="58"/>
        <v>0</v>
      </c>
      <c r="I51" s="1161"/>
      <c r="J51" s="42"/>
      <c r="K51" s="38"/>
      <c r="L51" s="346"/>
      <c r="M51" s="786"/>
      <c r="N51" s="1283"/>
      <c r="O51" s="106">
        <f t="shared" si="59"/>
        <v>0</v>
      </c>
      <c r="P51" s="107">
        <f t="shared" si="57"/>
        <v>0</v>
      </c>
      <c r="Q51" s="108">
        <f t="shared" si="60"/>
        <v>0</v>
      </c>
      <c r="R51" s="144">
        <f t="shared" si="61"/>
        <v>0</v>
      </c>
      <c r="S51" s="38"/>
    </row>
    <row r="52" spans="1:22" s="933" customFormat="1" ht="15.75" customHeight="1">
      <c r="A52" s="920">
        <v>4550</v>
      </c>
      <c r="B52" s="921" t="s">
        <v>239</v>
      </c>
      <c r="C52" s="922">
        <v>2024</v>
      </c>
      <c r="D52" s="923"/>
      <c r="E52" s="924"/>
      <c r="F52" s="925"/>
      <c r="G52" s="926"/>
      <c r="H52" s="927"/>
      <c r="I52" s="1257"/>
      <c r="J52" s="928"/>
      <c r="K52" s="929"/>
      <c r="L52" s="930"/>
      <c r="M52" s="931"/>
      <c r="N52" s="1266"/>
      <c r="O52" s="996">
        <f>E52</f>
        <v>0</v>
      </c>
      <c r="P52" s="997">
        <f t="shared" ref="P52:P54" si="62">F52</f>
        <v>0</v>
      </c>
      <c r="Q52" s="998">
        <f>L52+G52</f>
        <v>0</v>
      </c>
      <c r="R52" s="998">
        <f>M52</f>
        <v>0</v>
      </c>
      <c r="S52" s="932"/>
    </row>
    <row r="53" spans="1:22" s="933" customFormat="1" ht="15.75">
      <c r="A53" s="920">
        <v>4550</v>
      </c>
      <c r="B53" s="934"/>
      <c r="C53" s="935">
        <v>2025</v>
      </c>
      <c r="D53" s="923"/>
      <c r="E53" s="936"/>
      <c r="F53" s="937"/>
      <c r="G53" s="938"/>
      <c r="H53" s="939"/>
      <c r="I53" s="1258"/>
      <c r="J53" s="940"/>
      <c r="K53" s="941"/>
      <c r="L53" s="930"/>
      <c r="M53" s="931"/>
      <c r="N53" s="1267"/>
      <c r="O53" s="996">
        <f t="shared" ref="O53:O54" si="63">E53</f>
        <v>0</v>
      </c>
      <c r="P53" s="999">
        <f t="shared" si="62"/>
        <v>0</v>
      </c>
      <c r="Q53" s="998">
        <f t="shared" ref="Q53:R54" si="64">L53</f>
        <v>0</v>
      </c>
      <c r="R53" s="998">
        <f t="shared" si="64"/>
        <v>0</v>
      </c>
      <c r="S53" s="942"/>
    </row>
    <row r="54" spans="1:22" s="933" customFormat="1" ht="16.5" thickBot="1">
      <c r="A54" s="943">
        <v>4550</v>
      </c>
      <c r="B54" s="944"/>
      <c r="C54" s="945">
        <v>2026</v>
      </c>
      <c r="D54" s="946"/>
      <c r="E54" s="947"/>
      <c r="F54" s="948"/>
      <c r="G54" s="949"/>
      <c r="H54" s="950"/>
      <c r="I54" s="1259"/>
      <c r="J54" s="951"/>
      <c r="K54" s="952"/>
      <c r="L54" s="953"/>
      <c r="M54" s="954"/>
      <c r="N54" s="1268"/>
      <c r="O54" s="1000">
        <f t="shared" si="63"/>
        <v>0</v>
      </c>
      <c r="P54" s="1001">
        <f t="shared" si="62"/>
        <v>0</v>
      </c>
      <c r="Q54" s="1001">
        <f t="shared" si="64"/>
        <v>0</v>
      </c>
      <c r="R54" s="1001">
        <f t="shared" si="64"/>
        <v>0</v>
      </c>
      <c r="S54" s="955"/>
    </row>
    <row r="55" spans="1:22" ht="30.75" customHeight="1">
      <c r="A55" s="28">
        <v>4560</v>
      </c>
      <c r="B55" s="29" t="s">
        <v>240</v>
      </c>
      <c r="C55" s="212">
        <v>2024</v>
      </c>
      <c r="D55" s="30"/>
      <c r="E55" s="787"/>
      <c r="F55" s="414"/>
      <c r="G55" s="486"/>
      <c r="H55" s="343">
        <f>SUM(F55:G55)</f>
        <v>0</v>
      </c>
      <c r="I55" s="1260"/>
      <c r="J55" s="432"/>
      <c r="K55" s="277"/>
      <c r="L55" s="433">
        <v>7200</v>
      </c>
      <c r="M55" s="359">
        <f>J55+K55+L55</f>
        <v>7200</v>
      </c>
      <c r="N55" s="1269" t="s">
        <v>317</v>
      </c>
      <c r="O55" s="100">
        <f>E55</f>
        <v>0</v>
      </c>
      <c r="P55" s="101">
        <v>0</v>
      </c>
      <c r="Q55" s="158">
        <f>L55+G55</f>
        <v>7200</v>
      </c>
      <c r="R55" s="142">
        <f>M55+H55</f>
        <v>7200</v>
      </c>
      <c r="S55" s="31"/>
    </row>
    <row r="56" spans="1:22" ht="36" customHeight="1">
      <c r="A56" s="28">
        <v>4560</v>
      </c>
      <c r="B56" s="43"/>
      <c r="C56" s="213">
        <v>2025</v>
      </c>
      <c r="D56" s="30"/>
      <c r="E56" s="788"/>
      <c r="F56" s="418"/>
      <c r="G56" s="487"/>
      <c r="H56" s="344">
        <f>SUM(F56:G56)</f>
        <v>0</v>
      </c>
      <c r="I56" s="1261"/>
      <c r="J56" s="434"/>
      <c r="K56" s="430"/>
      <c r="L56" s="433"/>
      <c r="M56" s="359">
        <f t="shared" ref="M56:M57" si="65">J56+K56+L56</f>
        <v>0</v>
      </c>
      <c r="N56" s="1270"/>
      <c r="O56" s="100">
        <f t="shared" ref="O56:O57" si="66">E56</f>
        <v>0</v>
      </c>
      <c r="P56" s="101">
        <f t="shared" ref="P56:P57" si="67">K56</f>
        <v>0</v>
      </c>
      <c r="Q56" s="158">
        <f t="shared" ref="Q56:Q57" si="68">G56</f>
        <v>0</v>
      </c>
      <c r="R56" s="142">
        <f t="shared" ref="R56:R57" si="69">M56</f>
        <v>0</v>
      </c>
      <c r="S56" s="34"/>
    </row>
    <row r="57" spans="1:22" ht="30.75" customHeight="1" thickBot="1">
      <c r="A57" s="20">
        <v>4560</v>
      </c>
      <c r="B57" s="42"/>
      <c r="C57" s="214">
        <v>2026</v>
      </c>
      <c r="D57" s="37"/>
      <c r="E57" s="789"/>
      <c r="F57" s="421"/>
      <c r="G57" s="488"/>
      <c r="H57" s="346">
        <f>SUM(F57:G57)</f>
        <v>0</v>
      </c>
      <c r="I57" s="1262"/>
      <c r="J57" s="435"/>
      <c r="K57" s="431"/>
      <c r="L57" s="436"/>
      <c r="M57" s="362">
        <f t="shared" si="65"/>
        <v>0</v>
      </c>
      <c r="N57" s="1271"/>
      <c r="O57" s="596">
        <f t="shared" si="66"/>
        <v>0</v>
      </c>
      <c r="P57" s="107">
        <f t="shared" si="67"/>
        <v>0</v>
      </c>
      <c r="Q57" s="108">
        <f t="shared" si="68"/>
        <v>0</v>
      </c>
      <c r="R57" s="144">
        <f t="shared" si="69"/>
        <v>0</v>
      </c>
      <c r="S57" s="38"/>
    </row>
    <row r="58" spans="1:22" ht="60.75" customHeight="1">
      <c r="A58" s="28">
        <v>6370</v>
      </c>
      <c r="B58" s="29" t="s">
        <v>241</v>
      </c>
      <c r="C58" s="212">
        <v>2024</v>
      </c>
      <c r="D58" s="30"/>
      <c r="E58" s="790"/>
      <c r="F58" s="343"/>
      <c r="G58" s="475">
        <v>1000000</v>
      </c>
      <c r="H58" s="348">
        <f>SUM(E58:G58)</f>
        <v>1000000</v>
      </c>
      <c r="I58" s="1269" t="s">
        <v>318</v>
      </c>
      <c r="J58" s="783"/>
      <c r="K58" s="31"/>
      <c r="L58" s="437">
        <v>8221394.193</v>
      </c>
      <c r="M58" s="359">
        <f>J58+K58+L58</f>
        <v>8221394.193</v>
      </c>
      <c r="N58" s="1290" t="s">
        <v>443</v>
      </c>
      <c r="O58" s="31">
        <v>0</v>
      </c>
      <c r="P58" s="31">
        <f t="shared" ref="P58:R60" si="70">F58+K58</f>
        <v>0</v>
      </c>
      <c r="Q58" s="1002">
        <f>G58+L58</f>
        <v>9221394.193</v>
      </c>
      <c r="R58" s="359">
        <f>H58+M58</f>
        <v>9221394.193</v>
      </c>
      <c r="S58" s="31"/>
    </row>
    <row r="59" spans="1:22" ht="55.5" customHeight="1">
      <c r="A59" s="28">
        <v>6370</v>
      </c>
      <c r="B59" s="43"/>
      <c r="C59" s="213">
        <v>2025</v>
      </c>
      <c r="D59" s="30"/>
      <c r="E59" s="780"/>
      <c r="F59" s="43"/>
      <c r="G59" s="476">
        <v>1000000</v>
      </c>
      <c r="H59" s="351">
        <f>SUM(E59:G59)</f>
        <v>1000000</v>
      </c>
      <c r="I59" s="1270"/>
      <c r="J59" s="43"/>
      <c r="K59" s="34"/>
      <c r="L59" s="437">
        <v>13694120</v>
      </c>
      <c r="M59" s="359">
        <f t="shared" ref="M59:M60" si="71">J59+K59+L59</f>
        <v>13694120</v>
      </c>
      <c r="N59" s="1291"/>
      <c r="O59" s="43">
        <f t="shared" ref="O59:O60" si="72">E59+J59</f>
        <v>0</v>
      </c>
      <c r="P59" s="34">
        <f t="shared" si="70"/>
        <v>0</v>
      </c>
      <c r="Q59" s="437">
        <f t="shared" si="70"/>
        <v>14694120</v>
      </c>
      <c r="R59" s="359">
        <f t="shared" si="70"/>
        <v>14694120</v>
      </c>
      <c r="S59" s="34"/>
    </row>
    <row r="60" spans="1:22" ht="35.25" customHeight="1" thickBot="1">
      <c r="A60" s="20">
        <v>6370</v>
      </c>
      <c r="B60" s="42"/>
      <c r="C60" s="214">
        <v>2026</v>
      </c>
      <c r="D60" s="37"/>
      <c r="E60" s="781"/>
      <c r="F60" s="42"/>
      <c r="G60" s="477">
        <v>1000000</v>
      </c>
      <c r="H60" s="353">
        <f>SUM(E60:G60)</f>
        <v>1000000</v>
      </c>
      <c r="I60" s="1271"/>
      <c r="J60" s="42"/>
      <c r="K60" s="38"/>
      <c r="L60" s="412">
        <v>19187991</v>
      </c>
      <c r="M60" s="362">
        <f t="shared" si="71"/>
        <v>19187991</v>
      </c>
      <c r="N60" s="1292"/>
      <c r="O60" s="42">
        <f t="shared" si="72"/>
        <v>0</v>
      </c>
      <c r="P60" s="38">
        <f t="shared" si="70"/>
        <v>0</v>
      </c>
      <c r="Q60" s="412">
        <f>G60+L60</f>
        <v>20187991</v>
      </c>
      <c r="R60" s="362">
        <f>H60+M60</f>
        <v>20187991</v>
      </c>
      <c r="S60" s="38"/>
    </row>
    <row r="61" spans="1:22" s="969" customFormat="1" ht="25.5" customHeight="1">
      <c r="A61" s="956">
        <v>6220</v>
      </c>
      <c r="B61" s="957" t="s">
        <v>242</v>
      </c>
      <c r="C61" s="922">
        <v>2024</v>
      </c>
      <c r="D61" s="923"/>
      <c r="E61" s="958"/>
      <c r="F61" s="959"/>
      <c r="G61" s="960"/>
      <c r="H61" s="923"/>
      <c r="I61" s="1284"/>
      <c r="J61" s="961"/>
      <c r="K61" s="932"/>
      <c r="L61" s="962"/>
      <c r="M61" s="963">
        <f>SUM(J61:L61)</f>
        <v>0</v>
      </c>
      <c r="N61" s="1293"/>
      <c r="O61" s="964">
        <f t="shared" ref="O61:R63" si="73">E61</f>
        <v>0</v>
      </c>
      <c r="P61" s="965">
        <f t="shared" si="73"/>
        <v>0</v>
      </c>
      <c r="Q61" s="966">
        <f>G61+L61</f>
        <v>0</v>
      </c>
      <c r="R61" s="967">
        <f t="shared" si="73"/>
        <v>0</v>
      </c>
      <c r="S61" s="968"/>
    </row>
    <row r="62" spans="1:22" s="969" customFormat="1" ht="24" customHeight="1">
      <c r="A62" s="956">
        <v>6220</v>
      </c>
      <c r="B62" s="970"/>
      <c r="C62" s="935">
        <v>2025</v>
      </c>
      <c r="D62" s="923"/>
      <c r="E62" s="971"/>
      <c r="F62" s="972"/>
      <c r="G62" s="973"/>
      <c r="H62" s="923"/>
      <c r="I62" s="1285"/>
      <c r="J62" s="934"/>
      <c r="K62" s="942"/>
      <c r="L62" s="974"/>
      <c r="M62" s="975">
        <f>SUM(J62:L62)</f>
        <v>0</v>
      </c>
      <c r="N62" s="1294"/>
      <c r="O62" s="964">
        <f t="shared" si="73"/>
        <v>0</v>
      </c>
      <c r="P62" s="976">
        <f t="shared" si="73"/>
        <v>0</v>
      </c>
      <c r="Q62" s="966">
        <f t="shared" si="73"/>
        <v>0</v>
      </c>
      <c r="R62" s="977">
        <f t="shared" si="73"/>
        <v>0</v>
      </c>
      <c r="S62" s="978"/>
    </row>
    <row r="63" spans="1:22" s="969" customFormat="1" ht="24" customHeight="1" thickBot="1">
      <c r="A63" s="947">
        <v>6220</v>
      </c>
      <c r="B63" s="979"/>
      <c r="C63" s="945">
        <v>2026</v>
      </c>
      <c r="D63" s="946"/>
      <c r="E63" s="943"/>
      <c r="F63" s="980"/>
      <c r="G63" s="981"/>
      <c r="H63" s="946"/>
      <c r="I63" s="1286"/>
      <c r="J63" s="944"/>
      <c r="K63" s="955"/>
      <c r="L63" s="982"/>
      <c r="M63" s="983">
        <f>SUM(J63:L63)</f>
        <v>0</v>
      </c>
      <c r="N63" s="1295"/>
      <c r="O63" s="984">
        <f t="shared" si="73"/>
        <v>0</v>
      </c>
      <c r="P63" s="985">
        <f t="shared" si="73"/>
        <v>0</v>
      </c>
      <c r="Q63" s="986">
        <f t="shared" si="73"/>
        <v>0</v>
      </c>
      <c r="R63" s="987">
        <f t="shared" si="73"/>
        <v>0</v>
      </c>
      <c r="S63" s="988"/>
    </row>
    <row r="64" spans="1:22" s="219" customFormat="1" ht="15.75" customHeight="1">
      <c r="A64" s="379">
        <v>4320</v>
      </c>
      <c r="B64" s="438" t="s">
        <v>243</v>
      </c>
      <c r="C64" s="212">
        <v>2024</v>
      </c>
      <c r="D64" s="30"/>
      <c r="E64" s="795"/>
      <c r="F64" s="796"/>
      <c r="G64" s="490"/>
      <c r="H64" s="100"/>
      <c r="I64" s="1449" t="s">
        <v>319</v>
      </c>
      <c r="J64" s="783"/>
      <c r="K64" s="31"/>
      <c r="L64" s="347"/>
      <c r="M64" s="348"/>
      <c r="N64" s="1287"/>
      <c r="O64" s="383">
        <f t="shared" ref="O64:R66" si="74">J64</f>
        <v>0</v>
      </c>
      <c r="P64" s="375">
        <f t="shared" si="74"/>
        <v>0</v>
      </c>
      <c r="Q64" s="376">
        <f t="shared" si="74"/>
        <v>0</v>
      </c>
      <c r="R64" s="526">
        <f t="shared" si="74"/>
        <v>0</v>
      </c>
      <c r="S64" s="502"/>
    </row>
    <row r="65" spans="1:19" s="219" customFormat="1" ht="15.75">
      <c r="A65" s="388" t="s">
        <v>32</v>
      </c>
      <c r="B65" s="541"/>
      <c r="C65" s="213">
        <v>2025</v>
      </c>
      <c r="D65" s="30"/>
      <c r="E65" s="797"/>
      <c r="F65" s="798"/>
      <c r="G65" s="491"/>
      <c r="H65" s="100"/>
      <c r="I65" s="1450"/>
      <c r="J65" s="43"/>
      <c r="K65" s="34"/>
      <c r="L65" s="350"/>
      <c r="M65" s="351"/>
      <c r="N65" s="1288"/>
      <c r="O65" s="383">
        <f t="shared" si="74"/>
        <v>0</v>
      </c>
      <c r="P65" s="384">
        <f t="shared" si="74"/>
        <v>0</v>
      </c>
      <c r="Q65" s="376">
        <f t="shared" si="74"/>
        <v>0</v>
      </c>
      <c r="R65" s="531">
        <f t="shared" si="74"/>
        <v>0</v>
      </c>
      <c r="S65" s="504"/>
    </row>
    <row r="66" spans="1:19" s="219" customFormat="1" ht="16.5" thickBot="1">
      <c r="A66" s="397" t="s">
        <v>32</v>
      </c>
      <c r="B66" s="543"/>
      <c r="C66" s="214">
        <v>2026</v>
      </c>
      <c r="D66" s="37"/>
      <c r="E66" s="799"/>
      <c r="F66" s="800"/>
      <c r="G66" s="492"/>
      <c r="H66" s="106"/>
      <c r="I66" s="1451"/>
      <c r="J66" s="42"/>
      <c r="K66" s="38"/>
      <c r="L66" s="352"/>
      <c r="M66" s="353"/>
      <c r="N66" s="1289"/>
      <c r="O66" s="392">
        <f t="shared" si="74"/>
        <v>0</v>
      </c>
      <c r="P66" s="393">
        <f t="shared" si="74"/>
        <v>0</v>
      </c>
      <c r="Q66" s="538">
        <f t="shared" si="74"/>
        <v>0</v>
      </c>
      <c r="R66" s="539">
        <f t="shared" si="74"/>
        <v>0</v>
      </c>
      <c r="S66" s="507"/>
    </row>
    <row r="67" spans="1:19" ht="27" customHeight="1">
      <c r="A67" s="28">
        <v>4430</v>
      </c>
      <c r="B67" s="29" t="s">
        <v>244</v>
      </c>
      <c r="C67" s="212">
        <v>2024</v>
      </c>
      <c r="D67" s="30"/>
      <c r="E67" s="791"/>
      <c r="F67" s="792"/>
      <c r="G67" s="489"/>
      <c r="H67" s="341">
        <f>SUM(E67:G67)</f>
        <v>0</v>
      </c>
      <c r="I67" s="1272"/>
      <c r="J67" s="31"/>
      <c r="K67" s="31"/>
      <c r="L67" s="425">
        <v>56700</v>
      </c>
      <c r="M67" s="341">
        <f>SUM(J67:L67)</f>
        <v>56700</v>
      </c>
      <c r="N67" s="1269" t="s">
        <v>320</v>
      </c>
      <c r="O67" s="415">
        <f>E67+J67</f>
        <v>0</v>
      </c>
      <c r="P67" s="415">
        <f t="shared" ref="P67:R72" si="75">F67+K67</f>
        <v>0</v>
      </c>
      <c r="Q67" s="416">
        <f>G67+L67</f>
        <v>56700</v>
      </c>
      <c r="R67" s="610">
        <f>H67+M67</f>
        <v>56700</v>
      </c>
      <c r="S67" s="31"/>
    </row>
    <row r="68" spans="1:19" ht="38.25" customHeight="1">
      <c r="A68" s="28">
        <v>4430</v>
      </c>
      <c r="B68" s="29"/>
      <c r="C68" s="213">
        <v>2025</v>
      </c>
      <c r="D68" s="30"/>
      <c r="E68" s="793"/>
      <c r="F68" s="792"/>
      <c r="G68" s="484"/>
      <c r="H68" s="341">
        <f>SUM(E68:G68)</f>
        <v>0</v>
      </c>
      <c r="I68" s="1273"/>
      <c r="J68" s="34"/>
      <c r="K68" s="34"/>
      <c r="L68" s="426">
        <v>48748</v>
      </c>
      <c r="M68" s="341">
        <f t="shared" ref="M68:M69" si="76">SUM(J68:L68)</f>
        <v>48748</v>
      </c>
      <c r="N68" s="1270"/>
      <c r="O68" s="417">
        <f t="shared" ref="O68:O69" si="77">J68</f>
        <v>0</v>
      </c>
      <c r="P68" s="419">
        <f t="shared" ref="P68:P69" si="78">K68</f>
        <v>0</v>
      </c>
      <c r="Q68" s="416">
        <f t="shared" si="75"/>
        <v>48748</v>
      </c>
      <c r="R68" s="611">
        <f t="shared" si="75"/>
        <v>48748</v>
      </c>
      <c r="S68" s="34"/>
    </row>
    <row r="69" spans="1:19" ht="30.75" customHeight="1" thickBot="1">
      <c r="A69" s="20">
        <v>4430</v>
      </c>
      <c r="B69" s="42"/>
      <c r="C69" s="214">
        <v>2026</v>
      </c>
      <c r="D69" s="37"/>
      <c r="E69" s="794"/>
      <c r="F69" s="424"/>
      <c r="G69" s="485"/>
      <c r="H69" s="362">
        <f>SUM(E69:G69)</f>
        <v>0</v>
      </c>
      <c r="I69" s="1274"/>
      <c r="J69" s="38"/>
      <c r="K69" s="38"/>
      <c r="L69" s="427"/>
      <c r="M69" s="362">
        <f t="shared" si="76"/>
        <v>0</v>
      </c>
      <c r="N69" s="1271"/>
      <c r="O69" s="420">
        <f t="shared" si="77"/>
        <v>0</v>
      </c>
      <c r="P69" s="422">
        <f t="shared" si="78"/>
        <v>0</v>
      </c>
      <c r="Q69" s="423">
        <f t="shared" si="75"/>
        <v>0</v>
      </c>
      <c r="R69" s="612">
        <f t="shared" si="75"/>
        <v>0</v>
      </c>
      <c r="S69" s="38"/>
    </row>
    <row r="70" spans="1:19" ht="15.75" customHeight="1">
      <c r="A70" s="28" t="s">
        <v>32</v>
      </c>
      <c r="B70" s="29" t="s">
        <v>245</v>
      </c>
      <c r="C70" s="212">
        <v>2024</v>
      </c>
      <c r="D70" s="30"/>
      <c r="E70" s="795"/>
      <c r="F70" s="796">
        <v>45585</v>
      </c>
      <c r="G70" s="490">
        <v>14050</v>
      </c>
      <c r="H70" s="100">
        <f>E70+F70+G70</f>
        <v>59635</v>
      </c>
      <c r="I70" s="1275" t="s">
        <v>321</v>
      </c>
      <c r="J70" s="783"/>
      <c r="K70" s="31"/>
      <c r="L70" s="347"/>
      <c r="M70" s="348">
        <f>SUM(J70:L70)</f>
        <v>0</v>
      </c>
      <c r="N70" s="1287"/>
      <c r="O70" s="100">
        <f>E70+J70</f>
        <v>0</v>
      </c>
      <c r="P70" s="100">
        <f t="shared" ref="P70:P72" si="79">F70+K70</f>
        <v>45585</v>
      </c>
      <c r="Q70" s="100">
        <f>G70+L70</f>
        <v>14050</v>
      </c>
      <c r="R70" s="142">
        <f>H70+M70</f>
        <v>59635</v>
      </c>
      <c r="S70" s="31"/>
    </row>
    <row r="71" spans="1:19" ht="15.75">
      <c r="A71" s="32" t="s">
        <v>32</v>
      </c>
      <c r="B71" s="43"/>
      <c r="C71" s="213">
        <v>2025</v>
      </c>
      <c r="D71" s="30"/>
      <c r="E71" s="797"/>
      <c r="F71" s="798">
        <v>12500</v>
      </c>
      <c r="G71" s="491">
        <v>15000</v>
      </c>
      <c r="H71" s="100">
        <f>E71+F71+G71</f>
        <v>27500</v>
      </c>
      <c r="I71" s="1276"/>
      <c r="J71" s="43"/>
      <c r="K71" s="34"/>
      <c r="L71" s="350"/>
      <c r="M71" s="351">
        <f t="shared" ref="M71:M75" si="80">SUM(J71:L71)</f>
        <v>0</v>
      </c>
      <c r="N71" s="1288"/>
      <c r="O71" s="100">
        <f t="shared" ref="O71:O72" si="81">E71+J71</f>
        <v>0</v>
      </c>
      <c r="P71" s="100">
        <f t="shared" si="79"/>
        <v>12500</v>
      </c>
      <c r="Q71" s="100">
        <f>G71+L71</f>
        <v>15000</v>
      </c>
      <c r="R71" s="143">
        <f t="shared" si="75"/>
        <v>27500</v>
      </c>
      <c r="S71" s="34"/>
    </row>
    <row r="72" spans="1:19" ht="16.5" thickBot="1">
      <c r="A72" s="35" t="s">
        <v>32</v>
      </c>
      <c r="B72" s="42"/>
      <c r="C72" s="214">
        <v>2026</v>
      </c>
      <c r="D72" s="37"/>
      <c r="E72" s="799"/>
      <c r="F72" s="800">
        <v>53585</v>
      </c>
      <c r="G72" s="492">
        <v>25134</v>
      </c>
      <c r="H72" s="106">
        <f>E72+F72+G72</f>
        <v>78719</v>
      </c>
      <c r="I72" s="1277"/>
      <c r="J72" s="42"/>
      <c r="K72" s="38"/>
      <c r="L72" s="352"/>
      <c r="M72" s="353">
        <f t="shared" si="80"/>
        <v>0</v>
      </c>
      <c r="N72" s="1289"/>
      <c r="O72" s="100">
        <f t="shared" si="81"/>
        <v>0</v>
      </c>
      <c r="P72" s="100">
        <f t="shared" si="79"/>
        <v>53585</v>
      </c>
      <c r="Q72" s="100">
        <f>G72+L72</f>
        <v>25134</v>
      </c>
      <c r="R72" s="144">
        <f t="shared" si="75"/>
        <v>78719</v>
      </c>
      <c r="S72" s="38"/>
    </row>
    <row r="73" spans="1:19" ht="35.25" customHeight="1">
      <c r="A73" s="28">
        <v>6180</v>
      </c>
      <c r="B73" s="29" t="s">
        <v>246</v>
      </c>
      <c r="C73" s="212">
        <v>2024</v>
      </c>
      <c r="D73" s="30"/>
      <c r="E73" s="801"/>
      <c r="F73" s="802"/>
      <c r="G73" s="493">
        <v>3000000</v>
      </c>
      <c r="H73" s="429">
        <f>SUM(E73:G73)</f>
        <v>3000000</v>
      </c>
      <c r="I73" s="1275" t="s">
        <v>427</v>
      </c>
      <c r="J73" s="31"/>
      <c r="K73" s="31"/>
      <c r="L73" s="425">
        <v>26827.516</v>
      </c>
      <c r="M73" s="348">
        <f t="shared" si="80"/>
        <v>26827.516</v>
      </c>
      <c r="N73" s="1269" t="s">
        <v>322</v>
      </c>
      <c r="O73" s="103">
        <f>J73</f>
        <v>0</v>
      </c>
      <c r="P73" s="103">
        <f t="shared" ref="P73:P75" si="82">K73</f>
        <v>0</v>
      </c>
      <c r="Q73" s="103">
        <f>L73+G73</f>
        <v>3026827.5159999998</v>
      </c>
      <c r="R73" s="103">
        <f>M73+H73</f>
        <v>3026827.5159999998</v>
      </c>
      <c r="S73" s="31"/>
    </row>
    <row r="74" spans="1:19" ht="36.75" customHeight="1">
      <c r="A74" s="28">
        <v>6180</v>
      </c>
      <c r="B74" s="29"/>
      <c r="C74" s="213">
        <v>2025</v>
      </c>
      <c r="D74" s="30"/>
      <c r="E74" s="803"/>
      <c r="F74" s="802"/>
      <c r="G74" s="494">
        <v>2000000</v>
      </c>
      <c r="H74" s="429">
        <f>SUM(E74:G74)</f>
        <v>2000000</v>
      </c>
      <c r="I74" s="1276"/>
      <c r="J74" s="34"/>
      <c r="K74" s="34"/>
      <c r="L74" s="426">
        <v>0</v>
      </c>
      <c r="M74" s="351">
        <f t="shared" si="80"/>
        <v>0</v>
      </c>
      <c r="N74" s="1270"/>
      <c r="O74" s="103">
        <f t="shared" ref="O74:O75" si="83">J74</f>
        <v>0</v>
      </c>
      <c r="P74" s="103">
        <f t="shared" si="82"/>
        <v>0</v>
      </c>
      <c r="Q74" s="103">
        <f>L74+G74</f>
        <v>2000000</v>
      </c>
      <c r="R74" s="103">
        <f t="shared" ref="Q74:R75" si="84">M74+H74</f>
        <v>2000000</v>
      </c>
      <c r="S74" s="34"/>
    </row>
    <row r="75" spans="1:19" ht="51.75" customHeight="1" thickBot="1">
      <c r="A75" s="28">
        <v>6180</v>
      </c>
      <c r="B75" s="42"/>
      <c r="C75" s="214">
        <v>2026</v>
      </c>
      <c r="D75" s="37"/>
      <c r="E75" s="804"/>
      <c r="F75" s="428"/>
      <c r="G75" s="495">
        <v>2000000</v>
      </c>
      <c r="H75" s="429">
        <f>SUM(E75:G75)</f>
        <v>2000000</v>
      </c>
      <c r="I75" s="1277"/>
      <c r="J75" s="38"/>
      <c r="K75" s="38"/>
      <c r="L75" s="427">
        <v>0</v>
      </c>
      <c r="M75" s="353">
        <f t="shared" si="80"/>
        <v>0</v>
      </c>
      <c r="N75" s="1271"/>
      <c r="O75" s="103">
        <f t="shared" si="83"/>
        <v>0</v>
      </c>
      <c r="P75" s="103">
        <f t="shared" si="82"/>
        <v>0</v>
      </c>
      <c r="Q75" s="103">
        <f t="shared" si="84"/>
        <v>2000000</v>
      </c>
      <c r="R75" s="103">
        <f>M75+H75</f>
        <v>2000000</v>
      </c>
      <c r="S75" s="38"/>
    </row>
    <row r="76" spans="1:19" ht="24.75" customHeight="1" thickBot="1">
      <c r="A76" s="48">
        <v>10</v>
      </c>
      <c r="B76" s="45" t="s">
        <v>36</v>
      </c>
      <c r="C76" s="46"/>
      <c r="D76" s="173">
        <f>D77+D80+D83+D86+D89+D92+D98</f>
        <v>0</v>
      </c>
      <c r="E76" s="174">
        <f t="shared" ref="E76:H76" si="85">E77+E80+E83+E86+E89+E92+E98</f>
        <v>195558</v>
      </c>
      <c r="F76" s="174">
        <f t="shared" si="85"/>
        <v>33800</v>
      </c>
      <c r="G76" s="174">
        <f t="shared" si="85"/>
        <v>562023</v>
      </c>
      <c r="H76" s="174">
        <f t="shared" si="85"/>
        <v>791381</v>
      </c>
      <c r="I76" s="197"/>
      <c r="J76" s="175">
        <f t="shared" ref="J76" si="86">J77+J80+J83+J86+J89+J92+J98</f>
        <v>0</v>
      </c>
      <c r="K76" s="173">
        <f t="shared" ref="K76" si="87">K77+K80+K83+K86+K89+K92+K98</f>
        <v>140000</v>
      </c>
      <c r="L76" s="173">
        <f t="shared" ref="L76" si="88">L77+L80+L83+L86+L89+L92+L98</f>
        <v>56459</v>
      </c>
      <c r="M76" s="126">
        <f t="shared" ref="M76" si="89">M77+M80+M83+M86+M89+M92+M98</f>
        <v>196459</v>
      </c>
      <c r="N76" s="175"/>
      <c r="O76" s="173">
        <f t="shared" ref="O76" si="90">O77+O80+O83+O86+O89+O92+O98</f>
        <v>195558</v>
      </c>
      <c r="P76" s="173">
        <f t="shared" ref="P76" si="91">P77+P80+P83+P86+P89+P92+P98</f>
        <v>173800</v>
      </c>
      <c r="Q76" s="174">
        <f t="shared" ref="Q76" si="92">Q77+Q80+Q83+Q86+Q89+Q92+Q98</f>
        <v>618482</v>
      </c>
      <c r="R76" s="45">
        <f>R77+R80+R83+R86+R89+R92+R98+R95</f>
        <v>1350840</v>
      </c>
      <c r="S76" s="196"/>
    </row>
    <row r="77" spans="1:19" s="219" customFormat="1" ht="55.5" customHeight="1">
      <c r="A77" s="379">
        <v>1110</v>
      </c>
      <c r="B77" s="438" t="s">
        <v>265</v>
      </c>
      <c r="C77" s="1003">
        <v>2024</v>
      </c>
      <c r="D77" s="501"/>
      <c r="E77" s="517"/>
      <c r="F77" s="737"/>
      <c r="G77" s="502"/>
      <c r="H77" s="737">
        <f>E77+F77+G77</f>
        <v>0</v>
      </c>
      <c r="I77" s="1446"/>
      <c r="J77" s="520">
        <v>0</v>
      </c>
      <c r="K77" s="1041">
        <v>0</v>
      </c>
      <c r="L77" s="377" t="s">
        <v>436</v>
      </c>
      <c r="M77" s="1004">
        <f>J77+K77+L77</f>
        <v>0</v>
      </c>
      <c r="N77" s="1005"/>
      <c r="O77" s="383">
        <f>E77+J77</f>
        <v>0</v>
      </c>
      <c r="P77" s="383">
        <f>K77</f>
        <v>0</v>
      </c>
      <c r="Q77" s="383">
        <f>L77+G77</f>
        <v>0</v>
      </c>
      <c r="R77" s="387">
        <f t="shared" ref="R77:R100" si="93">H77+M77</f>
        <v>0</v>
      </c>
      <c r="S77" s="502"/>
    </row>
    <row r="78" spans="1:19" s="219" customFormat="1" ht="33" customHeight="1">
      <c r="A78" s="379">
        <v>1110</v>
      </c>
      <c r="B78" s="446"/>
      <c r="C78" s="1006">
        <v>2025</v>
      </c>
      <c r="D78" s="501"/>
      <c r="E78" s="449"/>
      <c r="F78" s="1007"/>
      <c r="G78" s="504"/>
      <c r="H78" s="1007">
        <f t="shared" ref="H78:H100" si="94">E78+F78+G78</f>
        <v>0</v>
      </c>
      <c r="I78" s="1447"/>
      <c r="J78" s="391"/>
      <c r="K78" s="386"/>
      <c r="L78" s="383"/>
      <c r="M78" s="1008">
        <f t="shared" ref="M78:M79" si="95">J78+K78+L78</f>
        <v>0</v>
      </c>
      <c r="N78" s="450"/>
      <c r="O78" s="383">
        <f t="shared" ref="O78:O79" si="96">E78+J78</f>
        <v>0</v>
      </c>
      <c r="P78" s="383">
        <f t="shared" ref="P78:P79" si="97">F78+K78</f>
        <v>0</v>
      </c>
      <c r="Q78" s="383">
        <f t="shared" ref="Q78:Q79" si="98">G78+L78</f>
        <v>0</v>
      </c>
      <c r="R78" s="387">
        <f t="shared" si="93"/>
        <v>0</v>
      </c>
      <c r="S78" s="504"/>
    </row>
    <row r="79" spans="1:19" s="219" customFormat="1" ht="21.75" customHeight="1" thickBot="1">
      <c r="A79" s="379">
        <v>1110</v>
      </c>
      <c r="B79" s="453"/>
      <c r="C79" s="1009">
        <v>2026</v>
      </c>
      <c r="D79" s="505"/>
      <c r="E79" s="456"/>
      <c r="F79" s="1010"/>
      <c r="G79" s="507"/>
      <c r="H79" s="1010">
        <f t="shared" si="94"/>
        <v>0</v>
      </c>
      <c r="I79" s="1448"/>
      <c r="J79" s="400"/>
      <c r="K79" s="395"/>
      <c r="L79" s="392"/>
      <c r="M79" s="1011">
        <f t="shared" si="95"/>
        <v>0</v>
      </c>
      <c r="N79" s="457"/>
      <c r="O79" s="899">
        <f t="shared" si="96"/>
        <v>0</v>
      </c>
      <c r="P79" s="899">
        <f t="shared" si="97"/>
        <v>0</v>
      </c>
      <c r="Q79" s="899">
        <f t="shared" si="98"/>
        <v>0</v>
      </c>
      <c r="R79" s="539">
        <f t="shared" si="93"/>
        <v>0</v>
      </c>
      <c r="S79" s="507"/>
    </row>
    <row r="80" spans="1:19" s="219" customFormat="1" ht="55.5" customHeight="1">
      <c r="A80" s="1012">
        <v>1130</v>
      </c>
      <c r="B80" s="1013" t="s">
        <v>266</v>
      </c>
      <c r="C80" s="1003">
        <v>2024</v>
      </c>
      <c r="D80" s="501"/>
      <c r="E80" s="517"/>
      <c r="F80" s="737"/>
      <c r="G80" s="502" t="s">
        <v>435</v>
      </c>
      <c r="H80" s="737">
        <f>E80+F80+G80</f>
        <v>350610</v>
      </c>
      <c r="I80" s="1428"/>
      <c r="J80" s="520">
        <v>0</v>
      </c>
      <c r="K80" s="1041">
        <v>0</v>
      </c>
      <c r="L80" s="377" t="s">
        <v>436</v>
      </c>
      <c r="M80" s="1014">
        <f>J80+K80+L80</f>
        <v>0</v>
      </c>
      <c r="N80" s="1005"/>
      <c r="O80" s="383">
        <f>E80+J80</f>
        <v>0</v>
      </c>
      <c r="P80" s="383">
        <f>K80</f>
        <v>0</v>
      </c>
      <c r="Q80" s="383">
        <f>L80+G80</f>
        <v>350610</v>
      </c>
      <c r="R80" s="387">
        <f t="shared" si="93"/>
        <v>350610</v>
      </c>
      <c r="S80" s="502"/>
    </row>
    <row r="81" spans="1:19" s="219" customFormat="1" ht="33" customHeight="1">
      <c r="A81" s="379">
        <v>1130</v>
      </c>
      <c r="B81" s="446"/>
      <c r="C81" s="1006">
        <v>2025</v>
      </c>
      <c r="D81" s="501"/>
      <c r="E81" s="449"/>
      <c r="F81" s="1007"/>
      <c r="G81" s="504"/>
      <c r="H81" s="1007">
        <f>E81+F81+G81</f>
        <v>0</v>
      </c>
      <c r="I81" s="1429"/>
      <c r="J81" s="391"/>
      <c r="K81" s="386"/>
      <c r="L81" s="383"/>
      <c r="M81" s="1008">
        <f t="shared" ref="M81:M82" si="99">J81+K81+L81</f>
        <v>0</v>
      </c>
      <c r="N81" s="450"/>
      <c r="O81" s="383">
        <f t="shared" ref="O81:O82" si="100">E81+J81</f>
        <v>0</v>
      </c>
      <c r="P81" s="383">
        <f t="shared" ref="P81:Q100" si="101">F81+K81</f>
        <v>0</v>
      </c>
      <c r="Q81" s="383">
        <f t="shared" si="101"/>
        <v>0</v>
      </c>
      <c r="R81" s="387">
        <f t="shared" si="93"/>
        <v>0</v>
      </c>
      <c r="S81" s="504"/>
    </row>
    <row r="82" spans="1:19" s="219" customFormat="1" ht="21.75" customHeight="1" thickBot="1">
      <c r="A82" s="379">
        <v>1130</v>
      </c>
      <c r="B82" s="453"/>
      <c r="C82" s="1009">
        <v>2026</v>
      </c>
      <c r="D82" s="505"/>
      <c r="E82" s="456"/>
      <c r="F82" s="1010"/>
      <c r="G82" s="507"/>
      <c r="H82" s="1010">
        <f t="shared" si="94"/>
        <v>0</v>
      </c>
      <c r="I82" s="1455"/>
      <c r="J82" s="400"/>
      <c r="K82" s="395"/>
      <c r="L82" s="392"/>
      <c r="M82" s="1011">
        <f t="shared" si="99"/>
        <v>0</v>
      </c>
      <c r="N82" s="457"/>
      <c r="O82" s="383">
        <f t="shared" si="100"/>
        <v>0</v>
      </c>
      <c r="P82" s="383">
        <f t="shared" si="101"/>
        <v>0</v>
      </c>
      <c r="Q82" s="383">
        <f t="shared" si="101"/>
        <v>0</v>
      </c>
      <c r="R82" s="387">
        <f t="shared" si="93"/>
        <v>0</v>
      </c>
      <c r="S82" s="507"/>
    </row>
    <row r="83" spans="1:19" s="219" customFormat="1" ht="43.5" customHeight="1">
      <c r="A83" s="1012">
        <v>1150</v>
      </c>
      <c r="B83" s="1015" t="s">
        <v>430</v>
      </c>
      <c r="C83" s="1003">
        <v>2024</v>
      </c>
      <c r="D83" s="1016"/>
      <c r="E83" s="1017">
        <v>51080</v>
      </c>
      <c r="F83" s="1046">
        <v>0</v>
      </c>
      <c r="G83" s="1018">
        <v>0</v>
      </c>
      <c r="H83" s="1019">
        <f>E83+F83+G83</f>
        <v>51080</v>
      </c>
      <c r="I83" s="1456"/>
      <c r="J83" s="720"/>
      <c r="K83" s="1049">
        <v>140000</v>
      </c>
      <c r="L83" s="480">
        <v>53430</v>
      </c>
      <c r="M83" s="463">
        <f>J83+K83+L83</f>
        <v>193430</v>
      </c>
      <c r="N83" s="1296"/>
      <c r="O83" s="1020">
        <f>E83+J83</f>
        <v>51080</v>
      </c>
      <c r="P83" s="1020">
        <f t="shared" si="101"/>
        <v>140000</v>
      </c>
      <c r="Q83" s="1020">
        <f t="shared" si="101"/>
        <v>53430</v>
      </c>
      <c r="R83" s="1021">
        <f t="shared" si="93"/>
        <v>244510</v>
      </c>
      <c r="S83" s="1022"/>
    </row>
    <row r="84" spans="1:19" s="219" customFormat="1" ht="28.5" customHeight="1">
      <c r="A84" s="388">
        <v>1150</v>
      </c>
      <c r="B84" s="446"/>
      <c r="C84" s="1006">
        <v>2025</v>
      </c>
      <c r="D84" s="1023"/>
      <c r="E84" s="1024">
        <v>51080</v>
      </c>
      <c r="F84" s="1007"/>
      <c r="G84" s="1025">
        <v>0</v>
      </c>
      <c r="H84" s="1026">
        <f t="shared" si="94"/>
        <v>51080</v>
      </c>
      <c r="I84" s="1429"/>
      <c r="J84" s="721"/>
      <c r="K84" s="1079"/>
      <c r="L84" s="481">
        <v>29736</v>
      </c>
      <c r="M84" s="463">
        <f t="shared" ref="M84:M85" si="102">J84+K84+L84</f>
        <v>29736</v>
      </c>
      <c r="N84" s="1297"/>
      <c r="O84" s="1027">
        <f t="shared" ref="O84:O85" si="103">E84+J84</f>
        <v>51080</v>
      </c>
      <c r="P84" s="1027">
        <f t="shared" si="101"/>
        <v>0</v>
      </c>
      <c r="Q84" s="1027">
        <f t="shared" si="101"/>
        <v>29736</v>
      </c>
      <c r="R84" s="1028">
        <f t="shared" si="93"/>
        <v>80816</v>
      </c>
      <c r="S84" s="1029"/>
    </row>
    <row r="85" spans="1:19" s="219" customFormat="1" ht="28.5" customHeight="1" thickBot="1">
      <c r="A85" s="397">
        <v>1150</v>
      </c>
      <c r="B85" s="453"/>
      <c r="C85" s="1009">
        <v>2026</v>
      </c>
      <c r="D85" s="1030"/>
      <c r="E85" s="1031">
        <v>51080</v>
      </c>
      <c r="F85" s="1010"/>
      <c r="G85" s="1032"/>
      <c r="H85" s="1033">
        <f t="shared" si="94"/>
        <v>51080</v>
      </c>
      <c r="I85" s="1430"/>
      <c r="J85" s="722"/>
      <c r="K85" s="482"/>
      <c r="L85" s="1080"/>
      <c r="M85" s="1034">
        <f t="shared" si="102"/>
        <v>0</v>
      </c>
      <c r="N85" s="1298"/>
      <c r="O85" s="1035">
        <f t="shared" si="103"/>
        <v>51080</v>
      </c>
      <c r="P85" s="1035">
        <f t="shared" si="101"/>
        <v>0</v>
      </c>
      <c r="Q85" s="1035">
        <f t="shared" si="101"/>
        <v>0</v>
      </c>
      <c r="R85" s="1036">
        <f t="shared" si="93"/>
        <v>51080</v>
      </c>
      <c r="S85" s="1037"/>
    </row>
    <row r="86" spans="1:19" s="219" customFormat="1" ht="36.75" customHeight="1">
      <c r="A86" s="379">
        <v>1160</v>
      </c>
      <c r="B86" s="1038" t="s">
        <v>431</v>
      </c>
      <c r="C86" s="1003">
        <v>2024</v>
      </c>
      <c r="D86" s="1039"/>
      <c r="E86" s="1040"/>
      <c r="F86" s="1041"/>
      <c r="G86" s="377">
        <v>171413</v>
      </c>
      <c r="H86" s="1042">
        <f>E86+F86+G86</f>
        <v>171413</v>
      </c>
      <c r="I86" s="1428"/>
      <c r="J86" s="1081"/>
      <c r="K86" s="1082"/>
      <c r="L86" s="1047"/>
      <c r="M86" s="1040">
        <f>J86+K86+L86</f>
        <v>0</v>
      </c>
      <c r="N86" s="1296"/>
      <c r="O86" s="383">
        <f>E86+J86</f>
        <v>0</v>
      </c>
      <c r="P86" s="375">
        <f>F86+K86</f>
        <v>0</v>
      </c>
      <c r="Q86" s="376">
        <f>G86+L86</f>
        <v>171413</v>
      </c>
      <c r="R86" s="526">
        <f t="shared" si="93"/>
        <v>171413</v>
      </c>
      <c r="S86" s="502"/>
    </row>
    <row r="87" spans="1:19" s="219" customFormat="1" ht="28.5" customHeight="1">
      <c r="A87" s="388">
        <v>11160</v>
      </c>
      <c r="B87" s="438"/>
      <c r="C87" s="1006">
        <v>2025</v>
      </c>
      <c r="D87" s="501"/>
      <c r="E87" s="449"/>
      <c r="F87" s="1050">
        <v>34462</v>
      </c>
      <c r="G87" s="386"/>
      <c r="H87" s="387">
        <f t="shared" ref="H87:H88" si="104">E87+F87+G87</f>
        <v>34462</v>
      </c>
      <c r="I87" s="1429"/>
      <c r="J87" s="1081"/>
      <c r="K87" s="1083"/>
      <c r="L87" s="721"/>
      <c r="M87" s="700">
        <f t="shared" ref="M87:M88" si="105">J87+K87+L87</f>
        <v>0</v>
      </c>
      <c r="N87" s="1297"/>
      <c r="O87" s="383">
        <f t="shared" ref="O87:O88" si="106">E87+J87</f>
        <v>0</v>
      </c>
      <c r="P87" s="384">
        <f t="shared" ref="P87:P88" si="107">F87+K87</f>
        <v>34462</v>
      </c>
      <c r="Q87" s="376">
        <f t="shared" ref="Q87:Q88" si="108">G87+L87</f>
        <v>0</v>
      </c>
      <c r="R87" s="531">
        <f t="shared" si="93"/>
        <v>34462</v>
      </c>
      <c r="S87" s="504"/>
    </row>
    <row r="88" spans="1:19" s="219" customFormat="1" ht="28.5" customHeight="1" thickBot="1">
      <c r="A88" s="397">
        <v>1160</v>
      </c>
      <c r="B88" s="1043"/>
      <c r="C88" s="1009">
        <v>2026</v>
      </c>
      <c r="D88" s="505"/>
      <c r="E88" s="456"/>
      <c r="F88" s="1051">
        <v>34462</v>
      </c>
      <c r="G88" s="395"/>
      <c r="H88" s="396">
        <f t="shared" si="104"/>
        <v>34462</v>
      </c>
      <c r="I88" s="1430"/>
      <c r="J88" s="1084"/>
      <c r="K88" s="1085"/>
      <c r="L88" s="722"/>
      <c r="M88" s="464">
        <f t="shared" si="105"/>
        <v>0</v>
      </c>
      <c r="N88" s="1298"/>
      <c r="O88" s="392">
        <f t="shared" si="106"/>
        <v>0</v>
      </c>
      <c r="P88" s="393">
        <f t="shared" si="107"/>
        <v>34462</v>
      </c>
      <c r="Q88" s="1045">
        <f t="shared" si="108"/>
        <v>0</v>
      </c>
      <c r="R88" s="539">
        <f t="shared" si="93"/>
        <v>34462</v>
      </c>
      <c r="S88" s="507"/>
    </row>
    <row r="89" spans="1:19" s="219" customFormat="1" ht="33" customHeight="1">
      <c r="A89" s="379">
        <v>4130</v>
      </c>
      <c r="B89" s="438" t="s">
        <v>433</v>
      </c>
      <c r="C89" s="1003">
        <v>2024</v>
      </c>
      <c r="D89" s="1039"/>
      <c r="E89" s="1047">
        <v>5586</v>
      </c>
      <c r="F89" s="1049">
        <v>12000</v>
      </c>
      <c r="G89" s="377"/>
      <c r="H89" s="1042">
        <f>E89+F89+G89</f>
        <v>17586</v>
      </c>
      <c r="I89" s="1428"/>
      <c r="J89" s="1081"/>
      <c r="K89" s="1082"/>
      <c r="L89" s="1047">
        <v>2029</v>
      </c>
      <c r="M89" s="1040">
        <f>J89+K89+L89</f>
        <v>2029</v>
      </c>
      <c r="N89" s="1296"/>
      <c r="O89" s="383">
        <f>E89+J89</f>
        <v>5586</v>
      </c>
      <c r="P89" s="375">
        <f t="shared" ref="P89:P91" si="109">F89+K89</f>
        <v>12000</v>
      </c>
      <c r="Q89" s="376">
        <f t="shared" ref="Q89:Q91" si="110">G89+L89</f>
        <v>2029</v>
      </c>
      <c r="R89" s="526">
        <f t="shared" si="93"/>
        <v>19615</v>
      </c>
      <c r="S89" s="502"/>
    </row>
    <row r="90" spans="1:19" s="219" customFormat="1" ht="43.5" customHeight="1">
      <c r="A90" s="388">
        <v>4130</v>
      </c>
      <c r="B90" s="438"/>
      <c r="C90" s="1006">
        <v>2025</v>
      </c>
      <c r="D90" s="501"/>
      <c r="E90" s="1048">
        <v>5586</v>
      </c>
      <c r="F90" s="1050">
        <v>12000</v>
      </c>
      <c r="G90" s="386"/>
      <c r="H90" s="387">
        <f t="shared" ref="H90:H91" si="111">E90+F90+G90</f>
        <v>17586</v>
      </c>
      <c r="I90" s="1429"/>
      <c r="J90" s="1081"/>
      <c r="K90" s="1083"/>
      <c r="L90" s="721">
        <v>2029</v>
      </c>
      <c r="M90" s="700">
        <f t="shared" ref="M90:M91" si="112">J90+K90+L90</f>
        <v>2029</v>
      </c>
      <c r="N90" s="1297"/>
      <c r="O90" s="383">
        <f t="shared" ref="O90:O91" si="113">E90+J90</f>
        <v>5586</v>
      </c>
      <c r="P90" s="384">
        <f t="shared" si="109"/>
        <v>12000</v>
      </c>
      <c r="Q90" s="376">
        <f t="shared" si="110"/>
        <v>2029</v>
      </c>
      <c r="R90" s="531">
        <f t="shared" si="93"/>
        <v>19615</v>
      </c>
      <c r="S90" s="504"/>
    </row>
    <row r="91" spans="1:19" s="219" customFormat="1" ht="39.75" customHeight="1" thickBot="1">
      <c r="A91" s="397">
        <v>4130</v>
      </c>
      <c r="B91" s="1043"/>
      <c r="C91" s="1009">
        <v>2026</v>
      </c>
      <c r="D91" s="505"/>
      <c r="E91" s="1045">
        <v>5586</v>
      </c>
      <c r="F91" s="1051">
        <v>12000</v>
      </c>
      <c r="G91" s="395"/>
      <c r="H91" s="396">
        <f t="shared" si="111"/>
        <v>17586</v>
      </c>
      <c r="I91" s="1430"/>
      <c r="J91" s="1084"/>
      <c r="K91" s="1085"/>
      <c r="L91" s="722"/>
      <c r="M91" s="464">
        <f t="shared" si="112"/>
        <v>0</v>
      </c>
      <c r="N91" s="1298"/>
      <c r="O91" s="392">
        <f t="shared" si="113"/>
        <v>5586</v>
      </c>
      <c r="P91" s="393">
        <f t="shared" si="109"/>
        <v>12000</v>
      </c>
      <c r="Q91" s="1045">
        <f t="shared" si="110"/>
        <v>0</v>
      </c>
      <c r="R91" s="539">
        <f t="shared" si="93"/>
        <v>17586</v>
      </c>
      <c r="S91" s="507"/>
    </row>
    <row r="92" spans="1:19" s="219" customFormat="1" ht="33" customHeight="1">
      <c r="A92" s="379">
        <v>4160</v>
      </c>
      <c r="B92" s="1038" t="s">
        <v>434</v>
      </c>
      <c r="C92" s="1003">
        <v>2024</v>
      </c>
      <c r="D92" s="1039"/>
      <c r="E92" s="1040"/>
      <c r="F92" s="1049">
        <v>21800</v>
      </c>
      <c r="G92" s="377"/>
      <c r="H92" s="1042">
        <f>E92+F92+G92</f>
        <v>21800</v>
      </c>
      <c r="I92" s="1428"/>
      <c r="J92" s="1081"/>
      <c r="K92" s="1082"/>
      <c r="L92" s="1047">
        <v>1000</v>
      </c>
      <c r="M92" s="1040">
        <f>J92+K92+L92</f>
        <v>1000</v>
      </c>
      <c r="N92" s="1296"/>
      <c r="O92" s="383">
        <f>E92+J92</f>
        <v>0</v>
      </c>
      <c r="P92" s="375">
        <f t="shared" ref="P92:P94" si="114">F92+K92</f>
        <v>21800</v>
      </c>
      <c r="Q92" s="376">
        <f t="shared" ref="Q92:Q94" si="115">G92+L92</f>
        <v>1000</v>
      </c>
      <c r="R92" s="526">
        <f t="shared" si="93"/>
        <v>22800</v>
      </c>
      <c r="S92" s="502"/>
    </row>
    <row r="93" spans="1:19" s="219" customFormat="1" ht="43.5" customHeight="1">
      <c r="A93" s="388">
        <v>4160</v>
      </c>
      <c r="B93" s="438"/>
      <c r="C93" s="1006">
        <v>2025</v>
      </c>
      <c r="D93" s="501"/>
      <c r="E93" s="449"/>
      <c r="F93" s="1050">
        <v>21800</v>
      </c>
      <c r="G93" s="386"/>
      <c r="H93" s="387">
        <f t="shared" ref="H93:H94" si="116">E93+F93+G93</f>
        <v>21800</v>
      </c>
      <c r="I93" s="1429"/>
      <c r="J93" s="1081"/>
      <c r="K93" s="1083"/>
      <c r="L93" s="721">
        <v>1000</v>
      </c>
      <c r="M93" s="700">
        <f t="shared" ref="M93:M94" si="117">J93+K93+L93</f>
        <v>1000</v>
      </c>
      <c r="N93" s="1297"/>
      <c r="O93" s="383">
        <f t="shared" ref="O93:O94" si="118">E93+J93</f>
        <v>0</v>
      </c>
      <c r="P93" s="384">
        <f t="shared" si="114"/>
        <v>21800</v>
      </c>
      <c r="Q93" s="376">
        <f t="shared" si="115"/>
        <v>1000</v>
      </c>
      <c r="R93" s="531">
        <f t="shared" si="93"/>
        <v>22800</v>
      </c>
      <c r="S93" s="504"/>
    </row>
    <row r="94" spans="1:19" s="219" customFormat="1" ht="39.75" customHeight="1" thickBot="1">
      <c r="A94" s="397">
        <v>4160</v>
      </c>
      <c r="B94" s="1043"/>
      <c r="C94" s="1009">
        <v>2026</v>
      </c>
      <c r="D94" s="505"/>
      <c r="E94" s="456"/>
      <c r="F94" s="1051">
        <v>21800</v>
      </c>
      <c r="G94" s="395"/>
      <c r="H94" s="396">
        <f t="shared" si="116"/>
        <v>21800</v>
      </c>
      <c r="I94" s="1430"/>
      <c r="J94" s="1084"/>
      <c r="K94" s="1085"/>
      <c r="L94" s="722">
        <v>1000</v>
      </c>
      <c r="M94" s="464">
        <f t="shared" si="117"/>
        <v>1000</v>
      </c>
      <c r="N94" s="1298"/>
      <c r="O94" s="392">
        <f t="shared" si="118"/>
        <v>0</v>
      </c>
      <c r="P94" s="393">
        <f t="shared" si="114"/>
        <v>21800</v>
      </c>
      <c r="Q94" s="1045">
        <f t="shared" si="115"/>
        <v>1000</v>
      </c>
      <c r="R94" s="539">
        <f t="shared" si="93"/>
        <v>22800</v>
      </c>
      <c r="S94" s="507"/>
    </row>
    <row r="95" spans="1:19" s="219" customFormat="1" ht="33" customHeight="1">
      <c r="A95" s="379">
        <v>9240</v>
      </c>
      <c r="B95" s="438" t="s">
        <v>432</v>
      </c>
      <c r="C95" s="1003">
        <v>2024</v>
      </c>
      <c r="D95" s="1039"/>
      <c r="E95" s="1047">
        <v>212000</v>
      </c>
      <c r="F95" s="1049">
        <v>37000</v>
      </c>
      <c r="G95" s="377">
        <v>35000</v>
      </c>
      <c r="H95" s="1042">
        <f>E95+F95+G95</f>
        <v>284000</v>
      </c>
      <c r="I95" s="1428"/>
      <c r="J95" s="1081"/>
      <c r="K95" s="1082"/>
      <c r="L95" s="1047">
        <v>79000</v>
      </c>
      <c r="M95" s="1040">
        <f>J95+K95+L95</f>
        <v>79000</v>
      </c>
      <c r="N95" s="1296"/>
      <c r="O95" s="383">
        <f>E95+J95</f>
        <v>212000</v>
      </c>
      <c r="P95" s="375">
        <f t="shared" ref="P95:P97" si="119">F95+K95</f>
        <v>37000</v>
      </c>
      <c r="Q95" s="376">
        <f t="shared" ref="Q95:Q97" si="120">G95+L95</f>
        <v>114000</v>
      </c>
      <c r="R95" s="526">
        <f t="shared" si="93"/>
        <v>363000</v>
      </c>
      <c r="S95" s="502"/>
    </row>
    <row r="96" spans="1:19" s="219" customFormat="1" ht="43.5" customHeight="1">
      <c r="A96" s="388">
        <v>9240</v>
      </c>
      <c r="B96" s="438"/>
      <c r="C96" s="1006">
        <v>2025</v>
      </c>
      <c r="D96" s="501"/>
      <c r="E96" s="1048">
        <v>212000</v>
      </c>
      <c r="F96" s="723"/>
      <c r="G96" s="386">
        <v>70000</v>
      </c>
      <c r="H96" s="387">
        <f t="shared" ref="H96:H97" si="121">E96+F96+G96</f>
        <v>282000</v>
      </c>
      <c r="I96" s="1429"/>
      <c r="J96" s="1081"/>
      <c r="K96" s="1083"/>
      <c r="L96" s="1086">
        <v>20000</v>
      </c>
      <c r="M96" s="700">
        <f t="shared" ref="M96:M97" si="122">J96+K96+L96</f>
        <v>20000</v>
      </c>
      <c r="N96" s="1297"/>
      <c r="O96" s="383">
        <f t="shared" ref="O96:O97" si="123">E96+J96</f>
        <v>212000</v>
      </c>
      <c r="P96" s="384">
        <f t="shared" si="119"/>
        <v>0</v>
      </c>
      <c r="Q96" s="376">
        <f t="shared" si="120"/>
        <v>90000</v>
      </c>
      <c r="R96" s="531">
        <f t="shared" si="93"/>
        <v>302000</v>
      </c>
      <c r="S96" s="504"/>
    </row>
    <row r="97" spans="1:19" s="219" customFormat="1" ht="39.75" customHeight="1" thickBot="1">
      <c r="A97" s="397">
        <v>9240</v>
      </c>
      <c r="B97" s="1043"/>
      <c r="C97" s="1009">
        <v>2026</v>
      </c>
      <c r="D97" s="505"/>
      <c r="E97" s="1045">
        <v>212000</v>
      </c>
      <c r="F97" s="1044"/>
      <c r="G97" s="395"/>
      <c r="H97" s="396">
        <f t="shared" si="121"/>
        <v>212000</v>
      </c>
      <c r="I97" s="1430"/>
      <c r="J97" s="1084"/>
      <c r="K97" s="1085"/>
      <c r="L97" s="1087">
        <v>20000</v>
      </c>
      <c r="M97" s="464">
        <f t="shared" si="122"/>
        <v>20000</v>
      </c>
      <c r="N97" s="1298"/>
      <c r="O97" s="392">
        <f t="shared" si="123"/>
        <v>212000</v>
      </c>
      <c r="P97" s="393">
        <f t="shared" si="119"/>
        <v>0</v>
      </c>
      <c r="Q97" s="1045">
        <f t="shared" si="120"/>
        <v>20000</v>
      </c>
      <c r="R97" s="539">
        <f t="shared" si="93"/>
        <v>232000</v>
      </c>
      <c r="S97" s="507"/>
    </row>
    <row r="98" spans="1:19" s="219" customFormat="1" ht="33" customHeight="1">
      <c r="A98" s="379">
        <v>10550</v>
      </c>
      <c r="B98" s="438" t="s">
        <v>267</v>
      </c>
      <c r="C98" s="1003">
        <v>2024</v>
      </c>
      <c r="D98" s="1039"/>
      <c r="E98" s="1058">
        <v>138892</v>
      </c>
      <c r="F98" s="1041"/>
      <c r="G98" s="377">
        <v>40000</v>
      </c>
      <c r="H98" s="1042">
        <f t="shared" si="94"/>
        <v>178892</v>
      </c>
      <c r="I98" s="1428"/>
      <c r="J98" s="1081"/>
      <c r="K98" s="1082"/>
      <c r="L98" s="1047"/>
      <c r="M98" s="1040">
        <f>J98+K98+L98</f>
        <v>0</v>
      </c>
      <c r="N98" s="1296"/>
      <c r="O98" s="383">
        <f>E98+J98</f>
        <v>138892</v>
      </c>
      <c r="P98" s="375">
        <f t="shared" si="101"/>
        <v>0</v>
      </c>
      <c r="Q98" s="376">
        <f t="shared" si="101"/>
        <v>40000</v>
      </c>
      <c r="R98" s="526">
        <f t="shared" si="93"/>
        <v>178892</v>
      </c>
      <c r="S98" s="502"/>
    </row>
    <row r="99" spans="1:19" s="219" customFormat="1" ht="43.5" customHeight="1">
      <c r="A99" s="388">
        <v>10550</v>
      </c>
      <c r="B99" s="438"/>
      <c r="C99" s="1006">
        <v>2025</v>
      </c>
      <c r="D99" s="501"/>
      <c r="E99" s="1056">
        <v>138892</v>
      </c>
      <c r="F99" s="1059">
        <v>132000</v>
      </c>
      <c r="G99" s="1053"/>
      <c r="H99" s="387">
        <f t="shared" si="94"/>
        <v>270892</v>
      </c>
      <c r="I99" s="1429"/>
      <c r="J99" s="1081"/>
      <c r="K99" s="1083"/>
      <c r="L99" s="721"/>
      <c r="M99" s="700">
        <f t="shared" ref="M99:M100" si="124">J99+K99+L99</f>
        <v>0</v>
      </c>
      <c r="N99" s="1297"/>
      <c r="O99" s="383">
        <f t="shared" ref="O99:O100" si="125">E99+J99</f>
        <v>138892</v>
      </c>
      <c r="P99" s="384">
        <f t="shared" si="101"/>
        <v>132000</v>
      </c>
      <c r="Q99" s="376">
        <f t="shared" si="101"/>
        <v>0</v>
      </c>
      <c r="R99" s="531">
        <f t="shared" si="93"/>
        <v>270892</v>
      </c>
      <c r="S99" s="504"/>
    </row>
    <row r="100" spans="1:19" s="219" customFormat="1" ht="39.75" customHeight="1" thickBot="1">
      <c r="A100" s="397">
        <v>10550</v>
      </c>
      <c r="B100" s="1043"/>
      <c r="C100" s="1009">
        <v>2026</v>
      </c>
      <c r="D100" s="505"/>
      <c r="E100" s="1057">
        <v>138892</v>
      </c>
      <c r="F100" s="1060">
        <v>127000</v>
      </c>
      <c r="G100" s="1055"/>
      <c r="H100" s="396">
        <f t="shared" si="94"/>
        <v>265892</v>
      </c>
      <c r="I100" s="1430"/>
      <c r="J100" s="1084"/>
      <c r="K100" s="1085"/>
      <c r="L100" s="722"/>
      <c r="M100" s="464">
        <f t="shared" si="124"/>
        <v>0</v>
      </c>
      <c r="N100" s="1298"/>
      <c r="O100" s="392">
        <f t="shared" si="125"/>
        <v>138892</v>
      </c>
      <c r="P100" s="393">
        <f t="shared" si="101"/>
        <v>127000</v>
      </c>
      <c r="Q100" s="1045">
        <f t="shared" si="101"/>
        <v>0</v>
      </c>
      <c r="R100" s="539">
        <f t="shared" si="93"/>
        <v>265892</v>
      </c>
      <c r="S100" s="507"/>
    </row>
    <row r="101" spans="1:19" ht="31.5" customHeight="1" thickBot="1">
      <c r="A101" s="48">
        <v>11</v>
      </c>
      <c r="B101" s="17" t="s">
        <v>37</v>
      </c>
      <c r="C101" s="18"/>
      <c r="D101" s="169"/>
      <c r="E101" s="730">
        <f>E102+E105+E108+E111+E114</f>
        <v>1800000</v>
      </c>
      <c r="F101" s="731">
        <f>F102+F105+F108+F111+F114</f>
        <v>1850000</v>
      </c>
      <c r="G101" s="732">
        <f>G102+G105+G108+G111+G114</f>
        <v>700000</v>
      </c>
      <c r="H101" s="122">
        <f>H102+H105+H108+H111+H114</f>
        <v>4350000</v>
      </c>
      <c r="I101" s="198"/>
      <c r="J101" s="161">
        <f>J102+J105+J108+J111+J114</f>
        <v>0</v>
      </c>
      <c r="K101" s="162">
        <f>K102+K105+K108+K111+K114</f>
        <v>0</v>
      </c>
      <c r="L101" s="169">
        <f>L102+L105+L108+L111+L114</f>
        <v>0</v>
      </c>
      <c r="M101" s="127">
        <f>M102+M105+M108+M111+M114</f>
        <v>0</v>
      </c>
      <c r="N101" s="192"/>
      <c r="O101" s="162">
        <f>O102+O105+O108+O111+O114</f>
        <v>1800000</v>
      </c>
      <c r="P101" s="169">
        <f t="shared" ref="P101" si="126">P102+P105+P108+P111+P114</f>
        <v>1850000</v>
      </c>
      <c r="Q101" s="177">
        <f t="shared" ref="Q101" si="127">Q102+Q105+Q108+Q111+Q114</f>
        <v>700000</v>
      </c>
      <c r="R101" s="112">
        <f t="shared" ref="R101" si="128">R102+R105+R108+R111+R114</f>
        <v>4350000</v>
      </c>
      <c r="S101" s="193"/>
    </row>
    <row r="102" spans="1:19" ht="43.5" customHeight="1">
      <c r="A102" s="28">
        <v>9120</v>
      </c>
      <c r="B102" s="29" t="s">
        <v>38</v>
      </c>
      <c r="C102" s="212">
        <v>2024</v>
      </c>
      <c r="D102" s="100"/>
      <c r="E102" s="708">
        <v>1500000</v>
      </c>
      <c r="F102" s="1061">
        <v>600000</v>
      </c>
      <c r="G102" s="715">
        <v>700000</v>
      </c>
      <c r="H102" s="709">
        <f>E102+F102+G102</f>
        <v>2800000</v>
      </c>
      <c r="I102" s="1199" t="s">
        <v>418</v>
      </c>
      <c r="J102" s="158"/>
      <c r="K102" s="103"/>
      <c r="L102" s="100"/>
      <c r="M102" s="738"/>
      <c r="N102" s="1073"/>
      <c r="O102" s="103">
        <f>E102+J102</f>
        <v>1500000</v>
      </c>
      <c r="P102" s="100">
        <f t="shared" ref="P102:P116" si="129">F102+K102</f>
        <v>600000</v>
      </c>
      <c r="Q102" s="101">
        <f t="shared" ref="Q102:Q116" si="130">G102+L102</f>
        <v>700000</v>
      </c>
      <c r="R102" s="102">
        <f t="shared" ref="R102:R116" si="131">H102+M102</f>
        <v>2800000</v>
      </c>
      <c r="S102" s="31"/>
    </row>
    <row r="103" spans="1:19" ht="61.5" customHeight="1">
      <c r="A103" s="32"/>
      <c r="B103" s="33"/>
      <c r="C103" s="213">
        <v>2025</v>
      </c>
      <c r="D103" s="100"/>
      <c r="E103" s="710">
        <v>1500000</v>
      </c>
      <c r="F103" s="1062">
        <v>600000</v>
      </c>
      <c r="G103" s="716">
        <v>700000</v>
      </c>
      <c r="H103" s="711">
        <f t="shared" ref="H103:H113" si="132">E103+F103+G103</f>
        <v>2800000</v>
      </c>
      <c r="I103" s="1200"/>
      <c r="J103" s="26"/>
      <c r="K103" s="105"/>
      <c r="L103" s="100"/>
      <c r="M103" s="1077"/>
      <c r="N103" s="1074"/>
      <c r="O103" s="105">
        <f t="shared" ref="O103:O116" si="133">E103+J103</f>
        <v>1500000</v>
      </c>
      <c r="P103" s="100">
        <f t="shared" si="129"/>
        <v>600000</v>
      </c>
      <c r="Q103" s="104">
        <f t="shared" si="130"/>
        <v>700000</v>
      </c>
      <c r="R103" s="123">
        <f t="shared" si="131"/>
        <v>2800000</v>
      </c>
      <c r="S103" s="34"/>
    </row>
    <row r="104" spans="1:19" ht="33.75" customHeight="1" thickBot="1">
      <c r="A104" s="35"/>
      <c r="B104" s="36"/>
      <c r="C104" s="214">
        <v>2026</v>
      </c>
      <c r="D104" s="106"/>
      <c r="E104" s="712">
        <v>1500000</v>
      </c>
      <c r="F104" s="1063">
        <v>600000</v>
      </c>
      <c r="G104" s="713">
        <v>700000</v>
      </c>
      <c r="H104" s="714">
        <f t="shared" si="132"/>
        <v>2800000</v>
      </c>
      <c r="I104" s="1201"/>
      <c r="J104" s="27"/>
      <c r="K104" s="109"/>
      <c r="L104" s="106"/>
      <c r="M104" s="740"/>
      <c r="N104" s="1075"/>
      <c r="O104" s="109">
        <f t="shared" si="133"/>
        <v>1500000</v>
      </c>
      <c r="P104" s="106">
        <f t="shared" si="129"/>
        <v>600000</v>
      </c>
      <c r="Q104" s="107">
        <f t="shared" si="130"/>
        <v>700000</v>
      </c>
      <c r="R104" s="124">
        <f t="shared" si="131"/>
        <v>2800000</v>
      </c>
      <c r="S104" s="38"/>
    </row>
    <row r="105" spans="1:19" ht="30.75" customHeight="1">
      <c r="A105" s="28">
        <v>9230</v>
      </c>
      <c r="B105" s="29" t="s">
        <v>39</v>
      </c>
      <c r="C105" s="212">
        <v>2024</v>
      </c>
      <c r="D105" s="100"/>
      <c r="E105" s="708">
        <v>300000</v>
      </c>
      <c r="F105" s="717"/>
      <c r="G105" s="709"/>
      <c r="H105" s="709">
        <f t="shared" si="132"/>
        <v>300000</v>
      </c>
      <c r="I105" s="1202" t="s">
        <v>419</v>
      </c>
      <c r="J105" s="158"/>
      <c r="K105" s="103"/>
      <c r="L105" s="100"/>
      <c r="M105" s="1078"/>
      <c r="N105" s="1073"/>
      <c r="O105" s="103">
        <f t="shared" si="133"/>
        <v>300000</v>
      </c>
      <c r="P105" s="100">
        <f t="shared" si="129"/>
        <v>0</v>
      </c>
      <c r="Q105" s="101">
        <f t="shared" si="130"/>
        <v>0</v>
      </c>
      <c r="R105" s="102">
        <f t="shared" si="131"/>
        <v>300000</v>
      </c>
      <c r="S105" s="31"/>
    </row>
    <row r="106" spans="1:19" ht="24.75" customHeight="1">
      <c r="A106" s="32"/>
      <c r="B106" s="33"/>
      <c r="C106" s="213">
        <v>2025</v>
      </c>
      <c r="D106" s="100"/>
      <c r="E106" s="710">
        <v>300000</v>
      </c>
      <c r="F106" s="718"/>
      <c r="G106" s="711"/>
      <c r="H106" s="711">
        <f t="shared" si="132"/>
        <v>300000</v>
      </c>
      <c r="I106" s="1203"/>
      <c r="J106" s="26"/>
      <c r="K106" s="105"/>
      <c r="L106" s="100"/>
      <c r="M106" s="1077"/>
      <c r="N106" s="1074"/>
      <c r="O106" s="105">
        <f t="shared" si="133"/>
        <v>300000</v>
      </c>
      <c r="P106" s="100">
        <f t="shared" si="129"/>
        <v>0</v>
      </c>
      <c r="Q106" s="104">
        <f t="shared" si="130"/>
        <v>0</v>
      </c>
      <c r="R106" s="123">
        <f t="shared" si="131"/>
        <v>300000</v>
      </c>
      <c r="S106" s="34"/>
    </row>
    <row r="107" spans="1:19" ht="30" customHeight="1" thickBot="1">
      <c r="A107" s="35"/>
      <c r="B107" s="36"/>
      <c r="C107" s="214">
        <v>2026</v>
      </c>
      <c r="D107" s="106"/>
      <c r="E107" s="712">
        <v>300000</v>
      </c>
      <c r="F107" s="719"/>
      <c r="G107" s="714"/>
      <c r="H107" s="714">
        <f t="shared" si="132"/>
        <v>300000</v>
      </c>
      <c r="I107" s="1204"/>
      <c r="J107" s="27"/>
      <c r="K107" s="109"/>
      <c r="L107" s="106"/>
      <c r="M107" s="740"/>
      <c r="N107" s="1075"/>
      <c r="O107" s="109">
        <f t="shared" si="133"/>
        <v>300000</v>
      </c>
      <c r="P107" s="106">
        <f t="shared" si="129"/>
        <v>0</v>
      </c>
      <c r="Q107" s="107">
        <f t="shared" si="130"/>
        <v>0</v>
      </c>
      <c r="R107" s="124">
        <f t="shared" si="131"/>
        <v>300000</v>
      </c>
      <c r="S107" s="38"/>
    </row>
    <row r="108" spans="1:19" ht="55.5" customHeight="1">
      <c r="A108" s="28">
        <v>9450</v>
      </c>
      <c r="B108" s="29" t="s">
        <v>40</v>
      </c>
      <c r="C108" s="212">
        <v>2024</v>
      </c>
      <c r="D108" s="100"/>
      <c r="E108" s="708"/>
      <c r="F108" s="1061">
        <v>500000</v>
      </c>
      <c r="G108" s="709"/>
      <c r="H108" s="709">
        <f>E108+F108+G108</f>
        <v>500000</v>
      </c>
      <c r="I108" s="1202" t="s">
        <v>421</v>
      </c>
      <c r="J108" s="158"/>
      <c r="K108" s="103"/>
      <c r="L108" s="100"/>
      <c r="M108" s="1078"/>
      <c r="N108" s="1073"/>
      <c r="O108" s="103">
        <f t="shared" si="133"/>
        <v>0</v>
      </c>
      <c r="P108" s="100">
        <f t="shared" si="129"/>
        <v>500000</v>
      </c>
      <c r="Q108" s="101">
        <f t="shared" si="130"/>
        <v>0</v>
      </c>
      <c r="R108" s="102">
        <f t="shared" si="131"/>
        <v>500000</v>
      </c>
      <c r="S108" s="31"/>
    </row>
    <row r="109" spans="1:19" ht="28.5" customHeight="1">
      <c r="A109" s="32"/>
      <c r="B109" s="33"/>
      <c r="C109" s="213">
        <v>2025</v>
      </c>
      <c r="D109" s="100"/>
      <c r="E109" s="710"/>
      <c r="F109" s="1062">
        <v>400000</v>
      </c>
      <c r="G109" s="711"/>
      <c r="H109" s="711">
        <f>E109+F109+G109</f>
        <v>400000</v>
      </c>
      <c r="I109" s="1203"/>
      <c r="J109" s="26"/>
      <c r="K109" s="105"/>
      <c r="L109" s="100"/>
      <c r="M109" s="1077"/>
      <c r="N109" s="1074"/>
      <c r="O109" s="105">
        <f t="shared" si="133"/>
        <v>0</v>
      </c>
      <c r="P109" s="100">
        <f t="shared" si="129"/>
        <v>400000</v>
      </c>
      <c r="Q109" s="104">
        <f t="shared" si="130"/>
        <v>0</v>
      </c>
      <c r="R109" s="123">
        <f t="shared" si="131"/>
        <v>400000</v>
      </c>
      <c r="S109" s="34"/>
    </row>
    <row r="110" spans="1:19" ht="31.5" customHeight="1" thickBot="1">
      <c r="A110" s="35"/>
      <c r="B110" s="36"/>
      <c r="C110" s="214">
        <v>2026</v>
      </c>
      <c r="D110" s="106"/>
      <c r="E110" s="712"/>
      <c r="F110" s="1063">
        <v>400000</v>
      </c>
      <c r="G110" s="713"/>
      <c r="H110" s="714">
        <f>E110+F110+G110</f>
        <v>400000</v>
      </c>
      <c r="I110" s="1204"/>
      <c r="J110" s="27"/>
      <c r="K110" s="109"/>
      <c r="L110" s="106"/>
      <c r="M110" s="740"/>
      <c r="N110" s="1075"/>
      <c r="O110" s="109">
        <f t="shared" si="133"/>
        <v>0</v>
      </c>
      <c r="P110" s="106">
        <f t="shared" si="129"/>
        <v>400000</v>
      </c>
      <c r="Q110" s="107">
        <f t="shared" si="130"/>
        <v>0</v>
      </c>
      <c r="R110" s="124">
        <f t="shared" si="131"/>
        <v>400000</v>
      </c>
      <c r="S110" s="38"/>
    </row>
    <row r="111" spans="1:19" ht="24.75" customHeight="1">
      <c r="A111" s="28">
        <v>8140</v>
      </c>
      <c r="B111" s="29" t="s">
        <v>41</v>
      </c>
      <c r="C111" s="212">
        <v>2024</v>
      </c>
      <c r="D111" s="100"/>
      <c r="E111" s="708"/>
      <c r="F111" s="1061">
        <v>200000</v>
      </c>
      <c r="G111" s="715"/>
      <c r="H111" s="709">
        <f t="shared" si="132"/>
        <v>200000</v>
      </c>
      <c r="I111" s="1199" t="s">
        <v>420</v>
      </c>
      <c r="J111" s="158"/>
      <c r="K111" s="103"/>
      <c r="L111" s="100"/>
      <c r="M111" s="1078"/>
      <c r="N111" s="1073"/>
      <c r="O111" s="103">
        <f t="shared" si="133"/>
        <v>0</v>
      </c>
      <c r="P111" s="100">
        <f t="shared" si="129"/>
        <v>200000</v>
      </c>
      <c r="Q111" s="101">
        <f t="shared" si="130"/>
        <v>0</v>
      </c>
      <c r="R111" s="102">
        <f t="shared" si="131"/>
        <v>200000</v>
      </c>
      <c r="S111" s="31"/>
    </row>
    <row r="112" spans="1:19" ht="24" customHeight="1">
      <c r="A112" s="32"/>
      <c r="B112" s="33"/>
      <c r="C112" s="213">
        <v>2025</v>
      </c>
      <c r="D112" s="100"/>
      <c r="E112" s="710"/>
      <c r="F112" s="1062">
        <v>200000</v>
      </c>
      <c r="G112" s="716"/>
      <c r="H112" s="711">
        <f t="shared" si="132"/>
        <v>200000</v>
      </c>
      <c r="I112" s="1200"/>
      <c r="J112" s="26"/>
      <c r="K112" s="105"/>
      <c r="L112" s="100"/>
      <c r="M112" s="1077"/>
      <c r="N112" s="1074"/>
      <c r="O112" s="105">
        <f t="shared" si="133"/>
        <v>0</v>
      </c>
      <c r="P112" s="100">
        <f t="shared" si="129"/>
        <v>200000</v>
      </c>
      <c r="Q112" s="104">
        <f t="shared" si="130"/>
        <v>0</v>
      </c>
      <c r="R112" s="123">
        <f t="shared" si="131"/>
        <v>200000</v>
      </c>
      <c r="S112" s="34"/>
    </row>
    <row r="113" spans="1:19" ht="39" customHeight="1" thickBot="1">
      <c r="A113" s="35"/>
      <c r="B113" s="36"/>
      <c r="C113" s="214">
        <v>2026</v>
      </c>
      <c r="D113" s="106"/>
      <c r="E113" s="712"/>
      <c r="F113" s="1063">
        <v>200000</v>
      </c>
      <c r="G113" s="713"/>
      <c r="H113" s="714">
        <f t="shared" si="132"/>
        <v>200000</v>
      </c>
      <c r="I113" s="1201"/>
      <c r="J113" s="27"/>
      <c r="K113" s="109"/>
      <c r="L113" s="106"/>
      <c r="M113" s="740"/>
      <c r="N113" s="1075"/>
      <c r="O113" s="109">
        <f t="shared" si="133"/>
        <v>0</v>
      </c>
      <c r="P113" s="106">
        <f t="shared" si="129"/>
        <v>200000</v>
      </c>
      <c r="Q113" s="107">
        <f t="shared" si="130"/>
        <v>0</v>
      </c>
      <c r="R113" s="124">
        <f t="shared" si="131"/>
        <v>200000</v>
      </c>
      <c r="S113" s="38"/>
    </row>
    <row r="114" spans="1:19" ht="48" customHeight="1" thickBot="1">
      <c r="A114" s="692">
        <v>9770</v>
      </c>
      <c r="B114" s="693" t="s">
        <v>268</v>
      </c>
      <c r="C114" s="694">
        <v>2024</v>
      </c>
      <c r="D114" s="1072"/>
      <c r="E114" s="1064"/>
      <c r="F114" s="1068">
        <v>550000</v>
      </c>
      <c r="G114" s="1065"/>
      <c r="H114" s="1069">
        <f>F114+E114+G114</f>
        <v>550000</v>
      </c>
      <c r="I114" s="1199" t="s">
        <v>422</v>
      </c>
      <c r="J114" s="695"/>
      <c r="K114" s="696"/>
      <c r="L114" s="697"/>
      <c r="M114" s="697">
        <f t="shared" ref="M114:M116" si="134">J114+K114+L114</f>
        <v>0</v>
      </c>
      <c r="N114" s="1076"/>
      <c r="O114" s="103">
        <f t="shared" si="133"/>
        <v>0</v>
      </c>
      <c r="P114" s="100">
        <f t="shared" si="129"/>
        <v>550000</v>
      </c>
      <c r="Q114" s="101">
        <f t="shared" si="130"/>
        <v>0</v>
      </c>
      <c r="R114" s="102">
        <f t="shared" si="131"/>
        <v>550000</v>
      </c>
      <c r="S114" s="31"/>
    </row>
    <row r="115" spans="1:19" ht="64.5" customHeight="1" thickBot="1">
      <c r="A115" s="692">
        <v>9770</v>
      </c>
      <c r="B115" s="693" t="s">
        <v>268</v>
      </c>
      <c r="C115" s="694">
        <v>2025</v>
      </c>
      <c r="D115" s="1053"/>
      <c r="E115" s="1052"/>
      <c r="F115" s="1056">
        <v>550000</v>
      </c>
      <c r="G115" s="1066"/>
      <c r="H115" s="1070">
        <f t="shared" ref="H115:H116" si="135">F115+E115+G115</f>
        <v>550000</v>
      </c>
      <c r="I115" s="1200"/>
      <c r="J115" s="695"/>
      <c r="K115" s="696"/>
      <c r="L115" s="697"/>
      <c r="M115" s="697">
        <f t="shared" si="134"/>
        <v>0</v>
      </c>
      <c r="N115" s="1076"/>
      <c r="O115" s="105">
        <f t="shared" si="133"/>
        <v>0</v>
      </c>
      <c r="P115" s="100">
        <f t="shared" si="129"/>
        <v>550000</v>
      </c>
      <c r="Q115" s="104">
        <f t="shared" si="130"/>
        <v>0</v>
      </c>
      <c r="R115" s="123">
        <f t="shared" si="131"/>
        <v>550000</v>
      </c>
      <c r="S115" s="34"/>
    </row>
    <row r="116" spans="1:19" ht="26.25" customHeight="1" thickBot="1">
      <c r="A116" s="692">
        <v>9770</v>
      </c>
      <c r="B116" s="693" t="s">
        <v>268</v>
      </c>
      <c r="C116" s="694">
        <v>2026</v>
      </c>
      <c r="D116" s="1055"/>
      <c r="E116" s="1054"/>
      <c r="F116" s="1057">
        <v>550000</v>
      </c>
      <c r="G116" s="1067"/>
      <c r="H116" s="1071">
        <f t="shared" si="135"/>
        <v>550000</v>
      </c>
      <c r="I116" s="1201"/>
      <c r="J116" s="695"/>
      <c r="K116" s="696"/>
      <c r="L116" s="697"/>
      <c r="M116" s="697">
        <f t="shared" si="134"/>
        <v>0</v>
      </c>
      <c r="N116" s="1076"/>
      <c r="O116" s="109">
        <f t="shared" si="133"/>
        <v>0</v>
      </c>
      <c r="P116" s="106">
        <f t="shared" si="129"/>
        <v>550000</v>
      </c>
      <c r="Q116" s="107">
        <f t="shared" si="130"/>
        <v>0</v>
      </c>
      <c r="R116" s="124">
        <f t="shared" si="131"/>
        <v>550000</v>
      </c>
      <c r="S116" s="38"/>
    </row>
    <row r="117" spans="1:19" ht="16.5" thickBot="1">
      <c r="A117" s="48">
        <v>12</v>
      </c>
      <c r="B117" s="17" t="s">
        <v>42</v>
      </c>
      <c r="C117" s="18"/>
      <c r="D117" s="169"/>
      <c r="E117" s="177">
        <f>E118+E121+E124</f>
        <v>42265</v>
      </c>
      <c r="F117" s="161">
        <f>F118+F121+F124</f>
        <v>831353</v>
      </c>
      <c r="G117" s="162">
        <f>G118+G121+G124</f>
        <v>709139</v>
      </c>
      <c r="H117" s="122">
        <f>H118+H121+H124</f>
        <v>1582757</v>
      </c>
      <c r="I117" s="198"/>
      <c r="J117" s="161">
        <f>J118+J121+J124</f>
        <v>18000</v>
      </c>
      <c r="K117" s="162">
        <f t="shared" ref="K117" si="136">K118+K121+K124</f>
        <v>0</v>
      </c>
      <c r="L117" s="169">
        <f t="shared" ref="L117" si="137">L118+L121+L124</f>
        <v>2600</v>
      </c>
      <c r="M117" s="127">
        <f t="shared" ref="M117" si="138">M118+M121+M124</f>
        <v>20600</v>
      </c>
      <c r="N117" s="192"/>
      <c r="O117" s="162">
        <f>O118+O121+O124</f>
        <v>60265</v>
      </c>
      <c r="P117" s="169">
        <f t="shared" ref="P117" si="139">P118+P121+P124</f>
        <v>831353</v>
      </c>
      <c r="Q117" s="177">
        <f>Q118+Q121+Q124</f>
        <v>711739</v>
      </c>
      <c r="R117" s="112">
        <f>R118+R121+R124</f>
        <v>1603357</v>
      </c>
      <c r="S117" s="193"/>
    </row>
    <row r="118" spans="1:19" s="219" customFormat="1" ht="22.5" customHeight="1" thickBot="1">
      <c r="A118" s="379">
        <v>1110</v>
      </c>
      <c r="B118" s="438" t="s">
        <v>18</v>
      </c>
      <c r="C118" s="212">
        <v>2024</v>
      </c>
      <c r="D118" s="501" t="s">
        <v>382</v>
      </c>
      <c r="E118" s="354">
        <v>4078</v>
      </c>
      <c r="F118" s="354">
        <v>405501</v>
      </c>
      <c r="G118" s="31"/>
      <c r="H118" s="341">
        <f>E118+F118+G118</f>
        <v>409579</v>
      </c>
      <c r="I118" s="1434" t="s">
        <v>386</v>
      </c>
      <c r="J118" s="438"/>
      <c r="K118" s="502"/>
      <c r="L118" s="429" t="s">
        <v>387</v>
      </c>
      <c r="M118" s="890">
        <f>J118+K118+L118</f>
        <v>2600</v>
      </c>
      <c r="N118" s="1437" t="s">
        <v>388</v>
      </c>
      <c r="O118" s="103">
        <f>E118+J118</f>
        <v>4078</v>
      </c>
      <c r="P118" s="501">
        <f t="shared" ref="P118:P126" si="140">F118+K118</f>
        <v>405501</v>
      </c>
      <c r="Q118" s="383">
        <f>L118+G118</f>
        <v>2600</v>
      </c>
      <c r="R118" s="383">
        <f>M118+H118</f>
        <v>412179</v>
      </c>
      <c r="S118" s="502"/>
    </row>
    <row r="119" spans="1:19" s="219" customFormat="1" ht="27.75" customHeight="1">
      <c r="A119" s="388">
        <v>1110</v>
      </c>
      <c r="B119" s="446"/>
      <c r="C119" s="213">
        <v>2025</v>
      </c>
      <c r="D119" s="501"/>
      <c r="E119" s="344"/>
      <c r="F119" s="344"/>
      <c r="G119" s="34"/>
      <c r="H119" s="341">
        <f>E119+F119+G119</f>
        <v>0</v>
      </c>
      <c r="I119" s="1435"/>
      <c r="J119" s="446"/>
      <c r="K119" s="504"/>
      <c r="L119" s="501"/>
      <c r="M119" s="388"/>
      <c r="N119" s="1438"/>
      <c r="O119" s="504">
        <f t="shared" ref="O119:O126" si="141">E119+J119</f>
        <v>0</v>
      </c>
      <c r="P119" s="501">
        <f t="shared" si="140"/>
        <v>0</v>
      </c>
      <c r="Q119" s="501">
        <f t="shared" ref="Q119:Q126" si="142">G119+L119</f>
        <v>0</v>
      </c>
      <c r="R119" s="501">
        <f t="shared" ref="R119:R126" si="143">H119+M119</f>
        <v>0</v>
      </c>
      <c r="S119" s="504"/>
    </row>
    <row r="120" spans="1:19" s="219" customFormat="1" ht="86.25" customHeight="1" thickBot="1">
      <c r="A120" s="397">
        <v>1110</v>
      </c>
      <c r="B120" s="453"/>
      <c r="C120" s="214">
        <v>2026</v>
      </c>
      <c r="D120" s="505"/>
      <c r="E120" s="346"/>
      <c r="F120" s="346"/>
      <c r="G120" s="38"/>
      <c r="H120" s="687">
        <f>E120+F120+G120</f>
        <v>0</v>
      </c>
      <c r="I120" s="1436"/>
      <c r="J120" s="453"/>
      <c r="K120" s="507"/>
      <c r="L120" s="505"/>
      <c r="M120" s="397"/>
      <c r="N120" s="1439"/>
      <c r="O120" s="507">
        <f t="shared" si="141"/>
        <v>0</v>
      </c>
      <c r="P120" s="507">
        <f t="shared" si="140"/>
        <v>0</v>
      </c>
      <c r="Q120" s="507">
        <f t="shared" si="142"/>
        <v>0</v>
      </c>
      <c r="R120" s="507">
        <f t="shared" si="143"/>
        <v>0</v>
      </c>
      <c r="S120" s="507"/>
    </row>
    <row r="121" spans="1:19" s="219" customFormat="1" ht="21.75" customHeight="1">
      <c r="A121" s="379">
        <v>8220</v>
      </c>
      <c r="B121" s="438" t="s">
        <v>43</v>
      </c>
      <c r="C121" s="212">
        <v>2024</v>
      </c>
      <c r="D121" s="501" t="s">
        <v>389</v>
      </c>
      <c r="E121" s="354">
        <v>26173</v>
      </c>
      <c r="F121" s="508">
        <v>175058</v>
      </c>
      <c r="G121" s="511">
        <v>658474</v>
      </c>
      <c r="H121" s="508">
        <f>SUM(E121:G121)</f>
        <v>859705</v>
      </c>
      <c r="I121" s="1440" t="s">
        <v>390</v>
      </c>
      <c r="J121" s="341">
        <v>18000</v>
      </c>
      <c r="K121" s="508"/>
      <c r="L121" s="501"/>
      <c r="M121" s="341">
        <f>J121+K121+L121</f>
        <v>18000</v>
      </c>
      <c r="N121" s="1443" t="s">
        <v>391</v>
      </c>
      <c r="O121" s="103">
        <f t="shared" si="141"/>
        <v>44173</v>
      </c>
      <c r="P121" s="103">
        <f t="shared" si="140"/>
        <v>175058</v>
      </c>
      <c r="Q121" s="103">
        <f>G121+L121</f>
        <v>658474</v>
      </c>
      <c r="R121" s="391">
        <f t="shared" si="143"/>
        <v>877705</v>
      </c>
      <c r="S121" s="502"/>
    </row>
    <row r="122" spans="1:19" s="219" customFormat="1" ht="39" customHeight="1">
      <c r="A122" s="388">
        <v>8220</v>
      </c>
      <c r="B122" s="446"/>
      <c r="C122" s="213">
        <v>2025</v>
      </c>
      <c r="D122" s="501"/>
      <c r="E122" s="503"/>
      <c r="F122" s="509"/>
      <c r="G122" s="542"/>
      <c r="H122" s="509"/>
      <c r="I122" s="1441"/>
      <c r="J122" s="446"/>
      <c r="K122" s="504"/>
      <c r="L122" s="501"/>
      <c r="M122" s="388"/>
      <c r="N122" s="1444"/>
      <c r="O122" s="386">
        <f t="shared" si="141"/>
        <v>0</v>
      </c>
      <c r="P122" s="383">
        <f t="shared" si="140"/>
        <v>0</v>
      </c>
      <c r="Q122" s="384">
        <f t="shared" si="142"/>
        <v>0</v>
      </c>
      <c r="R122" s="391">
        <f t="shared" si="143"/>
        <v>0</v>
      </c>
      <c r="S122" s="504"/>
    </row>
    <row r="123" spans="1:19" s="219" customFormat="1" ht="71.25" customHeight="1" thickBot="1">
      <c r="A123" s="397">
        <v>8220</v>
      </c>
      <c r="B123" s="453"/>
      <c r="C123" s="214">
        <v>2026</v>
      </c>
      <c r="D123" s="505"/>
      <c r="E123" s="506"/>
      <c r="F123" s="510"/>
      <c r="G123" s="544"/>
      <c r="H123" s="510"/>
      <c r="I123" s="1442"/>
      <c r="J123" s="453"/>
      <c r="K123" s="507"/>
      <c r="L123" s="505"/>
      <c r="M123" s="397"/>
      <c r="N123" s="1445"/>
      <c r="O123" s="395">
        <f t="shared" si="141"/>
        <v>0</v>
      </c>
      <c r="P123" s="392">
        <f t="shared" si="140"/>
        <v>0</v>
      </c>
      <c r="Q123" s="393">
        <f t="shared" si="142"/>
        <v>0</v>
      </c>
      <c r="R123" s="400">
        <f t="shared" si="143"/>
        <v>0</v>
      </c>
      <c r="S123" s="507"/>
    </row>
    <row r="124" spans="1:19" s="219" customFormat="1" ht="87" customHeight="1">
      <c r="A124" s="379">
        <v>8230</v>
      </c>
      <c r="B124" s="438" t="s">
        <v>44</v>
      </c>
      <c r="C124" s="212">
        <v>2024</v>
      </c>
      <c r="D124" s="501"/>
      <c r="E124" s="354">
        <v>12014</v>
      </c>
      <c r="F124" s="354">
        <v>250794</v>
      </c>
      <c r="G124" s="698">
        <v>50665</v>
      </c>
      <c r="H124" s="354">
        <f>SUM(E124:G124)</f>
        <v>313473</v>
      </c>
      <c r="I124" s="1440" t="s">
        <v>392</v>
      </c>
      <c r="J124" s="438"/>
      <c r="K124" s="502"/>
      <c r="L124" s="501"/>
      <c r="M124" s="379"/>
      <c r="N124" s="438"/>
      <c r="O124" s="103">
        <f t="shared" si="141"/>
        <v>12014</v>
      </c>
      <c r="P124" s="383">
        <f t="shared" si="140"/>
        <v>250794</v>
      </c>
      <c r="Q124" s="375">
        <f>G124+L124</f>
        <v>50665</v>
      </c>
      <c r="R124" s="382">
        <f t="shared" si="143"/>
        <v>313473</v>
      </c>
      <c r="S124" s="502"/>
    </row>
    <row r="125" spans="1:19" s="219" customFormat="1" ht="86.25" customHeight="1">
      <c r="A125" s="388">
        <v>8230</v>
      </c>
      <c r="B125" s="446"/>
      <c r="C125" s="213">
        <v>2025</v>
      </c>
      <c r="D125" s="501"/>
      <c r="E125" s="313"/>
      <c r="F125" s="344"/>
      <c r="G125" s="351"/>
      <c r="H125" s="344">
        <f>SUM(E125:G125)</f>
        <v>0</v>
      </c>
      <c r="I125" s="1441"/>
      <c r="J125" s="446"/>
      <c r="K125" s="504"/>
      <c r="L125" s="501"/>
      <c r="M125" s="388"/>
      <c r="N125" s="446"/>
      <c r="O125" s="386">
        <f t="shared" si="141"/>
        <v>0</v>
      </c>
      <c r="P125" s="383">
        <f t="shared" si="140"/>
        <v>0</v>
      </c>
      <c r="Q125" s="384">
        <f t="shared" si="142"/>
        <v>0</v>
      </c>
      <c r="R125" s="391">
        <f t="shared" si="143"/>
        <v>0</v>
      </c>
      <c r="S125" s="504"/>
    </row>
    <row r="126" spans="1:19" s="219" customFormat="1" ht="89.25" customHeight="1" thickBot="1">
      <c r="A126" s="397">
        <v>8230</v>
      </c>
      <c r="B126" s="453"/>
      <c r="C126" s="214">
        <v>2026</v>
      </c>
      <c r="D126" s="505"/>
      <c r="E126" s="315"/>
      <c r="F126" s="346"/>
      <c r="G126" s="353"/>
      <c r="H126" s="346">
        <f>SUM(E126:G126)</f>
        <v>0</v>
      </c>
      <c r="I126" s="1441"/>
      <c r="J126" s="453"/>
      <c r="K126" s="507"/>
      <c r="L126" s="505"/>
      <c r="M126" s="397"/>
      <c r="N126" s="453"/>
      <c r="O126" s="395">
        <f t="shared" si="141"/>
        <v>0</v>
      </c>
      <c r="P126" s="392">
        <f t="shared" si="140"/>
        <v>0</v>
      </c>
      <c r="Q126" s="393">
        <f t="shared" si="142"/>
        <v>0</v>
      </c>
      <c r="R126" s="400">
        <f t="shared" si="143"/>
        <v>0</v>
      </c>
      <c r="S126" s="507"/>
    </row>
    <row r="127" spans="1:19" ht="16.5" thickBot="1">
      <c r="A127" s="48">
        <v>13</v>
      </c>
      <c r="B127" s="17" t="s">
        <v>45</v>
      </c>
      <c r="C127" s="18"/>
      <c r="D127" s="169">
        <f>D128+D131+D134+D137+D140</f>
        <v>0</v>
      </c>
      <c r="E127" s="177">
        <f>E128+E131+E134+E137+E140</f>
        <v>475294</v>
      </c>
      <c r="F127" s="177">
        <f t="shared" ref="F127:H127" si="144">F128+F131+F134+F137+F140</f>
        <v>4080000</v>
      </c>
      <c r="G127" s="177">
        <f t="shared" si="144"/>
        <v>0</v>
      </c>
      <c r="H127" s="177">
        <f t="shared" si="144"/>
        <v>4555294</v>
      </c>
      <c r="I127" s="198"/>
      <c r="J127" s="161"/>
      <c r="K127" s="162"/>
      <c r="L127" s="169"/>
      <c r="M127" s="127"/>
      <c r="N127" s="192"/>
      <c r="O127" s="162">
        <f>O128+O131+O134+O137+O140</f>
        <v>475294</v>
      </c>
      <c r="P127" s="162">
        <f t="shared" ref="P127:R127" si="145">P128+P131+P134+P137+P140</f>
        <v>4080000</v>
      </c>
      <c r="Q127" s="162">
        <f t="shared" si="145"/>
        <v>0</v>
      </c>
      <c r="R127" s="162">
        <f t="shared" si="145"/>
        <v>4555294</v>
      </c>
      <c r="S127" s="193"/>
    </row>
    <row r="128" spans="1:19" ht="15.75">
      <c r="A128" s="633">
        <v>1110</v>
      </c>
      <c r="B128" s="634" t="s">
        <v>261</v>
      </c>
      <c r="C128" s="212">
        <v>2024</v>
      </c>
      <c r="D128" s="374"/>
      <c r="E128" s="375"/>
      <c r="F128" s="376"/>
      <c r="G128" s="377"/>
      <c r="H128" s="378">
        <f>E128+F128+G128</f>
        <v>0</v>
      </c>
      <c r="I128" s="1225" t="s">
        <v>437</v>
      </c>
      <c r="J128" s="376"/>
      <c r="K128" s="377"/>
      <c r="L128" s="374"/>
      <c r="M128" s="380">
        <f>J128+K128+L128</f>
        <v>0</v>
      </c>
      <c r="N128" s="381"/>
      <c r="O128" s="377">
        <f>+E128+J128</f>
        <v>0</v>
      </c>
      <c r="P128" s="374">
        <f t="shared" ref="P128:P142" si="146">+F128+K128</f>
        <v>0</v>
      </c>
      <c r="Q128" s="375">
        <f t="shared" ref="Q128:Q142" si="147">+G128+L128</f>
        <v>0</v>
      </c>
      <c r="R128" s="382">
        <f t="shared" ref="R128:R142" si="148">+H128+M128</f>
        <v>0</v>
      </c>
      <c r="S128" s="31"/>
    </row>
    <row r="129" spans="1:19" ht="15.75">
      <c r="A129" s="32"/>
      <c r="B129" s="33"/>
      <c r="C129" s="213">
        <v>2025</v>
      </c>
      <c r="D129" s="383"/>
      <c r="E129" s="384"/>
      <c r="F129" s="385"/>
      <c r="G129" s="386">
        <v>4300</v>
      </c>
      <c r="H129" s="387">
        <f t="shared" ref="H129:H142" si="149">E129+F129+G129</f>
        <v>4300</v>
      </c>
      <c r="I129" s="1226"/>
      <c r="J129" s="385"/>
      <c r="K129" s="386"/>
      <c r="L129" s="383"/>
      <c r="M129" s="389">
        <f t="shared" ref="M129:M142" si="150">J129+K129+L129</f>
        <v>0</v>
      </c>
      <c r="N129" s="390"/>
      <c r="O129" s="386">
        <f t="shared" ref="O129:O142" si="151">+E129+J129</f>
        <v>0</v>
      </c>
      <c r="P129" s="383">
        <f t="shared" si="146"/>
        <v>0</v>
      </c>
      <c r="Q129" s="384">
        <f t="shared" si="147"/>
        <v>4300</v>
      </c>
      <c r="R129" s="391">
        <f t="shared" si="148"/>
        <v>4300</v>
      </c>
      <c r="S129" s="34"/>
    </row>
    <row r="130" spans="1:19" ht="16.5" thickBot="1">
      <c r="A130" s="35"/>
      <c r="B130" s="36"/>
      <c r="C130" s="214">
        <v>2026</v>
      </c>
      <c r="D130" s="392"/>
      <c r="E130" s="393"/>
      <c r="F130" s="394"/>
      <c r="G130" s="395">
        <v>71200</v>
      </c>
      <c r="H130" s="396">
        <f t="shared" si="149"/>
        <v>71200</v>
      </c>
      <c r="I130" s="1227"/>
      <c r="J130" s="394"/>
      <c r="K130" s="395"/>
      <c r="L130" s="392"/>
      <c r="M130" s="398">
        <f t="shared" si="150"/>
        <v>0</v>
      </c>
      <c r="N130" s="399"/>
      <c r="O130" s="395">
        <f t="shared" si="151"/>
        <v>0</v>
      </c>
      <c r="P130" s="392">
        <f t="shared" si="146"/>
        <v>0</v>
      </c>
      <c r="Q130" s="393">
        <f t="shared" si="147"/>
        <v>71200</v>
      </c>
      <c r="R130" s="400">
        <f t="shared" si="148"/>
        <v>71200</v>
      </c>
      <c r="S130" s="38"/>
    </row>
    <row r="131" spans="1:19" ht="15.75">
      <c r="A131" s="633">
        <v>7220</v>
      </c>
      <c r="B131" s="634" t="s">
        <v>258</v>
      </c>
      <c r="C131" s="212">
        <v>2024</v>
      </c>
      <c r="D131" s="374"/>
      <c r="E131" s="375">
        <v>10229</v>
      </c>
      <c r="F131" s="376">
        <v>1000000</v>
      </c>
      <c r="G131" s="377">
        <v>-27000</v>
      </c>
      <c r="H131" s="378">
        <f t="shared" si="149"/>
        <v>983229</v>
      </c>
      <c r="I131" s="1205" t="s">
        <v>438</v>
      </c>
      <c r="J131" s="376"/>
      <c r="K131" s="377"/>
      <c r="L131" s="374"/>
      <c r="M131" s="380">
        <f t="shared" si="150"/>
        <v>0</v>
      </c>
      <c r="N131" s="381"/>
      <c r="O131" s="377">
        <f t="shared" si="151"/>
        <v>10229</v>
      </c>
      <c r="P131" s="374">
        <f t="shared" si="146"/>
        <v>1000000</v>
      </c>
      <c r="Q131" s="375">
        <f t="shared" si="147"/>
        <v>-27000</v>
      </c>
      <c r="R131" s="382">
        <f t="shared" si="148"/>
        <v>983229</v>
      </c>
      <c r="S131" s="31"/>
    </row>
    <row r="132" spans="1:19" ht="15.75">
      <c r="A132" s="32"/>
      <c r="B132" s="33"/>
      <c r="C132" s="213">
        <v>2025</v>
      </c>
      <c r="D132" s="383"/>
      <c r="E132" s="384"/>
      <c r="F132" s="385"/>
      <c r="G132" s="386">
        <v>-49246</v>
      </c>
      <c r="H132" s="387">
        <f t="shared" si="149"/>
        <v>-49246</v>
      </c>
      <c r="I132" s="1206"/>
      <c r="J132" s="385"/>
      <c r="K132" s="386"/>
      <c r="L132" s="383"/>
      <c r="M132" s="389">
        <f t="shared" si="150"/>
        <v>0</v>
      </c>
      <c r="N132" s="390"/>
      <c r="O132" s="386">
        <f t="shared" si="151"/>
        <v>0</v>
      </c>
      <c r="P132" s="383">
        <f t="shared" si="146"/>
        <v>0</v>
      </c>
      <c r="Q132" s="384">
        <f t="shared" si="147"/>
        <v>-49246</v>
      </c>
      <c r="R132" s="391">
        <f t="shared" si="148"/>
        <v>-49246</v>
      </c>
      <c r="S132" s="34"/>
    </row>
    <row r="133" spans="1:19" ht="16.5" thickBot="1">
      <c r="A133" s="35"/>
      <c r="B133" s="36"/>
      <c r="C133" s="214">
        <v>2026</v>
      </c>
      <c r="D133" s="392"/>
      <c r="E133" s="393"/>
      <c r="F133" s="635"/>
      <c r="G133" s="395">
        <v>-25754</v>
      </c>
      <c r="H133" s="396">
        <f t="shared" si="149"/>
        <v>-25754</v>
      </c>
      <c r="I133" s="1207"/>
      <c r="J133" s="394"/>
      <c r="K133" s="395"/>
      <c r="L133" s="392"/>
      <c r="M133" s="398">
        <f t="shared" si="150"/>
        <v>0</v>
      </c>
      <c r="N133" s="399"/>
      <c r="O133" s="395">
        <f t="shared" si="151"/>
        <v>0</v>
      </c>
      <c r="P133" s="392">
        <f t="shared" si="146"/>
        <v>0</v>
      </c>
      <c r="Q133" s="393">
        <f t="shared" si="147"/>
        <v>-25754</v>
      </c>
      <c r="R133" s="400">
        <f t="shared" si="148"/>
        <v>-25754</v>
      </c>
      <c r="S133" s="38"/>
    </row>
    <row r="134" spans="1:19" ht="15.75">
      <c r="A134" s="28">
        <v>7330</v>
      </c>
      <c r="B134" s="29" t="s">
        <v>46</v>
      </c>
      <c r="C134" s="212">
        <v>2024</v>
      </c>
      <c r="D134" s="374"/>
      <c r="E134" s="375">
        <v>64127</v>
      </c>
      <c r="F134" s="376">
        <v>3000000</v>
      </c>
      <c r="G134" s="377">
        <v>-10710</v>
      </c>
      <c r="H134" s="378">
        <f t="shared" si="149"/>
        <v>3053417</v>
      </c>
      <c r="I134" s="1222" t="s">
        <v>438</v>
      </c>
      <c r="J134" s="376"/>
      <c r="K134" s="377"/>
      <c r="L134" s="374"/>
      <c r="M134" s="380">
        <f t="shared" si="150"/>
        <v>0</v>
      </c>
      <c r="N134" s="381"/>
      <c r="O134" s="377">
        <f t="shared" si="151"/>
        <v>64127</v>
      </c>
      <c r="P134" s="374">
        <f t="shared" si="146"/>
        <v>3000000</v>
      </c>
      <c r="Q134" s="375">
        <f t="shared" si="147"/>
        <v>-10710</v>
      </c>
      <c r="R134" s="382">
        <f t="shared" si="148"/>
        <v>3053417</v>
      </c>
      <c r="S134" s="31"/>
    </row>
    <row r="135" spans="1:19" ht="15.75">
      <c r="A135" s="32"/>
      <c r="B135" s="33"/>
      <c r="C135" s="213">
        <v>2025</v>
      </c>
      <c r="D135" s="383"/>
      <c r="E135" s="384"/>
      <c r="F135" s="385"/>
      <c r="G135" s="386">
        <v>-40074</v>
      </c>
      <c r="H135" s="387">
        <f t="shared" si="149"/>
        <v>-40074</v>
      </c>
      <c r="I135" s="1223"/>
      <c r="J135" s="385"/>
      <c r="K135" s="386"/>
      <c r="L135" s="383"/>
      <c r="M135" s="389">
        <f t="shared" si="150"/>
        <v>0</v>
      </c>
      <c r="N135" s="390"/>
      <c r="O135" s="386">
        <f t="shared" si="151"/>
        <v>0</v>
      </c>
      <c r="P135" s="383">
        <f t="shared" si="146"/>
        <v>0</v>
      </c>
      <c r="Q135" s="384">
        <f t="shared" si="147"/>
        <v>-40074</v>
      </c>
      <c r="R135" s="391">
        <f t="shared" si="148"/>
        <v>-40074</v>
      </c>
      <c r="S135" s="34"/>
    </row>
    <row r="136" spans="1:19" ht="16.5" thickBot="1">
      <c r="A136" s="35"/>
      <c r="B136" s="36"/>
      <c r="C136" s="214">
        <v>2026</v>
      </c>
      <c r="D136" s="392"/>
      <c r="E136" s="393"/>
      <c r="F136" s="635"/>
      <c r="G136" s="395">
        <v>195284</v>
      </c>
      <c r="H136" s="396">
        <f t="shared" si="149"/>
        <v>195284</v>
      </c>
      <c r="I136" s="1224"/>
      <c r="J136" s="394"/>
      <c r="K136" s="395"/>
      <c r="L136" s="392"/>
      <c r="M136" s="398">
        <f t="shared" si="150"/>
        <v>0</v>
      </c>
      <c r="N136" s="399"/>
      <c r="O136" s="395">
        <f t="shared" si="151"/>
        <v>0</v>
      </c>
      <c r="P136" s="392">
        <f t="shared" si="146"/>
        <v>0</v>
      </c>
      <c r="Q136" s="393">
        <f t="shared" si="147"/>
        <v>195284</v>
      </c>
      <c r="R136" s="400">
        <f t="shared" si="148"/>
        <v>195284</v>
      </c>
      <c r="S136" s="38"/>
    </row>
    <row r="137" spans="1:19" ht="15.75">
      <c r="A137" s="633">
        <v>7450</v>
      </c>
      <c r="B137" s="634" t="s">
        <v>259</v>
      </c>
      <c r="C137" s="212">
        <v>2024</v>
      </c>
      <c r="D137" s="374"/>
      <c r="E137" s="375">
        <v>400938</v>
      </c>
      <c r="F137" s="376"/>
      <c r="G137" s="377">
        <v>16000</v>
      </c>
      <c r="H137" s="378">
        <f t="shared" si="149"/>
        <v>416938</v>
      </c>
      <c r="I137" s="1222" t="s">
        <v>438</v>
      </c>
      <c r="J137" s="376"/>
      <c r="K137" s="377"/>
      <c r="L137" s="374"/>
      <c r="M137" s="380">
        <f t="shared" si="150"/>
        <v>0</v>
      </c>
      <c r="N137" s="381"/>
      <c r="O137" s="377">
        <f t="shared" si="151"/>
        <v>400938</v>
      </c>
      <c r="P137" s="374">
        <f t="shared" si="146"/>
        <v>0</v>
      </c>
      <c r="Q137" s="375">
        <f t="shared" si="147"/>
        <v>16000</v>
      </c>
      <c r="R137" s="382">
        <f t="shared" si="148"/>
        <v>416938</v>
      </c>
      <c r="S137" s="31"/>
    </row>
    <row r="138" spans="1:19" ht="15.75">
      <c r="A138" s="32"/>
      <c r="B138" s="33"/>
      <c r="C138" s="213">
        <v>2025</v>
      </c>
      <c r="D138" s="383"/>
      <c r="E138" s="384"/>
      <c r="F138" s="385"/>
      <c r="G138" s="386">
        <v>3000</v>
      </c>
      <c r="H138" s="387">
        <f t="shared" si="149"/>
        <v>3000</v>
      </c>
      <c r="I138" s="1223"/>
      <c r="J138" s="385"/>
      <c r="K138" s="386"/>
      <c r="L138" s="383"/>
      <c r="M138" s="389">
        <f t="shared" si="150"/>
        <v>0</v>
      </c>
      <c r="N138" s="390"/>
      <c r="O138" s="386">
        <f t="shared" si="151"/>
        <v>0</v>
      </c>
      <c r="P138" s="383">
        <f t="shared" si="146"/>
        <v>0</v>
      </c>
      <c r="Q138" s="384">
        <f t="shared" si="147"/>
        <v>3000</v>
      </c>
      <c r="R138" s="391">
        <f t="shared" si="148"/>
        <v>3000</v>
      </c>
      <c r="S138" s="34"/>
    </row>
    <row r="139" spans="1:19" ht="16.5" thickBot="1">
      <c r="A139" s="35"/>
      <c r="B139" s="36"/>
      <c r="C139" s="214">
        <v>2026</v>
      </c>
      <c r="D139" s="392"/>
      <c r="E139" s="393"/>
      <c r="F139" s="394"/>
      <c r="G139" s="395">
        <v>-270970</v>
      </c>
      <c r="H139" s="396">
        <f t="shared" si="149"/>
        <v>-270970</v>
      </c>
      <c r="I139" s="1224"/>
      <c r="J139" s="394"/>
      <c r="K139" s="395"/>
      <c r="L139" s="392"/>
      <c r="M139" s="398">
        <f t="shared" si="150"/>
        <v>0</v>
      </c>
      <c r="N139" s="399"/>
      <c r="O139" s="395">
        <f t="shared" si="151"/>
        <v>0</v>
      </c>
      <c r="P139" s="392">
        <f t="shared" si="146"/>
        <v>0</v>
      </c>
      <c r="Q139" s="393">
        <f t="shared" si="147"/>
        <v>-270970</v>
      </c>
      <c r="R139" s="400">
        <f t="shared" si="148"/>
        <v>-270970</v>
      </c>
      <c r="S139" s="38"/>
    </row>
    <row r="140" spans="1:19" ht="15.75">
      <c r="A140" s="633">
        <v>10430</v>
      </c>
      <c r="B140" s="634" t="s">
        <v>260</v>
      </c>
      <c r="C140" s="212">
        <v>2024</v>
      </c>
      <c r="D140" s="374"/>
      <c r="E140" s="375"/>
      <c r="F140" s="376">
        <v>80000</v>
      </c>
      <c r="G140" s="377">
        <v>21710</v>
      </c>
      <c r="H140" s="378">
        <f t="shared" si="149"/>
        <v>101710</v>
      </c>
      <c r="I140" s="1299" t="s">
        <v>439</v>
      </c>
      <c r="J140" s="376"/>
      <c r="K140" s="377"/>
      <c r="L140" s="374"/>
      <c r="M140" s="380">
        <f t="shared" si="150"/>
        <v>0</v>
      </c>
      <c r="N140" s="1431"/>
      <c r="O140" s="377">
        <f t="shared" si="151"/>
        <v>0</v>
      </c>
      <c r="P140" s="374">
        <f t="shared" si="146"/>
        <v>80000</v>
      </c>
      <c r="Q140" s="375">
        <f t="shared" si="147"/>
        <v>21710</v>
      </c>
      <c r="R140" s="382">
        <f t="shared" si="148"/>
        <v>101710</v>
      </c>
      <c r="S140" s="31"/>
    </row>
    <row r="141" spans="1:19" ht="15.75">
      <c r="A141" s="32"/>
      <c r="B141" s="33"/>
      <c r="C141" s="213">
        <v>2025</v>
      </c>
      <c r="D141" s="383"/>
      <c r="E141" s="384"/>
      <c r="F141" s="385"/>
      <c r="G141" s="386">
        <v>82020</v>
      </c>
      <c r="H141" s="387">
        <f t="shared" si="149"/>
        <v>82020</v>
      </c>
      <c r="I141" s="1300"/>
      <c r="J141" s="385"/>
      <c r="K141" s="386"/>
      <c r="L141" s="383"/>
      <c r="M141" s="389">
        <f t="shared" si="150"/>
        <v>0</v>
      </c>
      <c r="N141" s="1432"/>
      <c r="O141" s="386">
        <f t="shared" si="151"/>
        <v>0</v>
      </c>
      <c r="P141" s="383">
        <f t="shared" si="146"/>
        <v>0</v>
      </c>
      <c r="Q141" s="384">
        <f t="shared" si="147"/>
        <v>82020</v>
      </c>
      <c r="R141" s="391">
        <f t="shared" si="148"/>
        <v>82020</v>
      </c>
      <c r="S141" s="34"/>
    </row>
    <row r="142" spans="1:19" ht="16.5" thickBot="1">
      <c r="A142" s="35"/>
      <c r="B142" s="36"/>
      <c r="C142" s="214">
        <v>2026</v>
      </c>
      <c r="D142" s="392"/>
      <c r="E142" s="393"/>
      <c r="F142" s="394"/>
      <c r="G142" s="395">
        <v>30240</v>
      </c>
      <c r="H142" s="396">
        <f t="shared" si="149"/>
        <v>30240</v>
      </c>
      <c r="I142" s="1301"/>
      <c r="J142" s="394"/>
      <c r="K142" s="395"/>
      <c r="L142" s="392"/>
      <c r="M142" s="398">
        <f t="shared" si="150"/>
        <v>0</v>
      </c>
      <c r="N142" s="1433"/>
      <c r="O142" s="395">
        <f t="shared" si="151"/>
        <v>0</v>
      </c>
      <c r="P142" s="392">
        <f t="shared" si="146"/>
        <v>0</v>
      </c>
      <c r="Q142" s="393">
        <f t="shared" si="147"/>
        <v>30240</v>
      </c>
      <c r="R142" s="400">
        <f t="shared" si="148"/>
        <v>30240</v>
      </c>
      <c r="S142" s="38"/>
    </row>
    <row r="143" spans="1:19" ht="16.5" thickBot="1">
      <c r="A143" s="44">
        <v>14</v>
      </c>
      <c r="B143" s="6" t="s">
        <v>47</v>
      </c>
      <c r="C143" s="50"/>
      <c r="D143" s="129"/>
      <c r="E143" s="174">
        <f>E144+E147+E150+E153+E156+E159+E162+E165+E168</f>
        <v>603500</v>
      </c>
      <c r="F143" s="174">
        <f>F144+F147+F150+F153+F156+F159+F162+F165+F168</f>
        <v>1146900</v>
      </c>
      <c r="G143" s="174">
        <f>G144+G147+G150+G153+G156+G159+G162+G165+G168</f>
        <v>0</v>
      </c>
      <c r="H143" s="151">
        <f>H144+H147+H150+H153+H156+H159+H162+H165+H168</f>
        <v>1750400</v>
      </c>
      <c r="I143" s="197"/>
      <c r="J143" s="178">
        <f>J144+J147+J150+J153+J156+J159+J162+J165+J168</f>
        <v>74783</v>
      </c>
      <c r="K143" s="733">
        <f t="shared" ref="K143:M143" si="152">K144+K147+K150+K153+K156+K159+K162+K165+K168</f>
        <v>52914</v>
      </c>
      <c r="L143" s="733">
        <f t="shared" si="152"/>
        <v>1306268</v>
      </c>
      <c r="M143" s="733">
        <f t="shared" si="152"/>
        <v>1433965</v>
      </c>
      <c r="N143" s="190"/>
      <c r="O143" s="129"/>
      <c r="P143" s="129"/>
      <c r="Q143" s="174"/>
      <c r="R143" s="130"/>
      <c r="S143" s="50"/>
    </row>
    <row r="144" spans="1:19" ht="72.75" customHeight="1">
      <c r="A144" s="1193" t="s">
        <v>48</v>
      </c>
      <c r="B144" s="1308" t="s">
        <v>49</v>
      </c>
      <c r="C144" s="273">
        <v>2024</v>
      </c>
      <c r="D144" s="283">
        <v>15</v>
      </c>
      <c r="E144" s="284"/>
      <c r="F144" s="274"/>
      <c r="G144" s="736"/>
      <c r="H144" s="285">
        <f>SUM(E144:G144)</f>
        <v>0</v>
      </c>
      <c r="I144" s="1350"/>
      <c r="J144" s="284">
        <v>10000</v>
      </c>
      <c r="K144" s="274"/>
      <c r="L144" s="736"/>
      <c r="M144" s="285">
        <f>SUM(J144:L144)</f>
        <v>10000</v>
      </c>
      <c r="N144" s="1278" t="s">
        <v>286</v>
      </c>
      <c r="O144" s="103">
        <f>E144+J144</f>
        <v>10000</v>
      </c>
      <c r="P144" s="100">
        <f>F144+K144</f>
        <v>0</v>
      </c>
      <c r="Q144" s="742">
        <f>G144+L144</f>
        <v>0</v>
      </c>
      <c r="R144" s="743">
        <f>H144+M144</f>
        <v>10000</v>
      </c>
      <c r="S144" s="51"/>
    </row>
    <row r="145" spans="1:22" ht="70.5" customHeight="1">
      <c r="A145" s="1194"/>
      <c r="B145" s="1309"/>
      <c r="C145" s="273">
        <v>2025</v>
      </c>
      <c r="D145" s="287"/>
      <c r="E145" s="288"/>
      <c r="F145" s="277"/>
      <c r="G145" s="179"/>
      <c r="H145" s="289">
        <f t="shared" ref="H145:H170" si="153">SUM(E145:G145)</f>
        <v>0</v>
      </c>
      <c r="I145" s="1351"/>
      <c r="J145" s="290">
        <v>10000</v>
      </c>
      <c r="K145" s="52"/>
      <c r="L145" s="277"/>
      <c r="M145" s="289">
        <f t="shared" ref="M145:M170" si="154">SUM(J145:L145)</f>
        <v>10000</v>
      </c>
      <c r="N145" s="1279"/>
      <c r="O145" s="105">
        <f t="shared" ref="O145:O146" si="155">E145+J145</f>
        <v>10000</v>
      </c>
      <c r="P145" s="100">
        <f>F145+K145</f>
        <v>0</v>
      </c>
      <c r="Q145" s="744">
        <f t="shared" ref="Q145:Q146" si="156">G145+L145</f>
        <v>0</v>
      </c>
      <c r="R145" s="745">
        <f>H145+M145</f>
        <v>10000</v>
      </c>
      <c r="S145" s="52"/>
    </row>
    <row r="146" spans="1:22" ht="74.25" customHeight="1" thickBot="1">
      <c r="A146" s="1195"/>
      <c r="B146" s="1310"/>
      <c r="C146" s="16">
        <v>2026</v>
      </c>
      <c r="D146" s="291"/>
      <c r="E146" s="292"/>
      <c r="F146" s="277"/>
      <c r="G146" s="365"/>
      <c r="H146" s="293">
        <f t="shared" si="153"/>
        <v>0</v>
      </c>
      <c r="I146" s="1352"/>
      <c r="J146" s="294">
        <v>10000</v>
      </c>
      <c r="K146" s="52"/>
      <c r="L146" s="277"/>
      <c r="M146" s="293">
        <f t="shared" si="154"/>
        <v>10000</v>
      </c>
      <c r="N146" s="1280"/>
      <c r="O146" s="109">
        <f t="shared" si="155"/>
        <v>10000</v>
      </c>
      <c r="P146" s="106">
        <f>F146+K146</f>
        <v>0</v>
      </c>
      <c r="Q146" s="746">
        <f t="shared" si="156"/>
        <v>0</v>
      </c>
      <c r="R146" s="747">
        <f>H146+M146</f>
        <v>10000</v>
      </c>
      <c r="S146" s="735"/>
    </row>
    <row r="147" spans="1:22" ht="26.25" customHeight="1">
      <c r="A147" s="1193" t="s">
        <v>50</v>
      </c>
      <c r="B147" s="1308" t="s">
        <v>51</v>
      </c>
      <c r="C147" s="273">
        <v>2024</v>
      </c>
      <c r="D147" s="283"/>
      <c r="E147" s="283"/>
      <c r="F147" s="283"/>
      <c r="G147" s="132"/>
      <c r="H147" s="283">
        <f t="shared" si="153"/>
        <v>0</v>
      </c>
      <c r="I147" s="1242"/>
      <c r="J147" s="284"/>
      <c r="K147" s="286"/>
      <c r="L147" s="284"/>
      <c r="M147" s="285">
        <f t="shared" si="154"/>
        <v>0</v>
      </c>
      <c r="N147" s="1165"/>
      <c r="O147" s="131">
        <v>0</v>
      </c>
      <c r="P147" s="132">
        <v>0</v>
      </c>
      <c r="Q147" s="131">
        <f>L147</f>
        <v>0</v>
      </c>
      <c r="R147" s="363">
        <f>H147+M147</f>
        <v>0</v>
      </c>
      <c r="S147" s="1190"/>
    </row>
    <row r="148" spans="1:22" ht="24.75" customHeight="1">
      <c r="A148" s="1194"/>
      <c r="B148" s="1309"/>
      <c r="C148" s="273">
        <v>2025</v>
      </c>
      <c r="D148" s="287"/>
      <c r="E148" s="287"/>
      <c r="F148" s="287"/>
      <c r="G148" s="134"/>
      <c r="H148" s="287">
        <f t="shared" si="153"/>
        <v>0</v>
      </c>
      <c r="I148" s="1243"/>
      <c r="J148" s="288"/>
      <c r="K148" s="290"/>
      <c r="L148" s="288"/>
      <c r="M148" s="289">
        <f t="shared" si="154"/>
        <v>0</v>
      </c>
      <c r="N148" s="1166"/>
      <c r="O148" s="133">
        <v>0</v>
      </c>
      <c r="P148" s="134">
        <v>0</v>
      </c>
      <c r="Q148" s="133">
        <f t="shared" ref="Q148:Q149" si="157">L148</f>
        <v>0</v>
      </c>
      <c r="R148" s="366">
        <f>H148+M148</f>
        <v>0</v>
      </c>
      <c r="S148" s="1191"/>
    </row>
    <row r="149" spans="1:22" ht="33" customHeight="1" thickBot="1">
      <c r="A149" s="1195"/>
      <c r="B149" s="1310"/>
      <c r="C149" s="16">
        <v>2026</v>
      </c>
      <c r="D149" s="291"/>
      <c r="E149" s="291"/>
      <c r="F149" s="291"/>
      <c r="G149" s="280"/>
      <c r="H149" s="291">
        <f t="shared" si="153"/>
        <v>0</v>
      </c>
      <c r="I149" s="1244"/>
      <c r="J149" s="292"/>
      <c r="K149" s="290"/>
      <c r="L149" s="292"/>
      <c r="M149" s="293">
        <f t="shared" si="154"/>
        <v>0</v>
      </c>
      <c r="N149" s="1167"/>
      <c r="O149" s="364">
        <v>0</v>
      </c>
      <c r="P149" s="364">
        <v>0</v>
      </c>
      <c r="Q149" s="364">
        <f t="shared" si="157"/>
        <v>0</v>
      </c>
      <c r="R149" s="367">
        <v>0</v>
      </c>
      <c r="S149" s="1192"/>
    </row>
    <row r="150" spans="1:22" ht="24.75" customHeight="1">
      <c r="A150" s="1193" t="s">
        <v>52</v>
      </c>
      <c r="B150" s="1308" t="s">
        <v>53</v>
      </c>
      <c r="C150" s="273">
        <v>2024</v>
      </c>
      <c r="D150" s="283">
        <v>29</v>
      </c>
      <c r="E150" s="284"/>
      <c r="F150" s="286"/>
      <c r="G150" s="131"/>
      <c r="H150" s="285">
        <f t="shared" si="153"/>
        <v>0</v>
      </c>
      <c r="I150" s="1242"/>
      <c r="J150" s="284">
        <v>30828</v>
      </c>
      <c r="K150" s="286"/>
      <c r="L150" s="131">
        <v>80000</v>
      </c>
      <c r="M150" s="284">
        <f t="shared" si="154"/>
        <v>110828</v>
      </c>
      <c r="N150" s="1245" t="s">
        <v>287</v>
      </c>
      <c r="O150" s="103">
        <f>J150+E150</f>
        <v>30828</v>
      </c>
      <c r="P150" s="100">
        <v>0</v>
      </c>
      <c r="Q150" s="742">
        <f>L150</f>
        <v>80000</v>
      </c>
      <c r="R150" s="743">
        <f>H150+M150</f>
        <v>110828</v>
      </c>
      <c r="S150" s="1190"/>
    </row>
    <row r="151" spans="1:22" ht="22.5" customHeight="1">
      <c r="A151" s="1194"/>
      <c r="B151" s="1309"/>
      <c r="C151" s="273">
        <v>2025</v>
      </c>
      <c r="D151" s="287"/>
      <c r="E151" s="288"/>
      <c r="F151" s="290"/>
      <c r="G151" s="133"/>
      <c r="H151" s="289">
        <f t="shared" si="153"/>
        <v>0</v>
      </c>
      <c r="I151" s="1243"/>
      <c r="J151" s="290">
        <v>30828</v>
      </c>
      <c r="K151" s="288"/>
      <c r="L151" s="290"/>
      <c r="M151" s="288">
        <f t="shared" si="154"/>
        <v>30828</v>
      </c>
      <c r="N151" s="1246"/>
      <c r="O151" s="103">
        <f t="shared" ref="O151:O152" si="158">J151+E151</f>
        <v>30828</v>
      </c>
      <c r="P151" s="100">
        <v>0</v>
      </c>
      <c r="Q151" s="744">
        <v>0</v>
      </c>
      <c r="R151" s="745">
        <f t="shared" ref="R151:R152" si="159">H151+M151</f>
        <v>30828</v>
      </c>
      <c r="S151" s="1191"/>
    </row>
    <row r="152" spans="1:22" ht="27.75" customHeight="1" thickBot="1">
      <c r="A152" s="1195"/>
      <c r="B152" s="1310"/>
      <c r="C152" s="16">
        <v>2026</v>
      </c>
      <c r="D152" s="291"/>
      <c r="E152" s="292"/>
      <c r="F152" s="290"/>
      <c r="G152" s="364"/>
      <c r="H152" s="293">
        <f t="shared" si="153"/>
        <v>0</v>
      </c>
      <c r="I152" s="1244"/>
      <c r="J152" s="294">
        <v>30828</v>
      </c>
      <c r="K152" s="292"/>
      <c r="L152" s="290"/>
      <c r="M152" s="292">
        <f t="shared" si="154"/>
        <v>30828</v>
      </c>
      <c r="N152" s="1247"/>
      <c r="O152" s="109">
        <f t="shared" si="158"/>
        <v>30828</v>
      </c>
      <c r="P152" s="106">
        <v>0</v>
      </c>
      <c r="Q152" s="746">
        <v>0</v>
      </c>
      <c r="R152" s="747">
        <f t="shared" si="159"/>
        <v>30828</v>
      </c>
      <c r="S152" s="1192"/>
      <c r="V152" s="333"/>
    </row>
    <row r="153" spans="1:22" ht="60" customHeight="1">
      <c r="A153" s="1193" t="s">
        <v>54</v>
      </c>
      <c r="B153" s="1308" t="s">
        <v>55</v>
      </c>
      <c r="C153" s="273">
        <v>2024</v>
      </c>
      <c r="D153" s="283"/>
      <c r="E153" s="284">
        <v>535500</v>
      </c>
      <c r="F153" s="284">
        <v>1146900</v>
      </c>
      <c r="G153" s="131"/>
      <c r="H153" s="285">
        <f t="shared" si="153"/>
        <v>1682400</v>
      </c>
      <c r="I153" s="1239" t="s">
        <v>284</v>
      </c>
      <c r="J153" s="284"/>
      <c r="K153" s="286"/>
      <c r="L153" s="131">
        <v>923600</v>
      </c>
      <c r="M153" s="284">
        <f t="shared" si="154"/>
        <v>923600</v>
      </c>
      <c r="N153" s="1245" t="s">
        <v>288</v>
      </c>
      <c r="O153" s="103">
        <f>E153+J153</f>
        <v>535500</v>
      </c>
      <c r="P153" s="100">
        <f>F153+K153</f>
        <v>1146900</v>
      </c>
      <c r="Q153" s="742">
        <f t="shared" ref="Q153:Q155" si="160">G153+L153</f>
        <v>923600</v>
      </c>
      <c r="R153" s="743">
        <f>H153+M153</f>
        <v>2606000</v>
      </c>
      <c r="S153" s="1190"/>
      <c r="V153" s="333"/>
    </row>
    <row r="154" spans="1:22" ht="52.5" customHeight="1">
      <c r="A154" s="1194"/>
      <c r="B154" s="1309"/>
      <c r="C154" s="273">
        <v>2025</v>
      </c>
      <c r="D154" s="287"/>
      <c r="E154" s="288">
        <v>535500</v>
      </c>
      <c r="F154" s="290"/>
      <c r="G154" s="133"/>
      <c r="H154" s="289">
        <f t="shared" si="153"/>
        <v>535500</v>
      </c>
      <c r="I154" s="1240"/>
      <c r="J154" s="287"/>
      <c r="K154" s="288"/>
      <c r="L154" s="290"/>
      <c r="M154" s="288">
        <f t="shared" si="154"/>
        <v>0</v>
      </c>
      <c r="N154" s="1246"/>
      <c r="O154" s="105">
        <f t="shared" ref="O154:P155" si="161">E154+J154</f>
        <v>535500</v>
      </c>
      <c r="P154" s="100">
        <f t="shared" si="161"/>
        <v>0</v>
      </c>
      <c r="Q154" s="744">
        <f t="shared" si="160"/>
        <v>0</v>
      </c>
      <c r="R154" s="745">
        <f>H154+M154</f>
        <v>535500</v>
      </c>
      <c r="S154" s="1191"/>
      <c r="V154" s="333"/>
    </row>
    <row r="155" spans="1:22" ht="186" customHeight="1" thickBot="1">
      <c r="A155" s="1195"/>
      <c r="B155" s="1310"/>
      <c r="C155" s="16">
        <v>2026</v>
      </c>
      <c r="D155" s="291"/>
      <c r="E155" s="292">
        <v>535500</v>
      </c>
      <c r="F155" s="290"/>
      <c r="G155" s="364"/>
      <c r="H155" s="293">
        <f t="shared" si="153"/>
        <v>535500</v>
      </c>
      <c r="I155" s="1241"/>
      <c r="J155" s="291"/>
      <c r="K155" s="292"/>
      <c r="L155" s="290"/>
      <c r="M155" s="292">
        <f t="shared" si="154"/>
        <v>0</v>
      </c>
      <c r="N155" s="1247"/>
      <c r="O155" s="109">
        <f t="shared" si="161"/>
        <v>535500</v>
      </c>
      <c r="P155" s="106">
        <f t="shared" si="161"/>
        <v>0</v>
      </c>
      <c r="Q155" s="746">
        <f t="shared" si="160"/>
        <v>0</v>
      </c>
      <c r="R155" s="747">
        <f>H155+M155</f>
        <v>535500</v>
      </c>
      <c r="S155" s="1192"/>
      <c r="V155" s="333"/>
    </row>
    <row r="156" spans="1:22" ht="40.5" customHeight="1">
      <c r="A156" s="1193" t="s">
        <v>56</v>
      </c>
      <c r="B156" s="1308" t="s">
        <v>57</v>
      </c>
      <c r="C156" s="273">
        <v>2024</v>
      </c>
      <c r="D156" s="283">
        <v>20</v>
      </c>
      <c r="E156" s="284">
        <v>68000</v>
      </c>
      <c r="F156" s="286"/>
      <c r="G156" s="131"/>
      <c r="H156" s="285">
        <f t="shared" si="153"/>
        <v>68000</v>
      </c>
      <c r="I156" s="1239" t="s">
        <v>285</v>
      </c>
      <c r="J156" s="284">
        <v>33955</v>
      </c>
      <c r="K156" s="286"/>
      <c r="L156" s="131">
        <v>59875</v>
      </c>
      <c r="M156" s="284">
        <f t="shared" si="154"/>
        <v>93830</v>
      </c>
      <c r="N156" s="1245" t="s">
        <v>289</v>
      </c>
      <c r="O156" s="103">
        <f>E156+J156</f>
        <v>101955</v>
      </c>
      <c r="P156" s="100">
        <f>F156+K156</f>
        <v>0</v>
      </c>
      <c r="Q156" s="742">
        <f>G156+L156</f>
        <v>59875</v>
      </c>
      <c r="R156" s="743">
        <f>SUM(O156:Q156)</f>
        <v>161830</v>
      </c>
      <c r="S156" s="1190"/>
    </row>
    <row r="157" spans="1:22" ht="43.5" customHeight="1">
      <c r="A157" s="1194"/>
      <c r="B157" s="1309"/>
      <c r="C157" s="273">
        <v>2025</v>
      </c>
      <c r="D157" s="287"/>
      <c r="E157" s="288"/>
      <c r="F157" s="290"/>
      <c r="G157" s="133"/>
      <c r="H157" s="289">
        <f t="shared" si="153"/>
        <v>0</v>
      </c>
      <c r="I157" s="1240"/>
      <c r="J157" s="287"/>
      <c r="K157" s="288"/>
      <c r="L157" s="290"/>
      <c r="M157" s="288">
        <f t="shared" si="154"/>
        <v>0</v>
      </c>
      <c r="N157" s="1246"/>
      <c r="O157" s="105">
        <f t="shared" ref="O157:R170" si="162">D157+J157</f>
        <v>0</v>
      </c>
      <c r="P157" s="100">
        <f t="shared" si="162"/>
        <v>0</v>
      </c>
      <c r="Q157" s="744">
        <f t="shared" si="162"/>
        <v>0</v>
      </c>
      <c r="R157" s="745">
        <f t="shared" ref="R157:R158" si="163">SUM(O157:Q157)</f>
        <v>0</v>
      </c>
      <c r="S157" s="1191"/>
    </row>
    <row r="158" spans="1:22" ht="42.75" customHeight="1" thickBot="1">
      <c r="A158" s="1195"/>
      <c r="B158" s="1310"/>
      <c r="C158" s="16">
        <v>2026</v>
      </c>
      <c r="D158" s="291"/>
      <c r="E158" s="292"/>
      <c r="F158" s="290"/>
      <c r="G158" s="364"/>
      <c r="H158" s="293">
        <f t="shared" si="153"/>
        <v>0</v>
      </c>
      <c r="I158" s="1241"/>
      <c r="J158" s="291"/>
      <c r="K158" s="292"/>
      <c r="L158" s="290"/>
      <c r="M158" s="292">
        <f t="shared" si="154"/>
        <v>0</v>
      </c>
      <c r="N158" s="1247"/>
      <c r="O158" s="109">
        <f t="shared" si="162"/>
        <v>0</v>
      </c>
      <c r="P158" s="106">
        <f t="shared" si="162"/>
        <v>0</v>
      </c>
      <c r="Q158" s="746">
        <f t="shared" si="162"/>
        <v>0</v>
      </c>
      <c r="R158" s="747">
        <f t="shared" si="163"/>
        <v>0</v>
      </c>
      <c r="S158" s="1192"/>
    </row>
    <row r="159" spans="1:22" ht="15.75">
      <c r="A159" s="1193" t="s">
        <v>58</v>
      </c>
      <c r="B159" s="1308" t="s">
        <v>59</v>
      </c>
      <c r="C159" s="273">
        <v>2024</v>
      </c>
      <c r="D159" s="283"/>
      <c r="E159" s="283"/>
      <c r="F159" s="283"/>
      <c r="G159" s="132"/>
      <c r="H159" s="283">
        <f t="shared" si="153"/>
        <v>0</v>
      </c>
      <c r="I159" s="1242"/>
      <c r="J159" s="284"/>
      <c r="K159" s="286"/>
      <c r="L159" s="284"/>
      <c r="M159" s="285">
        <f t="shared" si="154"/>
        <v>0</v>
      </c>
      <c r="N159" s="1165"/>
      <c r="O159" s="131">
        <f>D159+J159</f>
        <v>0</v>
      </c>
      <c r="P159" s="132">
        <f t="shared" si="162"/>
        <v>0</v>
      </c>
      <c r="Q159" s="131">
        <f t="shared" si="162"/>
        <v>0</v>
      </c>
      <c r="R159" s="363">
        <f t="shared" si="162"/>
        <v>0</v>
      </c>
      <c r="S159" s="1190"/>
    </row>
    <row r="160" spans="1:22" ht="15.75">
      <c r="A160" s="1194"/>
      <c r="B160" s="1309"/>
      <c r="C160" s="273">
        <v>2025</v>
      </c>
      <c r="D160" s="287"/>
      <c r="E160" s="287"/>
      <c r="F160" s="287"/>
      <c r="G160" s="134"/>
      <c r="H160" s="287">
        <f t="shared" si="153"/>
        <v>0</v>
      </c>
      <c r="I160" s="1243"/>
      <c r="J160" s="288"/>
      <c r="K160" s="290"/>
      <c r="L160" s="288"/>
      <c r="M160" s="289">
        <f t="shared" si="154"/>
        <v>0</v>
      </c>
      <c r="N160" s="1166"/>
      <c r="O160" s="133">
        <f t="shared" si="162"/>
        <v>0</v>
      </c>
      <c r="P160" s="134">
        <f t="shared" si="162"/>
        <v>0</v>
      </c>
      <c r="Q160" s="133">
        <f t="shared" si="162"/>
        <v>0</v>
      </c>
      <c r="R160" s="366">
        <f t="shared" si="162"/>
        <v>0</v>
      </c>
      <c r="S160" s="1191"/>
    </row>
    <row r="161" spans="1:19" ht="16.5" thickBot="1">
      <c r="A161" s="1195"/>
      <c r="B161" s="1310"/>
      <c r="C161" s="16">
        <v>2026</v>
      </c>
      <c r="D161" s="291"/>
      <c r="E161" s="291"/>
      <c r="F161" s="291"/>
      <c r="G161" s="280"/>
      <c r="H161" s="291">
        <f t="shared" si="153"/>
        <v>0</v>
      </c>
      <c r="I161" s="1244"/>
      <c r="J161" s="292"/>
      <c r="K161" s="290"/>
      <c r="L161" s="292"/>
      <c r="M161" s="293">
        <f t="shared" si="154"/>
        <v>0</v>
      </c>
      <c r="N161" s="1167"/>
      <c r="O161" s="364">
        <f t="shared" si="162"/>
        <v>0</v>
      </c>
      <c r="P161" s="364">
        <f t="shared" si="162"/>
        <v>0</v>
      </c>
      <c r="Q161" s="364">
        <f t="shared" si="162"/>
        <v>0</v>
      </c>
      <c r="R161" s="367">
        <f t="shared" si="162"/>
        <v>0</v>
      </c>
      <c r="S161" s="1192"/>
    </row>
    <row r="162" spans="1:19" ht="19.5" customHeight="1">
      <c r="A162" s="1193" t="s">
        <v>60</v>
      </c>
      <c r="B162" s="1236" t="s">
        <v>61</v>
      </c>
      <c r="C162" s="273">
        <v>2024</v>
      </c>
      <c r="D162" s="283"/>
      <c r="E162" s="597"/>
      <c r="F162" s="600"/>
      <c r="G162" s="736"/>
      <c r="H162" s="284">
        <f t="shared" si="153"/>
        <v>0</v>
      </c>
      <c r="I162" s="1239"/>
      <c r="J162" s="284"/>
      <c r="K162" s="286"/>
      <c r="L162" s="284"/>
      <c r="M162" s="285">
        <f t="shared" si="154"/>
        <v>0</v>
      </c>
      <c r="N162" s="1171"/>
      <c r="O162" s="103">
        <f t="shared" si="162"/>
        <v>0</v>
      </c>
      <c r="P162" s="100">
        <f t="shared" si="162"/>
        <v>0</v>
      </c>
      <c r="Q162" s="742">
        <f t="shared" si="162"/>
        <v>0</v>
      </c>
      <c r="R162" s="743">
        <f t="shared" si="162"/>
        <v>0</v>
      </c>
      <c r="S162" s="1190"/>
    </row>
    <row r="163" spans="1:19" ht="19.5" customHeight="1">
      <c r="A163" s="1194"/>
      <c r="B163" s="1237"/>
      <c r="C163" s="273">
        <v>2025</v>
      </c>
      <c r="D163" s="287"/>
      <c r="E163" s="598"/>
      <c r="F163" s="601"/>
      <c r="G163" s="179"/>
      <c r="H163" s="288">
        <f t="shared" si="153"/>
        <v>0</v>
      </c>
      <c r="I163" s="1240"/>
      <c r="J163" s="288"/>
      <c r="K163" s="290"/>
      <c r="L163" s="288"/>
      <c r="M163" s="289">
        <f t="shared" si="154"/>
        <v>0</v>
      </c>
      <c r="N163" s="1172"/>
      <c r="O163" s="103">
        <f t="shared" si="162"/>
        <v>0</v>
      </c>
      <c r="P163" s="100">
        <f t="shared" si="162"/>
        <v>0</v>
      </c>
      <c r="Q163" s="744">
        <f t="shared" si="162"/>
        <v>0</v>
      </c>
      <c r="R163" s="745">
        <f t="shared" si="162"/>
        <v>0</v>
      </c>
      <c r="S163" s="1191"/>
    </row>
    <row r="164" spans="1:19" ht="22.5" customHeight="1" thickBot="1">
      <c r="A164" s="1195"/>
      <c r="B164" s="1238"/>
      <c r="C164" s="16">
        <v>2026</v>
      </c>
      <c r="D164" s="291"/>
      <c r="E164" s="599"/>
      <c r="F164" s="602"/>
      <c r="G164" s="365"/>
      <c r="H164" s="292">
        <f t="shared" si="153"/>
        <v>0</v>
      </c>
      <c r="I164" s="1241"/>
      <c r="J164" s="292"/>
      <c r="K164" s="290"/>
      <c r="L164" s="292"/>
      <c r="M164" s="293">
        <f t="shared" si="154"/>
        <v>0</v>
      </c>
      <c r="N164" s="1173"/>
      <c r="O164" s="109">
        <f t="shared" si="162"/>
        <v>0</v>
      </c>
      <c r="P164" s="106">
        <f t="shared" si="162"/>
        <v>0</v>
      </c>
      <c r="Q164" s="746">
        <f t="shared" si="162"/>
        <v>0</v>
      </c>
      <c r="R164" s="747">
        <f t="shared" si="162"/>
        <v>0</v>
      </c>
      <c r="S164" s="1192"/>
    </row>
    <row r="165" spans="1:19" ht="21" customHeight="1">
      <c r="A165" s="1193" t="s">
        <v>62</v>
      </c>
      <c r="B165" s="1308" t="s">
        <v>63</v>
      </c>
      <c r="C165" s="273">
        <v>2024</v>
      </c>
      <c r="D165" s="283"/>
      <c r="E165" s="284"/>
      <c r="F165" s="286"/>
      <c r="G165" s="131"/>
      <c r="H165" s="285">
        <f t="shared" si="153"/>
        <v>0</v>
      </c>
      <c r="I165" s="1242"/>
      <c r="J165" s="51"/>
      <c r="K165" s="131">
        <v>52914</v>
      </c>
      <c r="L165" s="132">
        <v>242793</v>
      </c>
      <c r="M165" s="284">
        <f>SUM(J165:L165)</f>
        <v>295707</v>
      </c>
      <c r="N165" s="1400" t="s">
        <v>290</v>
      </c>
      <c r="O165" s="103">
        <f t="shared" si="162"/>
        <v>0</v>
      </c>
      <c r="P165" s="100">
        <f t="shared" si="162"/>
        <v>52914</v>
      </c>
      <c r="Q165" s="742">
        <f t="shared" si="162"/>
        <v>242793</v>
      </c>
      <c r="R165" s="743">
        <f t="shared" si="162"/>
        <v>295707</v>
      </c>
      <c r="S165" s="1190"/>
    </row>
    <row r="166" spans="1:19" ht="21" customHeight="1">
      <c r="A166" s="1194"/>
      <c r="B166" s="1309"/>
      <c r="C166" s="273">
        <v>2025</v>
      </c>
      <c r="D166" s="287"/>
      <c r="E166" s="288"/>
      <c r="F166" s="290"/>
      <c r="G166" s="133"/>
      <c r="H166" s="289">
        <f t="shared" si="153"/>
        <v>0</v>
      </c>
      <c r="I166" s="1243"/>
      <c r="J166" s="52"/>
      <c r="K166" s="52"/>
      <c r="L166" s="748"/>
      <c r="M166" s="748">
        <f t="shared" si="154"/>
        <v>0</v>
      </c>
      <c r="N166" s="1345"/>
      <c r="O166" s="105">
        <f t="shared" si="162"/>
        <v>0</v>
      </c>
      <c r="P166" s="100">
        <f t="shared" si="162"/>
        <v>0</v>
      </c>
      <c r="Q166" s="744">
        <f t="shared" si="162"/>
        <v>0</v>
      </c>
      <c r="R166" s="745">
        <f t="shared" si="162"/>
        <v>0</v>
      </c>
      <c r="S166" s="1191"/>
    </row>
    <row r="167" spans="1:19" ht="23.25" customHeight="1" thickBot="1">
      <c r="A167" s="1195"/>
      <c r="B167" s="1310"/>
      <c r="C167" s="16">
        <v>2026</v>
      </c>
      <c r="D167" s="295"/>
      <c r="E167" s="292"/>
      <c r="F167" s="290"/>
      <c r="G167" s="364"/>
      <c r="H167" s="293">
        <f t="shared" si="153"/>
        <v>0</v>
      </c>
      <c r="I167" s="1244"/>
      <c r="J167" s="735"/>
      <c r="K167" s="735"/>
      <c r="L167" s="295"/>
      <c r="M167" s="295">
        <f t="shared" si="154"/>
        <v>0</v>
      </c>
      <c r="N167" s="1346"/>
      <c r="O167" s="109">
        <f t="shared" si="162"/>
        <v>0</v>
      </c>
      <c r="P167" s="106">
        <f t="shared" si="162"/>
        <v>0</v>
      </c>
      <c r="Q167" s="746">
        <f t="shared" si="162"/>
        <v>0</v>
      </c>
      <c r="R167" s="747">
        <f t="shared" si="162"/>
        <v>0</v>
      </c>
      <c r="S167" s="1192"/>
    </row>
    <row r="168" spans="1:19" ht="34.5" customHeight="1">
      <c r="A168" s="1193" t="s">
        <v>136</v>
      </c>
      <c r="B168" s="1236" t="s">
        <v>231</v>
      </c>
      <c r="C168" s="273">
        <v>2024</v>
      </c>
      <c r="D168" s="283"/>
      <c r="E168" s="283"/>
      <c r="F168" s="283"/>
      <c r="G168" s="132"/>
      <c r="H168" s="283">
        <f t="shared" si="153"/>
        <v>0</v>
      </c>
      <c r="I168" s="1242"/>
      <c r="J168" s="283"/>
      <c r="K168" s="283"/>
      <c r="L168" s="132"/>
      <c r="M168" s="284">
        <f t="shared" si="154"/>
        <v>0</v>
      </c>
      <c r="N168" s="1245"/>
      <c r="O168" s="103">
        <f t="shared" si="162"/>
        <v>0</v>
      </c>
      <c r="P168" s="100">
        <f t="shared" si="162"/>
        <v>0</v>
      </c>
      <c r="Q168" s="742">
        <f t="shared" si="162"/>
        <v>0</v>
      </c>
      <c r="R168" s="743">
        <f t="shared" si="162"/>
        <v>0</v>
      </c>
      <c r="S168" s="1190"/>
    </row>
    <row r="169" spans="1:19" ht="36.75" customHeight="1">
      <c r="A169" s="1194"/>
      <c r="B169" s="1237"/>
      <c r="C169" s="273">
        <v>2025</v>
      </c>
      <c r="D169" s="287"/>
      <c r="E169" s="287"/>
      <c r="F169" s="287"/>
      <c r="G169" s="134"/>
      <c r="H169" s="287">
        <f t="shared" si="153"/>
        <v>0</v>
      </c>
      <c r="I169" s="1243"/>
      <c r="J169" s="277"/>
      <c r="K169" s="276"/>
      <c r="L169" s="276"/>
      <c r="M169" s="288">
        <f t="shared" si="154"/>
        <v>0</v>
      </c>
      <c r="N169" s="1246"/>
      <c r="O169" s="105">
        <f t="shared" si="162"/>
        <v>0</v>
      </c>
      <c r="P169" s="100">
        <f t="shared" si="162"/>
        <v>0</v>
      </c>
      <c r="Q169" s="744">
        <f t="shared" si="162"/>
        <v>0</v>
      </c>
      <c r="R169" s="745">
        <f t="shared" si="162"/>
        <v>0</v>
      </c>
      <c r="S169" s="1191"/>
    </row>
    <row r="170" spans="1:19" ht="34.5" customHeight="1" thickBot="1">
      <c r="A170" s="1195"/>
      <c r="B170" s="1238"/>
      <c r="C170" s="16">
        <v>2026</v>
      </c>
      <c r="D170" s="291"/>
      <c r="E170" s="291"/>
      <c r="F170" s="291"/>
      <c r="G170" s="280"/>
      <c r="H170" s="291">
        <f t="shared" si="153"/>
        <v>0</v>
      </c>
      <c r="I170" s="1244"/>
      <c r="J170" s="279"/>
      <c r="K170" s="278"/>
      <c r="L170" s="278"/>
      <c r="M170" s="296">
        <f t="shared" si="154"/>
        <v>0</v>
      </c>
      <c r="N170" s="1247"/>
      <c r="O170" s="109">
        <f t="shared" si="162"/>
        <v>0</v>
      </c>
      <c r="P170" s="106">
        <f t="shared" si="162"/>
        <v>0</v>
      </c>
      <c r="Q170" s="746">
        <f t="shared" si="162"/>
        <v>0</v>
      </c>
      <c r="R170" s="747">
        <f t="shared" si="162"/>
        <v>0</v>
      </c>
      <c r="S170" s="1192"/>
    </row>
    <row r="171" spans="1:19" ht="16.5" thickBot="1">
      <c r="A171" s="48">
        <v>15</v>
      </c>
      <c r="B171" s="17" t="s">
        <v>64</v>
      </c>
      <c r="C171" s="18"/>
      <c r="D171" s="169"/>
      <c r="E171" s="177">
        <f>E172+E175+E178</f>
        <v>0</v>
      </c>
      <c r="F171" s="177">
        <f t="shared" ref="F171:H171" si="164">F172+F175+F178</f>
        <v>0</v>
      </c>
      <c r="G171" s="177">
        <f t="shared" si="164"/>
        <v>0</v>
      </c>
      <c r="H171" s="177">
        <f t="shared" si="164"/>
        <v>0</v>
      </c>
      <c r="I171" s="198"/>
      <c r="J171" s="161">
        <f>J172+J175+J178</f>
        <v>0</v>
      </c>
      <c r="K171" s="161">
        <f t="shared" ref="K171:M171" si="165">K172+K175+K178</f>
        <v>3800</v>
      </c>
      <c r="L171" s="161">
        <f t="shared" si="165"/>
        <v>3000</v>
      </c>
      <c r="M171" s="161">
        <f t="shared" si="165"/>
        <v>6800</v>
      </c>
      <c r="N171" s="192"/>
      <c r="O171" s="162">
        <f>O172+O175+O178</f>
        <v>0</v>
      </c>
      <c r="P171" s="162">
        <f t="shared" ref="P171:R171" si="166">P172+P175+P178</f>
        <v>3800</v>
      </c>
      <c r="Q171" s="162">
        <f t="shared" si="166"/>
        <v>3000</v>
      </c>
      <c r="R171" s="162">
        <f t="shared" si="166"/>
        <v>6800</v>
      </c>
      <c r="S171" s="193"/>
    </row>
    <row r="172" spans="1:19" ht="93.75" customHeight="1">
      <c r="A172" s="19" t="s">
        <v>48</v>
      </c>
      <c r="B172" s="54" t="s">
        <v>65</v>
      </c>
      <c r="C172" s="212">
        <v>2024</v>
      </c>
      <c r="D172" s="30"/>
      <c r="E172" s="540">
        <v>0</v>
      </c>
      <c r="F172" s="540">
        <v>0</v>
      </c>
      <c r="G172" s="699">
        <v>0</v>
      </c>
      <c r="H172" s="585">
        <f>E172+F172</f>
        <v>0</v>
      </c>
      <c r="I172" s="1230"/>
      <c r="J172" s="891"/>
      <c r="K172" s="892" t="s">
        <v>393</v>
      </c>
      <c r="L172" s="348">
        <v>3000</v>
      </c>
      <c r="M172" s="348">
        <f>J172+K172+L172</f>
        <v>6800</v>
      </c>
      <c r="N172" s="1210" t="s">
        <v>394</v>
      </c>
      <c r="O172" s="705">
        <f>E172+J172</f>
        <v>0</v>
      </c>
      <c r="P172" s="100">
        <f t="shared" ref="P172:P180" si="167">F172+K172</f>
        <v>3800</v>
      </c>
      <c r="Q172" s="114">
        <f t="shared" ref="Q172:Q180" si="168">G172+L172</f>
        <v>3000</v>
      </c>
      <c r="R172" s="135">
        <f t="shared" ref="R172:R180" si="169">H172+M172</f>
        <v>6800</v>
      </c>
      <c r="S172" s="31"/>
    </row>
    <row r="173" spans="1:19" ht="53.25" customHeight="1">
      <c r="A173" s="55" t="s">
        <v>48</v>
      </c>
      <c r="B173" s="56"/>
      <c r="C173" s="213">
        <v>2025</v>
      </c>
      <c r="D173" s="30"/>
      <c r="E173" s="700">
        <v>0</v>
      </c>
      <c r="F173" s="701">
        <v>0</v>
      </c>
      <c r="G173" s="700">
        <v>0</v>
      </c>
      <c r="H173" s="702">
        <f>E173+F173+G173</f>
        <v>0</v>
      </c>
      <c r="I173" s="1231"/>
      <c r="J173" s="893"/>
      <c r="K173" s="892" t="s">
        <v>393</v>
      </c>
      <c r="L173" s="698">
        <v>2000</v>
      </c>
      <c r="M173" s="698">
        <f>J173+K173+L173</f>
        <v>5800</v>
      </c>
      <c r="N173" s="1211"/>
      <c r="O173" s="105">
        <f t="shared" ref="O173:O180" si="170">E173+J173</f>
        <v>0</v>
      </c>
      <c r="P173" s="100">
        <f t="shared" si="167"/>
        <v>3800</v>
      </c>
      <c r="Q173" s="136">
        <f t="shared" si="168"/>
        <v>2000</v>
      </c>
      <c r="R173" s="706">
        <f t="shared" si="169"/>
        <v>5800</v>
      </c>
      <c r="S173" s="34"/>
    </row>
    <row r="174" spans="1:19" ht="54" customHeight="1" thickBot="1">
      <c r="A174" s="20" t="s">
        <v>48</v>
      </c>
      <c r="B174" s="57"/>
      <c r="C174" s="214">
        <v>2026</v>
      </c>
      <c r="D174" s="37"/>
      <c r="E174" s="464">
        <v>0</v>
      </c>
      <c r="F174" s="703">
        <v>0</v>
      </c>
      <c r="G174" s="700">
        <v>0</v>
      </c>
      <c r="H174" s="704">
        <f>E174+F174+G174</f>
        <v>0</v>
      </c>
      <c r="I174" s="1232"/>
      <c r="J174" s="894"/>
      <c r="K174" s="895" t="s">
        <v>393</v>
      </c>
      <c r="L174" s="896">
        <v>1500</v>
      </c>
      <c r="M174" s="896">
        <f>J174+K174+L174</f>
        <v>5300</v>
      </c>
      <c r="N174" s="1212"/>
      <c r="O174" s="109">
        <f t="shared" si="170"/>
        <v>0</v>
      </c>
      <c r="P174" s="106">
        <f t="shared" si="167"/>
        <v>3800</v>
      </c>
      <c r="Q174" s="116">
        <f t="shared" si="168"/>
        <v>1500</v>
      </c>
      <c r="R174" s="707">
        <f t="shared" si="169"/>
        <v>5300</v>
      </c>
      <c r="S174" s="38"/>
    </row>
    <row r="175" spans="1:19" ht="15.75">
      <c r="A175" s="19" t="s">
        <v>50</v>
      </c>
      <c r="B175" s="58" t="s">
        <v>66</v>
      </c>
      <c r="C175" s="212">
        <v>2024</v>
      </c>
      <c r="D175" s="30"/>
      <c r="E175" s="343">
        <v>0</v>
      </c>
      <c r="F175" s="343">
        <v>0</v>
      </c>
      <c r="G175" s="348">
        <v>0</v>
      </c>
      <c r="H175" s="343">
        <f>E175+F175+G175</f>
        <v>0</v>
      </c>
      <c r="I175" s="1233"/>
      <c r="J175" s="58"/>
      <c r="K175" s="31"/>
      <c r="L175" s="30"/>
      <c r="M175" s="19"/>
      <c r="N175" s="58"/>
      <c r="O175" s="512">
        <f t="shared" si="170"/>
        <v>0</v>
      </c>
      <c r="P175" s="512">
        <f t="shared" si="167"/>
        <v>0</v>
      </c>
      <c r="Q175" s="512">
        <f t="shared" si="168"/>
        <v>0</v>
      </c>
      <c r="R175" s="514">
        <f t="shared" si="169"/>
        <v>0</v>
      </c>
      <c r="S175" s="31"/>
    </row>
    <row r="176" spans="1:19" ht="15.75">
      <c r="A176" s="55" t="s">
        <v>50</v>
      </c>
      <c r="B176" s="56"/>
      <c r="C176" s="213">
        <v>2025</v>
      </c>
      <c r="D176" s="30"/>
      <c r="E176" s="344">
        <v>0</v>
      </c>
      <c r="F176" s="344">
        <v>0</v>
      </c>
      <c r="G176" s="351">
        <v>0</v>
      </c>
      <c r="H176" s="344">
        <f t="shared" ref="H176:H180" si="171">E176+F176+G176</f>
        <v>0</v>
      </c>
      <c r="I176" s="1234"/>
      <c r="J176" s="56"/>
      <c r="K176" s="34"/>
      <c r="L176" s="30"/>
      <c r="M176" s="55"/>
      <c r="N176" s="56"/>
      <c r="O176" s="103">
        <f t="shared" si="170"/>
        <v>0</v>
      </c>
      <c r="P176" s="103">
        <f t="shared" si="167"/>
        <v>0</v>
      </c>
      <c r="Q176" s="103">
        <f t="shared" si="168"/>
        <v>0</v>
      </c>
      <c r="R176" s="515">
        <f t="shared" si="169"/>
        <v>0</v>
      </c>
      <c r="S176" s="34"/>
    </row>
    <row r="177" spans="1:24" ht="16.5" thickBot="1">
      <c r="A177" s="20" t="s">
        <v>50</v>
      </c>
      <c r="B177" s="57"/>
      <c r="C177" s="214">
        <v>2026</v>
      </c>
      <c r="D177" s="37"/>
      <c r="E177" s="346">
        <v>0</v>
      </c>
      <c r="F177" s="346">
        <v>0</v>
      </c>
      <c r="G177" s="353">
        <v>0</v>
      </c>
      <c r="H177" s="346">
        <f t="shared" si="171"/>
        <v>0</v>
      </c>
      <c r="I177" s="1235"/>
      <c r="J177" s="57"/>
      <c r="K177" s="38"/>
      <c r="L177" s="37"/>
      <c r="M177" s="20"/>
      <c r="N177" s="57"/>
      <c r="O177" s="513">
        <f t="shared" si="170"/>
        <v>0</v>
      </c>
      <c r="P177" s="513">
        <f t="shared" si="167"/>
        <v>0</v>
      </c>
      <c r="Q177" s="513">
        <f t="shared" si="168"/>
        <v>0</v>
      </c>
      <c r="R177" s="516">
        <f t="shared" si="169"/>
        <v>0</v>
      </c>
      <c r="S177" s="38"/>
    </row>
    <row r="178" spans="1:24" ht="15.75">
      <c r="A178" s="19" t="s">
        <v>52</v>
      </c>
      <c r="B178" s="54" t="s">
        <v>67</v>
      </c>
      <c r="C178" s="212">
        <v>2024</v>
      </c>
      <c r="D178" s="30"/>
      <c r="E178" s="343">
        <v>0</v>
      </c>
      <c r="F178" s="343">
        <v>0</v>
      </c>
      <c r="G178" s="348">
        <v>0</v>
      </c>
      <c r="H178" s="343">
        <f t="shared" si="171"/>
        <v>0</v>
      </c>
      <c r="I178" s="1233"/>
      <c r="J178" s="54"/>
      <c r="K178" s="31"/>
      <c r="L178" s="30"/>
      <c r="M178" s="19"/>
      <c r="N178" s="54"/>
      <c r="O178" s="512">
        <f t="shared" si="170"/>
        <v>0</v>
      </c>
      <c r="P178" s="512">
        <f t="shared" si="167"/>
        <v>0</v>
      </c>
      <c r="Q178" s="512">
        <f t="shared" si="168"/>
        <v>0</v>
      </c>
      <c r="R178" s="514">
        <f t="shared" si="169"/>
        <v>0</v>
      </c>
      <c r="S178" s="31"/>
    </row>
    <row r="179" spans="1:24" ht="15.75">
      <c r="A179" s="55" t="s">
        <v>52</v>
      </c>
      <c r="B179" s="59"/>
      <c r="C179" s="213">
        <v>2025</v>
      </c>
      <c r="D179" s="30"/>
      <c r="E179" s="344">
        <v>0</v>
      </c>
      <c r="F179" s="344">
        <v>0</v>
      </c>
      <c r="G179" s="351">
        <v>0</v>
      </c>
      <c r="H179" s="344">
        <f t="shared" si="171"/>
        <v>0</v>
      </c>
      <c r="I179" s="1234"/>
      <c r="J179" s="59"/>
      <c r="K179" s="34"/>
      <c r="L179" s="30"/>
      <c r="M179" s="55"/>
      <c r="N179" s="59"/>
      <c r="O179" s="103">
        <f t="shared" si="170"/>
        <v>0</v>
      </c>
      <c r="P179" s="103">
        <f t="shared" si="167"/>
        <v>0</v>
      </c>
      <c r="Q179" s="103">
        <f t="shared" si="168"/>
        <v>0</v>
      </c>
      <c r="R179" s="515">
        <f t="shared" si="169"/>
        <v>0</v>
      </c>
      <c r="S179" s="34"/>
    </row>
    <row r="180" spans="1:24" ht="16.5" thickBot="1">
      <c r="A180" s="20" t="s">
        <v>52</v>
      </c>
      <c r="B180" s="60"/>
      <c r="C180" s="214">
        <v>2026</v>
      </c>
      <c r="D180" s="37"/>
      <c r="E180" s="346">
        <v>0</v>
      </c>
      <c r="F180" s="346">
        <v>0</v>
      </c>
      <c r="G180" s="353">
        <v>0</v>
      </c>
      <c r="H180" s="346">
        <f t="shared" si="171"/>
        <v>0</v>
      </c>
      <c r="I180" s="1235"/>
      <c r="J180" s="60"/>
      <c r="K180" s="38"/>
      <c r="L180" s="37"/>
      <c r="M180" s="20"/>
      <c r="N180" s="60"/>
      <c r="O180" s="513">
        <f t="shared" si="170"/>
        <v>0</v>
      </c>
      <c r="P180" s="513">
        <f t="shared" si="167"/>
        <v>0</v>
      </c>
      <c r="Q180" s="513">
        <f t="shared" si="168"/>
        <v>0</v>
      </c>
      <c r="R180" s="516">
        <f t="shared" si="169"/>
        <v>0</v>
      </c>
      <c r="S180" s="38"/>
    </row>
    <row r="181" spans="1:24" s="211" customFormat="1" ht="16.5" thickBot="1">
      <c r="A181" s="44">
        <v>16</v>
      </c>
      <c r="B181" s="210" t="s">
        <v>68</v>
      </c>
      <c r="C181" s="77"/>
      <c r="D181" s="77">
        <f>D182+D185+D188+D191+D194</f>
        <v>91</v>
      </c>
      <c r="E181" s="77">
        <f>E182+E185+E188+E191+E194</f>
        <v>1512100</v>
      </c>
      <c r="F181" s="77">
        <f t="shared" ref="F181:Q181" si="172">F182+F185+F188+F191+F194</f>
        <v>2071500</v>
      </c>
      <c r="G181" s="77">
        <f t="shared" si="172"/>
        <v>1339800</v>
      </c>
      <c r="H181" s="77">
        <f t="shared" si="172"/>
        <v>4923400</v>
      </c>
      <c r="I181" s="77"/>
      <c r="J181" s="77">
        <f t="shared" si="172"/>
        <v>120400</v>
      </c>
      <c r="K181" s="77">
        <f t="shared" si="172"/>
        <v>1240000</v>
      </c>
      <c r="L181" s="77">
        <f t="shared" si="172"/>
        <v>3221200</v>
      </c>
      <c r="M181" s="77">
        <f t="shared" si="172"/>
        <v>4581600</v>
      </c>
      <c r="N181" s="77">
        <v>0</v>
      </c>
      <c r="O181" s="77">
        <f t="shared" si="172"/>
        <v>1632500</v>
      </c>
      <c r="P181" s="77">
        <f t="shared" si="172"/>
        <v>3311500</v>
      </c>
      <c r="Q181" s="77">
        <f t="shared" si="172"/>
        <v>4561000</v>
      </c>
      <c r="R181" s="77">
        <f>R182+R185+R188+R191+R194</f>
        <v>9505000</v>
      </c>
      <c r="S181" s="77"/>
    </row>
    <row r="182" spans="1:24" ht="34.5" customHeight="1">
      <c r="A182" s="646" t="s">
        <v>48</v>
      </c>
      <c r="B182" s="1165" t="s">
        <v>69</v>
      </c>
      <c r="C182" s="212">
        <v>2024</v>
      </c>
      <c r="D182" s="807">
        <f>6+17</f>
        <v>23</v>
      </c>
      <c r="E182" s="808">
        <v>5100</v>
      </c>
      <c r="F182" s="808">
        <v>776500</v>
      </c>
      <c r="G182" s="808">
        <v>69000</v>
      </c>
      <c r="H182" s="128">
        <f t="shared" ref="H182:H195" si="173">SUM(E182:G182)</f>
        <v>850600</v>
      </c>
      <c r="I182" s="1168" t="s">
        <v>323</v>
      </c>
      <c r="J182" s="100">
        <v>25400</v>
      </c>
      <c r="K182" s="742">
        <v>0</v>
      </c>
      <c r="L182" s="636">
        <v>45000</v>
      </c>
      <c r="M182" s="142">
        <f>J182+K182+L182</f>
        <v>70400</v>
      </c>
      <c r="N182" s="1385" t="s">
        <v>324</v>
      </c>
      <c r="O182" s="103">
        <f>E182+J182</f>
        <v>30500</v>
      </c>
      <c r="P182" s="100">
        <f>F182+K182</f>
        <v>776500</v>
      </c>
      <c r="Q182" s="114">
        <f>G182+L182</f>
        <v>114000</v>
      </c>
      <c r="R182" s="135">
        <f>H182+M182</f>
        <v>921000</v>
      </c>
      <c r="S182" s="1305"/>
    </row>
    <row r="183" spans="1:24" ht="33.75" customHeight="1">
      <c r="A183" s="647" t="s">
        <v>48</v>
      </c>
      <c r="B183" s="1166"/>
      <c r="C183" s="213">
        <v>2025</v>
      </c>
      <c r="D183" s="100"/>
      <c r="E183" s="808"/>
      <c r="F183" s="809"/>
      <c r="G183" s="105"/>
      <c r="H183" s="128">
        <f t="shared" si="173"/>
        <v>0</v>
      </c>
      <c r="I183" s="1169"/>
      <c r="J183" s="100"/>
      <c r="K183" s="744"/>
      <c r="L183" s="809"/>
      <c r="M183" s="143">
        <f t="shared" ref="M183:M184" si="174">J183+K183+L183</f>
        <v>0</v>
      </c>
      <c r="N183" s="1386"/>
      <c r="O183" s="105">
        <f t="shared" ref="O183:O184" si="175">E183+J183</f>
        <v>0</v>
      </c>
      <c r="P183" s="100">
        <f t="shared" ref="P183:P196" si="176">F183+K183</f>
        <v>0</v>
      </c>
      <c r="Q183" s="136">
        <f>G183+L183</f>
        <v>0</v>
      </c>
      <c r="R183" s="152">
        <f t="shared" ref="R183:R196" si="177">H183+M183</f>
        <v>0</v>
      </c>
      <c r="S183" s="1306"/>
    </row>
    <row r="184" spans="1:24" ht="37.5" customHeight="1" thickBot="1">
      <c r="A184" s="648" t="s">
        <v>48</v>
      </c>
      <c r="B184" s="1167"/>
      <c r="C184" s="16">
        <v>2026</v>
      </c>
      <c r="D184" s="106"/>
      <c r="E184" s="810"/>
      <c r="F184" s="811"/>
      <c r="G184" s="642"/>
      <c r="H184" s="140">
        <f t="shared" si="173"/>
        <v>0</v>
      </c>
      <c r="I184" s="1170"/>
      <c r="J184" s="106"/>
      <c r="K184" s="746"/>
      <c r="L184" s="108"/>
      <c r="M184" s="144">
        <f t="shared" si="174"/>
        <v>0</v>
      </c>
      <c r="N184" s="1387"/>
      <c r="O184" s="109">
        <f t="shared" si="175"/>
        <v>0</v>
      </c>
      <c r="P184" s="106">
        <f t="shared" si="176"/>
        <v>0</v>
      </c>
      <c r="Q184" s="116">
        <f t="shared" ref="Q184:Q196" si="178">G184+L184</f>
        <v>0</v>
      </c>
      <c r="R184" s="153">
        <f t="shared" si="177"/>
        <v>0</v>
      </c>
      <c r="S184" s="1307"/>
    </row>
    <row r="185" spans="1:24" ht="81.75" customHeight="1">
      <c r="A185" s="646" t="s">
        <v>70</v>
      </c>
      <c r="B185" s="1165" t="s">
        <v>71</v>
      </c>
      <c r="C185" s="212">
        <v>2024</v>
      </c>
      <c r="D185" s="643">
        <v>68</v>
      </c>
      <c r="E185" s="992">
        <v>1321000</v>
      </c>
      <c r="F185" s="992">
        <v>1110000</v>
      </c>
      <c r="G185" s="989">
        <v>715000</v>
      </c>
      <c r="H185" s="644">
        <f t="shared" si="173"/>
        <v>3146000</v>
      </c>
      <c r="I185" s="1168" t="s">
        <v>325</v>
      </c>
      <c r="J185" s="637">
        <v>95000</v>
      </c>
      <c r="K185" s="637">
        <v>1240000</v>
      </c>
      <c r="L185" s="637">
        <v>2900000</v>
      </c>
      <c r="M185" s="142">
        <f>SUM(J185:L185)</f>
        <v>4235000</v>
      </c>
      <c r="N185" s="1168" t="s">
        <v>326</v>
      </c>
      <c r="O185" s="103">
        <f>E185+J185</f>
        <v>1416000</v>
      </c>
      <c r="P185" s="100">
        <f t="shared" si="176"/>
        <v>2350000</v>
      </c>
      <c r="Q185" s="114">
        <f t="shared" si="178"/>
        <v>3615000</v>
      </c>
      <c r="R185" s="135">
        <f t="shared" si="177"/>
        <v>7381000</v>
      </c>
      <c r="S185" s="1469"/>
      <c r="W185">
        <v>901917</v>
      </c>
      <c r="X185" s="332">
        <f>W186-O187</f>
        <v>-606083</v>
      </c>
    </row>
    <row r="186" spans="1:24" ht="41.25" customHeight="1">
      <c r="A186" s="647" t="s">
        <v>70</v>
      </c>
      <c r="B186" s="1166"/>
      <c r="C186" s="213">
        <v>2025</v>
      </c>
      <c r="D186" s="100"/>
      <c r="E186" s="991">
        <v>1321000</v>
      </c>
      <c r="F186" s="991">
        <v>1110000</v>
      </c>
      <c r="G186" s="991">
        <v>1411704</v>
      </c>
      <c r="H186" s="142">
        <f t="shared" si="173"/>
        <v>3842704</v>
      </c>
      <c r="I186" s="1169"/>
      <c r="J186" s="638">
        <v>95000</v>
      </c>
      <c r="K186" s="638">
        <v>1240000</v>
      </c>
      <c r="L186" s="638">
        <v>2606483</v>
      </c>
      <c r="M186" s="143">
        <f t="shared" ref="M186:M187" si="179">SUM(J186:L186)</f>
        <v>3941483</v>
      </c>
      <c r="N186" s="1169"/>
      <c r="O186" s="105">
        <f t="shared" ref="O186:O187" si="180">E186+J186</f>
        <v>1416000</v>
      </c>
      <c r="P186" s="100">
        <f t="shared" si="176"/>
        <v>2350000</v>
      </c>
      <c r="Q186" s="136">
        <f t="shared" si="178"/>
        <v>4018187</v>
      </c>
      <c r="R186" s="640">
        <f>H186+M186</f>
        <v>7784187</v>
      </c>
      <c r="S186" s="1470"/>
      <c r="U186" s="332">
        <f>5654061-Q186</f>
        <v>1635874</v>
      </c>
      <c r="V186" s="332">
        <f>2700000-O186-P186</f>
        <v>-1066000</v>
      </c>
      <c r="W186">
        <v>809917</v>
      </c>
      <c r="X186" s="332">
        <f>W185-O186</f>
        <v>-514083</v>
      </c>
    </row>
    <row r="187" spans="1:24" ht="46.5" customHeight="1" thickBot="1">
      <c r="A187" s="648" t="s">
        <v>70</v>
      </c>
      <c r="B187" s="1167"/>
      <c r="C187" s="16">
        <v>2026</v>
      </c>
      <c r="D187" s="106"/>
      <c r="E187" s="993">
        <v>1321000</v>
      </c>
      <c r="F187" s="993">
        <v>1110000</v>
      </c>
      <c r="G187" s="993">
        <v>2157164</v>
      </c>
      <c r="H187" s="645">
        <f t="shared" si="173"/>
        <v>4588164</v>
      </c>
      <c r="I187" s="1170"/>
      <c r="J187" s="639">
        <v>95000</v>
      </c>
      <c r="K187" s="639">
        <v>1240000</v>
      </c>
      <c r="L187" s="639">
        <v>2081544</v>
      </c>
      <c r="M187" s="144">
        <f t="shared" si="179"/>
        <v>3416544</v>
      </c>
      <c r="N187" s="1170"/>
      <c r="O187" s="109">
        <f t="shared" si="180"/>
        <v>1416000</v>
      </c>
      <c r="P187" s="106">
        <f t="shared" si="176"/>
        <v>2350000</v>
      </c>
      <c r="Q187" s="116">
        <f t="shared" si="178"/>
        <v>4238708</v>
      </c>
      <c r="R187" s="641">
        <f t="shared" si="177"/>
        <v>8004708</v>
      </c>
      <c r="S187" s="1471"/>
    </row>
    <row r="188" spans="1:24" ht="67.5" customHeight="1">
      <c r="A188" s="646" t="s">
        <v>72</v>
      </c>
      <c r="B188" s="1165" t="s">
        <v>73</v>
      </c>
      <c r="C188" s="212">
        <v>2024</v>
      </c>
      <c r="D188" s="100"/>
      <c r="E188" s="989">
        <v>178000</v>
      </c>
      <c r="F188" s="990">
        <v>148000</v>
      </c>
      <c r="G188" s="991">
        <v>0</v>
      </c>
      <c r="H188" s="128">
        <f t="shared" si="173"/>
        <v>326000</v>
      </c>
      <c r="I188" s="1168" t="s">
        <v>327</v>
      </c>
      <c r="J188" s="100">
        <v>0</v>
      </c>
      <c r="K188" s="742">
        <v>0</v>
      </c>
      <c r="L188" s="809">
        <v>241000</v>
      </c>
      <c r="M188" s="142">
        <f>SUM(J188:L188)</f>
        <v>241000</v>
      </c>
      <c r="N188" s="1385" t="s">
        <v>328</v>
      </c>
      <c r="O188" s="103">
        <f>E188+J188</f>
        <v>178000</v>
      </c>
      <c r="P188" s="100">
        <f t="shared" si="176"/>
        <v>148000</v>
      </c>
      <c r="Q188" s="114">
        <f t="shared" si="178"/>
        <v>241000</v>
      </c>
      <c r="R188" s="135">
        <f t="shared" si="177"/>
        <v>567000</v>
      </c>
      <c r="S188" s="1457"/>
      <c r="W188">
        <v>1001203</v>
      </c>
      <c r="X188">
        <v>5725180</v>
      </c>
    </row>
    <row r="189" spans="1:24" ht="24.75" customHeight="1">
      <c r="A189" s="647" t="s">
        <v>72</v>
      </c>
      <c r="B189" s="1166"/>
      <c r="C189" s="213">
        <v>2025</v>
      </c>
      <c r="D189" s="100"/>
      <c r="E189" s="797">
        <v>178000</v>
      </c>
      <c r="F189" s="812">
        <v>138300</v>
      </c>
      <c r="G189" s="105"/>
      <c r="H189" s="128">
        <f t="shared" si="173"/>
        <v>316300</v>
      </c>
      <c r="I189" s="1169"/>
      <c r="J189" s="100"/>
      <c r="K189" s="744"/>
      <c r="L189" s="809"/>
      <c r="M189" s="143">
        <f t="shared" ref="M189:M190" si="181">SUM(J189:L189)</f>
        <v>0</v>
      </c>
      <c r="N189" s="1386"/>
      <c r="O189" s="105">
        <f t="shared" ref="O189:O190" si="182">E189+J189</f>
        <v>178000</v>
      </c>
      <c r="P189" s="100">
        <f t="shared" si="176"/>
        <v>138300</v>
      </c>
      <c r="Q189" s="136">
        <f t="shared" si="178"/>
        <v>0</v>
      </c>
      <c r="R189" s="154">
        <f t="shared" si="177"/>
        <v>316300</v>
      </c>
      <c r="S189" s="1458"/>
      <c r="W189">
        <v>801203</v>
      </c>
      <c r="X189">
        <v>4034119</v>
      </c>
    </row>
    <row r="190" spans="1:24" ht="116.25" customHeight="1" thickBot="1">
      <c r="A190" s="648" t="s">
        <v>72</v>
      </c>
      <c r="B190" s="1167"/>
      <c r="C190" s="16">
        <v>2026</v>
      </c>
      <c r="D190" s="106"/>
      <c r="E190" s="799">
        <v>178000</v>
      </c>
      <c r="F190" s="813">
        <v>138300</v>
      </c>
      <c r="G190" s="109"/>
      <c r="H190" s="140">
        <f t="shared" si="173"/>
        <v>316300</v>
      </c>
      <c r="I190" s="1170"/>
      <c r="J190" s="106"/>
      <c r="K190" s="746"/>
      <c r="L190" s="108"/>
      <c r="M190" s="144">
        <f t="shared" si="181"/>
        <v>0</v>
      </c>
      <c r="N190" s="1387"/>
      <c r="O190" s="109">
        <f t="shared" si="182"/>
        <v>178000</v>
      </c>
      <c r="P190" s="106">
        <f t="shared" si="176"/>
        <v>138300</v>
      </c>
      <c r="Q190" s="116">
        <f t="shared" si="178"/>
        <v>0</v>
      </c>
      <c r="R190" s="155">
        <f t="shared" si="177"/>
        <v>316300</v>
      </c>
      <c r="S190" s="1459"/>
    </row>
    <row r="191" spans="1:24" ht="78" customHeight="1">
      <c r="A191" s="646" t="s">
        <v>74</v>
      </c>
      <c r="B191" s="1165" t="s">
        <v>75</v>
      </c>
      <c r="C191" s="212">
        <v>2024</v>
      </c>
      <c r="D191" s="100"/>
      <c r="E191" s="814">
        <v>8000</v>
      </c>
      <c r="F191" s="812">
        <v>0</v>
      </c>
      <c r="G191" s="103">
        <v>75800</v>
      </c>
      <c r="H191" s="128">
        <f t="shared" si="173"/>
        <v>83800</v>
      </c>
      <c r="I191" s="1168" t="s">
        <v>329</v>
      </c>
      <c r="J191" s="100">
        <v>0</v>
      </c>
      <c r="K191" s="742">
        <v>0</v>
      </c>
      <c r="L191" s="636">
        <v>35200</v>
      </c>
      <c r="M191" s="142">
        <f>SUM(J191:L191)</f>
        <v>35200</v>
      </c>
      <c r="N191" s="1171" t="s">
        <v>330</v>
      </c>
      <c r="O191" s="103">
        <f>E191+J191</f>
        <v>8000</v>
      </c>
      <c r="P191" s="100">
        <f t="shared" si="176"/>
        <v>0</v>
      </c>
      <c r="Q191" s="114">
        <f t="shared" si="178"/>
        <v>111000</v>
      </c>
      <c r="R191" s="135">
        <f t="shared" si="177"/>
        <v>119000</v>
      </c>
      <c r="S191" s="1457"/>
      <c r="W191" s="332">
        <f>W188-P186</f>
        <v>-1348797</v>
      </c>
      <c r="X191" s="332">
        <f>W189-P187</f>
        <v>-1548797</v>
      </c>
    </row>
    <row r="192" spans="1:24" ht="24.75" customHeight="1">
      <c r="A192" s="647" t="s">
        <v>74</v>
      </c>
      <c r="B192" s="1166"/>
      <c r="C192" s="213">
        <v>2025</v>
      </c>
      <c r="D192" s="100"/>
      <c r="E192" s="797">
        <v>8000</v>
      </c>
      <c r="F192" s="812"/>
      <c r="G192" s="105">
        <v>26000</v>
      </c>
      <c r="H192" s="128">
        <f t="shared" si="173"/>
        <v>34000</v>
      </c>
      <c r="I192" s="1169"/>
      <c r="J192" s="100">
        <v>0</v>
      </c>
      <c r="K192" s="744">
        <v>0</v>
      </c>
      <c r="L192" s="809"/>
      <c r="M192" s="143">
        <f t="shared" ref="M192:M196" si="183">SUM(J192:L192)</f>
        <v>0</v>
      </c>
      <c r="N192" s="1172"/>
      <c r="O192" s="105">
        <f t="shared" ref="O192:O193" si="184">E192+J192</f>
        <v>8000</v>
      </c>
      <c r="P192" s="100">
        <f t="shared" si="176"/>
        <v>0</v>
      </c>
      <c r="Q192" s="136">
        <f t="shared" si="178"/>
        <v>26000</v>
      </c>
      <c r="R192" s="154">
        <f t="shared" si="177"/>
        <v>34000</v>
      </c>
      <c r="S192" s="1458"/>
    </row>
    <row r="193" spans="1:19" ht="23.25" customHeight="1" thickBot="1">
      <c r="A193" s="648" t="s">
        <v>74</v>
      </c>
      <c r="B193" s="1167"/>
      <c r="C193" s="16">
        <v>2026</v>
      </c>
      <c r="D193" s="106"/>
      <c r="E193" s="799">
        <v>8000</v>
      </c>
      <c r="F193" s="813"/>
      <c r="G193" s="109">
        <v>25000</v>
      </c>
      <c r="H193" s="140">
        <f t="shared" si="173"/>
        <v>33000</v>
      </c>
      <c r="I193" s="1170"/>
      <c r="J193" s="106">
        <v>0</v>
      </c>
      <c r="K193" s="746">
        <v>0</v>
      </c>
      <c r="L193" s="108">
        <v>0</v>
      </c>
      <c r="M193" s="144">
        <f t="shared" si="183"/>
        <v>0</v>
      </c>
      <c r="N193" s="1173"/>
      <c r="O193" s="109">
        <f t="shared" si="184"/>
        <v>8000</v>
      </c>
      <c r="P193" s="106">
        <f t="shared" si="176"/>
        <v>0</v>
      </c>
      <c r="Q193" s="116">
        <f t="shared" si="178"/>
        <v>25000</v>
      </c>
      <c r="R193" s="155">
        <f t="shared" si="177"/>
        <v>33000</v>
      </c>
      <c r="S193" s="1459"/>
    </row>
    <row r="194" spans="1:19" ht="28.5" customHeight="1">
      <c r="A194" s="646" t="s">
        <v>76</v>
      </c>
      <c r="B194" s="1165" t="s">
        <v>77</v>
      </c>
      <c r="C194" s="212">
        <v>2024</v>
      </c>
      <c r="D194" s="100"/>
      <c r="E194" s="795">
        <v>0</v>
      </c>
      <c r="F194" s="812">
        <v>37000</v>
      </c>
      <c r="G194" s="103">
        <v>480000</v>
      </c>
      <c r="H194" s="128">
        <f t="shared" si="173"/>
        <v>517000</v>
      </c>
      <c r="I194" s="1466" t="s">
        <v>331</v>
      </c>
      <c r="J194" s="100">
        <v>0</v>
      </c>
      <c r="K194" s="742">
        <v>0</v>
      </c>
      <c r="L194" s="618">
        <v>0</v>
      </c>
      <c r="M194" s="142">
        <f t="shared" si="183"/>
        <v>0</v>
      </c>
      <c r="N194" s="1385"/>
      <c r="O194" s="103">
        <f>E194+J194</f>
        <v>0</v>
      </c>
      <c r="P194" s="100">
        <f t="shared" si="176"/>
        <v>37000</v>
      </c>
      <c r="Q194" s="114">
        <f t="shared" si="178"/>
        <v>480000</v>
      </c>
      <c r="R194" s="135">
        <f t="shared" si="177"/>
        <v>517000</v>
      </c>
      <c r="S194" s="1305"/>
    </row>
    <row r="195" spans="1:19" ht="22.5" customHeight="1">
      <c r="A195" s="647" t="s">
        <v>76</v>
      </c>
      <c r="B195" s="1166"/>
      <c r="C195" s="213">
        <v>2025</v>
      </c>
      <c r="D195" s="100"/>
      <c r="E195" s="797"/>
      <c r="F195" s="812"/>
      <c r="G195" s="105"/>
      <c r="H195" s="128">
        <f t="shared" si="173"/>
        <v>0</v>
      </c>
      <c r="I195" s="1467"/>
      <c r="J195" s="100"/>
      <c r="K195" s="744"/>
      <c r="L195" s="809"/>
      <c r="M195" s="143">
        <f t="shared" si="183"/>
        <v>0</v>
      </c>
      <c r="N195" s="1386"/>
      <c r="O195" s="105">
        <f t="shared" ref="O195:O196" si="185">E195+J195</f>
        <v>0</v>
      </c>
      <c r="P195" s="100">
        <f t="shared" si="176"/>
        <v>0</v>
      </c>
      <c r="Q195" s="136">
        <f t="shared" si="178"/>
        <v>0</v>
      </c>
      <c r="R195" s="154">
        <f t="shared" si="177"/>
        <v>0</v>
      </c>
      <c r="S195" s="1306"/>
    </row>
    <row r="196" spans="1:19" ht="27.75" customHeight="1" thickBot="1">
      <c r="A196" s="648" t="s">
        <v>76</v>
      </c>
      <c r="B196" s="1167"/>
      <c r="C196" s="16">
        <v>2026</v>
      </c>
      <c r="D196" s="106"/>
      <c r="E196" s="799"/>
      <c r="F196" s="813"/>
      <c r="G196" s="109"/>
      <c r="H196" s="140">
        <f t="shared" ref="H196" si="186">SUM(E196:G196)</f>
        <v>0</v>
      </c>
      <c r="I196" s="1468"/>
      <c r="J196" s="106"/>
      <c r="K196" s="746"/>
      <c r="L196" s="108"/>
      <c r="M196" s="144">
        <f t="shared" si="183"/>
        <v>0</v>
      </c>
      <c r="N196" s="1387"/>
      <c r="O196" s="109">
        <f t="shared" si="185"/>
        <v>0</v>
      </c>
      <c r="P196" s="106">
        <f t="shared" si="176"/>
        <v>0</v>
      </c>
      <c r="Q196" s="116">
        <f t="shared" si="178"/>
        <v>0</v>
      </c>
      <c r="R196" s="155">
        <f t="shared" si="177"/>
        <v>0</v>
      </c>
      <c r="S196" s="1307"/>
    </row>
    <row r="197" spans="1:19" ht="16.5" thickBot="1">
      <c r="A197" s="44">
        <v>17</v>
      </c>
      <c r="B197" s="6" t="s">
        <v>215</v>
      </c>
      <c r="C197" s="50"/>
      <c r="D197" s="50"/>
      <c r="E197" s="667">
        <f>E198+E201+E204+E207+E210+E213+E216</f>
        <v>1331051</v>
      </c>
      <c r="F197" s="734">
        <f>F198+F201+F204+F207+F210+F213+F216</f>
        <v>1619808</v>
      </c>
      <c r="G197" s="129">
        <f>G198+G201+G204+G207+G210+G213+G216</f>
        <v>17917056</v>
      </c>
      <c r="H197" s="734">
        <f t="shared" ref="H197" si="187">H198+H201+H204+H207+H210+H213+H216</f>
        <v>20867915</v>
      </c>
      <c r="I197" s="44"/>
      <c r="J197" s="734">
        <f>J198+J201+J204+J207+J210+J213+J216</f>
        <v>0</v>
      </c>
      <c r="K197" s="734">
        <f>K198+K201+K204+K207+K210+K213+K216</f>
        <v>0</v>
      </c>
      <c r="L197" s="734">
        <f>L198+L201+L204+L207+L210+L213+L216</f>
        <v>0</v>
      </c>
      <c r="M197" s="734">
        <f>M198+M201+M204+M207+M210+M213+M216</f>
        <v>0</v>
      </c>
      <c r="N197" s="6"/>
      <c r="O197" s="129">
        <f>O198+O201+O204+O207+O210+O213+O216</f>
        <v>1331051</v>
      </c>
      <c r="P197" s="129">
        <f t="shared" ref="P197" si="188">P198+P201+P204+P207+P210+P213+P216</f>
        <v>1619808</v>
      </c>
      <c r="Q197" s="126">
        <f t="shared" ref="Q197" si="189">Q198+Q201+Q204+Q207+Q210+Q213+Q216</f>
        <v>17917056</v>
      </c>
      <c r="R197" s="130">
        <f t="shared" ref="R197" si="190">R198+R201+R204+R207+R210+R213+R216</f>
        <v>20867915</v>
      </c>
      <c r="S197" s="50"/>
    </row>
    <row r="198" spans="1:19" ht="15.75" customHeight="1">
      <c r="A198" s="1188" t="s">
        <v>48</v>
      </c>
      <c r="B198" s="1186" t="s">
        <v>216</v>
      </c>
      <c r="C198" s="302">
        <v>2024</v>
      </c>
      <c r="D198" s="74">
        <v>0</v>
      </c>
      <c r="E198" s="139"/>
      <c r="F198" s="139">
        <v>10000</v>
      </c>
      <c r="G198" s="139"/>
      <c r="H198" s="621">
        <f>E198+F198+G198</f>
        <v>10000</v>
      </c>
      <c r="I198" s="1208"/>
      <c r="J198" s="74"/>
      <c r="K198" s="323"/>
      <c r="L198" s="74"/>
      <c r="M198" s="274">
        <f>J198+K198+L198</f>
        <v>0</v>
      </c>
      <c r="N198" s="1228"/>
      <c r="O198" s="622">
        <f>E198+J198</f>
        <v>0</v>
      </c>
      <c r="P198" s="622">
        <f t="shared" ref="P198:P218" si="191">F198+K198</f>
        <v>10000</v>
      </c>
      <c r="Q198" s="622">
        <f t="shared" ref="Q198:Q218" si="192">G198+L198</f>
        <v>0</v>
      </c>
      <c r="R198" s="139">
        <f t="shared" ref="R198:R218" si="193">H198+M198</f>
        <v>10000</v>
      </c>
      <c r="S198" s="1228"/>
    </row>
    <row r="199" spans="1:19" ht="15.75">
      <c r="A199" s="1175"/>
      <c r="B199" s="1178"/>
      <c r="C199" s="303">
        <v>2025</v>
      </c>
      <c r="D199" s="650">
        <v>0</v>
      </c>
      <c r="E199" s="651"/>
      <c r="F199" s="651">
        <v>10000</v>
      </c>
      <c r="G199" s="651"/>
      <c r="H199" s="623">
        <f t="shared" ref="H199:H218" si="194">E199+F199+G199</f>
        <v>10000</v>
      </c>
      <c r="I199" s="1181"/>
      <c r="J199" s="650"/>
      <c r="K199" s="652"/>
      <c r="L199" s="650"/>
      <c r="M199" s="430">
        <f t="shared" ref="M199:M218" si="195">J199+K199+L199</f>
        <v>0</v>
      </c>
      <c r="N199" s="1184"/>
      <c r="O199" s="653">
        <f t="shared" ref="O199:O218" si="196">E199+J199</f>
        <v>0</v>
      </c>
      <c r="P199" s="653">
        <f t="shared" si="191"/>
        <v>10000</v>
      </c>
      <c r="Q199" s="653">
        <f t="shared" si="192"/>
        <v>0</v>
      </c>
      <c r="R199" s="651">
        <f t="shared" si="193"/>
        <v>10000</v>
      </c>
      <c r="S199" s="1184"/>
    </row>
    <row r="200" spans="1:19" ht="26.25" customHeight="1" thickBot="1">
      <c r="A200" s="1189"/>
      <c r="B200" s="1187"/>
      <c r="C200" s="21">
        <v>2026</v>
      </c>
      <c r="D200" s="654">
        <v>0</v>
      </c>
      <c r="E200" s="655"/>
      <c r="F200" s="655">
        <v>10000</v>
      </c>
      <c r="G200" s="655"/>
      <c r="H200" s="624">
        <f t="shared" si="194"/>
        <v>10000</v>
      </c>
      <c r="I200" s="1209"/>
      <c r="J200" s="654"/>
      <c r="K200" s="656"/>
      <c r="L200" s="654"/>
      <c r="M200" s="431">
        <f t="shared" si="195"/>
        <v>0</v>
      </c>
      <c r="N200" s="1229"/>
      <c r="O200" s="657">
        <f t="shared" si="196"/>
        <v>0</v>
      </c>
      <c r="P200" s="657">
        <f t="shared" si="191"/>
        <v>10000</v>
      </c>
      <c r="Q200" s="657">
        <f t="shared" si="192"/>
        <v>0</v>
      </c>
      <c r="R200" s="655">
        <f t="shared" si="193"/>
        <v>10000</v>
      </c>
      <c r="S200" s="1229"/>
    </row>
    <row r="201" spans="1:19" ht="15.75" customHeight="1">
      <c r="A201" s="1174" t="s">
        <v>217</v>
      </c>
      <c r="B201" s="1177" t="s">
        <v>218</v>
      </c>
      <c r="C201" s="658">
        <v>2024</v>
      </c>
      <c r="D201" s="199">
        <v>0</v>
      </c>
      <c r="E201" s="180">
        <v>543124</v>
      </c>
      <c r="F201" s="180">
        <v>498845</v>
      </c>
      <c r="G201" s="180">
        <v>15737784</v>
      </c>
      <c r="H201" s="276">
        <f t="shared" ref="H201:H209" si="197">E201+F201+G201</f>
        <v>16779753</v>
      </c>
      <c r="I201" s="1180" t="s">
        <v>425</v>
      </c>
      <c r="J201" s="199"/>
      <c r="K201" s="276"/>
      <c r="L201" s="277"/>
      <c r="M201" s="277">
        <f t="shared" si="195"/>
        <v>0</v>
      </c>
      <c r="N201" s="1183"/>
      <c r="O201" s="179">
        <f t="shared" si="196"/>
        <v>543124</v>
      </c>
      <c r="P201" s="179">
        <f t="shared" si="191"/>
        <v>498845</v>
      </c>
      <c r="Q201" s="179">
        <f t="shared" si="192"/>
        <v>15737784</v>
      </c>
      <c r="R201" s="180">
        <f t="shared" si="193"/>
        <v>16779753</v>
      </c>
      <c r="S201" s="1183"/>
    </row>
    <row r="202" spans="1:19" ht="15.75">
      <c r="A202" s="1175"/>
      <c r="B202" s="1178"/>
      <c r="C202" s="303">
        <v>2025</v>
      </c>
      <c r="D202" s="650">
        <v>0</v>
      </c>
      <c r="E202" s="651">
        <v>543124</v>
      </c>
      <c r="F202" s="651">
        <v>800138</v>
      </c>
      <c r="G202" s="651">
        <v>10970824</v>
      </c>
      <c r="H202" s="623">
        <f t="shared" si="197"/>
        <v>12314086</v>
      </c>
      <c r="I202" s="1181"/>
      <c r="J202" s="650"/>
      <c r="K202" s="623"/>
      <c r="L202" s="430"/>
      <c r="M202" s="430">
        <f t="shared" si="195"/>
        <v>0</v>
      </c>
      <c r="N202" s="1184"/>
      <c r="O202" s="653">
        <f t="shared" si="196"/>
        <v>543124</v>
      </c>
      <c r="P202" s="653">
        <f t="shared" si="191"/>
        <v>800138</v>
      </c>
      <c r="Q202" s="653">
        <f t="shared" si="192"/>
        <v>10970824</v>
      </c>
      <c r="R202" s="651">
        <f t="shared" si="193"/>
        <v>12314086</v>
      </c>
      <c r="S202" s="1184"/>
    </row>
    <row r="203" spans="1:19" ht="111.75" customHeight="1" thickBot="1">
      <c r="A203" s="1176"/>
      <c r="B203" s="1179"/>
      <c r="C203" s="317">
        <v>2026</v>
      </c>
      <c r="D203" s="659">
        <v>0</v>
      </c>
      <c r="E203" s="660">
        <v>543124</v>
      </c>
      <c r="F203" s="660">
        <v>846668</v>
      </c>
      <c r="G203" s="660">
        <v>9095607</v>
      </c>
      <c r="H203" s="661">
        <f t="shared" si="197"/>
        <v>10485399</v>
      </c>
      <c r="I203" s="1182"/>
      <c r="J203" s="659"/>
      <c r="K203" s="661"/>
      <c r="L203" s="662"/>
      <c r="M203" s="662">
        <f t="shared" si="195"/>
        <v>0</v>
      </c>
      <c r="N203" s="1185"/>
      <c r="O203" s="663">
        <f t="shared" si="196"/>
        <v>543124</v>
      </c>
      <c r="P203" s="663">
        <f t="shared" si="191"/>
        <v>846668</v>
      </c>
      <c r="Q203" s="663">
        <f t="shared" si="192"/>
        <v>9095607</v>
      </c>
      <c r="R203" s="660">
        <f t="shared" si="193"/>
        <v>10485399</v>
      </c>
      <c r="S203" s="1185"/>
    </row>
    <row r="204" spans="1:19" ht="15.75" customHeight="1">
      <c r="A204" s="1188" t="s">
        <v>219</v>
      </c>
      <c r="B204" s="1186" t="s">
        <v>220</v>
      </c>
      <c r="C204" s="302">
        <v>2024</v>
      </c>
      <c r="D204" s="74">
        <v>0</v>
      </c>
      <c r="E204" s="139">
        <v>549588</v>
      </c>
      <c r="F204" s="139">
        <v>463094</v>
      </c>
      <c r="G204" s="139">
        <v>1413166</v>
      </c>
      <c r="H204" s="621">
        <f>E204+F204+G204</f>
        <v>2425848</v>
      </c>
      <c r="I204" s="1208" t="s">
        <v>425</v>
      </c>
      <c r="J204" s="74"/>
      <c r="K204" s="621"/>
      <c r="L204" s="274"/>
      <c r="M204" s="274">
        <f t="shared" si="195"/>
        <v>0</v>
      </c>
      <c r="N204" s="1228"/>
      <c r="O204" s="512">
        <f t="shared" si="196"/>
        <v>549588</v>
      </c>
      <c r="P204" s="512">
        <f t="shared" si="191"/>
        <v>463094</v>
      </c>
      <c r="Q204" s="512">
        <f t="shared" si="192"/>
        <v>1413166</v>
      </c>
      <c r="R204" s="139">
        <f t="shared" si="193"/>
        <v>2425848</v>
      </c>
      <c r="S204" s="1228"/>
    </row>
    <row r="205" spans="1:19" ht="15.75">
      <c r="A205" s="1175"/>
      <c r="B205" s="1178"/>
      <c r="C205" s="303">
        <v>2025</v>
      </c>
      <c r="D205" s="650">
        <v>0</v>
      </c>
      <c r="E205" s="651">
        <v>549588</v>
      </c>
      <c r="F205" s="651">
        <v>420741</v>
      </c>
      <c r="G205" s="651">
        <v>1060800</v>
      </c>
      <c r="H205" s="623">
        <f t="shared" si="197"/>
        <v>2031129</v>
      </c>
      <c r="I205" s="1181"/>
      <c r="J205" s="650"/>
      <c r="K205" s="623"/>
      <c r="L205" s="430"/>
      <c r="M205" s="430">
        <f t="shared" si="195"/>
        <v>0</v>
      </c>
      <c r="N205" s="1184"/>
      <c r="O205" s="105">
        <f t="shared" si="196"/>
        <v>549588</v>
      </c>
      <c r="P205" s="664">
        <f t="shared" si="191"/>
        <v>420741</v>
      </c>
      <c r="Q205" s="136">
        <f t="shared" si="192"/>
        <v>1060800</v>
      </c>
      <c r="R205" s="651">
        <f t="shared" si="193"/>
        <v>2031129</v>
      </c>
      <c r="S205" s="1184"/>
    </row>
    <row r="206" spans="1:19" ht="125.25" customHeight="1" thickBot="1">
      <c r="A206" s="1189"/>
      <c r="B206" s="1187"/>
      <c r="C206" s="21">
        <v>2026</v>
      </c>
      <c r="D206" s="654">
        <v>0</v>
      </c>
      <c r="E206" s="655">
        <v>549588</v>
      </c>
      <c r="F206" s="655">
        <v>223617</v>
      </c>
      <c r="G206" s="655">
        <v>323500</v>
      </c>
      <c r="H206" s="624">
        <f t="shared" si="197"/>
        <v>1096705</v>
      </c>
      <c r="I206" s="1209"/>
      <c r="J206" s="654"/>
      <c r="K206" s="624"/>
      <c r="L206" s="431"/>
      <c r="M206" s="431">
        <f t="shared" si="195"/>
        <v>0</v>
      </c>
      <c r="N206" s="1229"/>
      <c r="O206" s="109">
        <f t="shared" si="196"/>
        <v>549588</v>
      </c>
      <c r="P206" s="596">
        <f t="shared" si="191"/>
        <v>223617</v>
      </c>
      <c r="Q206" s="116">
        <f t="shared" si="192"/>
        <v>323500</v>
      </c>
      <c r="R206" s="655">
        <f t="shared" si="193"/>
        <v>1096705</v>
      </c>
      <c r="S206" s="1229"/>
    </row>
    <row r="207" spans="1:19" ht="15.75" customHeight="1">
      <c r="A207" s="1174" t="s">
        <v>221</v>
      </c>
      <c r="B207" s="1177" t="s">
        <v>222</v>
      </c>
      <c r="C207" s="658">
        <v>2024</v>
      </c>
      <c r="D207" s="199">
        <v>0</v>
      </c>
      <c r="E207" s="139">
        <v>13618</v>
      </c>
      <c r="F207" s="139">
        <v>37033</v>
      </c>
      <c r="G207" s="139">
        <v>406106</v>
      </c>
      <c r="H207" s="276">
        <f t="shared" si="197"/>
        <v>456757</v>
      </c>
      <c r="I207" s="1180" t="s">
        <v>423</v>
      </c>
      <c r="J207" s="199"/>
      <c r="K207" s="276"/>
      <c r="L207" s="277"/>
      <c r="M207" s="277">
        <f t="shared" si="195"/>
        <v>0</v>
      </c>
      <c r="N207" s="1183"/>
      <c r="O207" s="103">
        <f t="shared" si="196"/>
        <v>13618</v>
      </c>
      <c r="P207" s="100">
        <f t="shared" si="191"/>
        <v>37033</v>
      </c>
      <c r="Q207" s="368">
        <f>G207+L207</f>
        <v>406106</v>
      </c>
      <c r="R207" s="180">
        <f t="shared" si="193"/>
        <v>456757</v>
      </c>
      <c r="S207" s="1183"/>
    </row>
    <row r="208" spans="1:19" ht="15.75">
      <c r="A208" s="1175"/>
      <c r="B208" s="1178"/>
      <c r="C208" s="303">
        <v>2025</v>
      </c>
      <c r="D208" s="650">
        <v>0</v>
      </c>
      <c r="E208" s="651">
        <v>13952</v>
      </c>
      <c r="F208" s="651">
        <v>38432</v>
      </c>
      <c r="G208" s="651"/>
      <c r="H208" s="623">
        <f t="shared" si="197"/>
        <v>52384</v>
      </c>
      <c r="I208" s="1181"/>
      <c r="J208" s="650"/>
      <c r="K208" s="623"/>
      <c r="L208" s="430"/>
      <c r="M208" s="430">
        <f t="shared" si="195"/>
        <v>0</v>
      </c>
      <c r="N208" s="1184"/>
      <c r="O208" s="105">
        <f t="shared" si="196"/>
        <v>13952</v>
      </c>
      <c r="P208" s="664">
        <f t="shared" si="191"/>
        <v>38432</v>
      </c>
      <c r="Q208" s="136">
        <f t="shared" si="192"/>
        <v>0</v>
      </c>
      <c r="R208" s="651">
        <f t="shared" si="193"/>
        <v>52384</v>
      </c>
      <c r="S208" s="1184"/>
    </row>
    <row r="209" spans="1:19" ht="30" customHeight="1" thickBot="1">
      <c r="A209" s="1176"/>
      <c r="B209" s="1179"/>
      <c r="C209" s="317">
        <v>2026</v>
      </c>
      <c r="D209" s="659">
        <v>0</v>
      </c>
      <c r="E209" s="655">
        <v>13952</v>
      </c>
      <c r="F209" s="655">
        <v>38432</v>
      </c>
      <c r="G209" s="655"/>
      <c r="H209" s="661">
        <f t="shared" si="197"/>
        <v>52384</v>
      </c>
      <c r="I209" s="1182"/>
      <c r="J209" s="659"/>
      <c r="K209" s="661"/>
      <c r="L209" s="662"/>
      <c r="M209" s="662">
        <f t="shared" si="195"/>
        <v>0</v>
      </c>
      <c r="N209" s="1185"/>
      <c r="O209" s="642">
        <f t="shared" si="196"/>
        <v>13952</v>
      </c>
      <c r="P209" s="665">
        <f t="shared" si="191"/>
        <v>38432</v>
      </c>
      <c r="Q209" s="666">
        <f t="shared" si="192"/>
        <v>0</v>
      </c>
      <c r="R209" s="660">
        <f t="shared" si="193"/>
        <v>52384</v>
      </c>
      <c r="S209" s="1185"/>
    </row>
    <row r="210" spans="1:19" ht="15.75" customHeight="1">
      <c r="A210" s="1188" t="s">
        <v>223</v>
      </c>
      <c r="B210" s="1186" t="s">
        <v>224</v>
      </c>
      <c r="C210" s="302">
        <v>2024</v>
      </c>
      <c r="D210" s="74">
        <v>0</v>
      </c>
      <c r="E210" s="139">
        <v>224721</v>
      </c>
      <c r="F210" s="139">
        <v>210836</v>
      </c>
      <c r="G210" s="139">
        <v>360000</v>
      </c>
      <c r="H210" s="621">
        <f t="shared" si="194"/>
        <v>795557</v>
      </c>
      <c r="I210" s="1208" t="s">
        <v>424</v>
      </c>
      <c r="J210" s="74"/>
      <c r="K210" s="621"/>
      <c r="L210" s="274"/>
      <c r="M210" s="274">
        <f t="shared" si="195"/>
        <v>0</v>
      </c>
      <c r="N210" s="1228"/>
      <c r="O210" s="512">
        <f t="shared" si="196"/>
        <v>224721</v>
      </c>
      <c r="P210" s="643">
        <f t="shared" si="191"/>
        <v>210836</v>
      </c>
      <c r="Q210" s="114">
        <f>G210+L210</f>
        <v>360000</v>
      </c>
      <c r="R210" s="139">
        <f t="shared" si="193"/>
        <v>795557</v>
      </c>
      <c r="S210" s="1228"/>
    </row>
    <row r="211" spans="1:19" ht="46.5" customHeight="1">
      <c r="A211" s="1175"/>
      <c r="B211" s="1178"/>
      <c r="C211" s="303">
        <v>2025</v>
      </c>
      <c r="D211" s="650">
        <v>0</v>
      </c>
      <c r="E211" s="651">
        <v>224721</v>
      </c>
      <c r="F211" s="651">
        <v>293436</v>
      </c>
      <c r="G211" s="651">
        <v>360000</v>
      </c>
      <c r="H211" s="623">
        <f>E211+F211+G211</f>
        <v>878157</v>
      </c>
      <c r="I211" s="1181"/>
      <c r="J211" s="650"/>
      <c r="K211" s="623"/>
      <c r="L211" s="430"/>
      <c r="M211" s="430">
        <f t="shared" si="195"/>
        <v>0</v>
      </c>
      <c r="N211" s="1184"/>
      <c r="O211" s="105">
        <f t="shared" si="196"/>
        <v>224721</v>
      </c>
      <c r="P211" s="664">
        <f t="shared" si="191"/>
        <v>293436</v>
      </c>
      <c r="Q211" s="136">
        <f t="shared" si="192"/>
        <v>360000</v>
      </c>
      <c r="R211" s="651">
        <f t="shared" si="193"/>
        <v>878157</v>
      </c>
      <c r="S211" s="1184"/>
    </row>
    <row r="212" spans="1:19" ht="69" customHeight="1" thickBot="1">
      <c r="A212" s="1189"/>
      <c r="B212" s="1187"/>
      <c r="C212" s="21">
        <v>2026</v>
      </c>
      <c r="D212" s="654">
        <v>0</v>
      </c>
      <c r="E212" s="655">
        <v>224721</v>
      </c>
      <c r="F212" s="655">
        <v>384096</v>
      </c>
      <c r="G212" s="655">
        <v>120000</v>
      </c>
      <c r="H212" s="624">
        <f>E212+F212+G212</f>
        <v>728817</v>
      </c>
      <c r="I212" s="1209"/>
      <c r="J212" s="654"/>
      <c r="K212" s="624"/>
      <c r="L212" s="431"/>
      <c r="M212" s="431">
        <f t="shared" si="195"/>
        <v>0</v>
      </c>
      <c r="N212" s="1229"/>
      <c r="O212" s="109">
        <f t="shared" si="196"/>
        <v>224721</v>
      </c>
      <c r="P212" s="596">
        <f t="shared" si="191"/>
        <v>384096</v>
      </c>
      <c r="Q212" s="116">
        <f t="shared" si="192"/>
        <v>120000</v>
      </c>
      <c r="R212" s="655">
        <f t="shared" si="193"/>
        <v>728817</v>
      </c>
      <c r="S212" s="1229"/>
    </row>
    <row r="213" spans="1:19" ht="15.75" customHeight="1">
      <c r="A213" s="1188" t="s">
        <v>225</v>
      </c>
      <c r="B213" s="1186" t="s">
        <v>226</v>
      </c>
      <c r="C213" s="302">
        <v>2024</v>
      </c>
      <c r="D213" s="74">
        <v>0</v>
      </c>
      <c r="E213" s="139"/>
      <c r="F213" s="139"/>
      <c r="G213" s="139"/>
      <c r="H213" s="621">
        <f t="shared" si="194"/>
        <v>0</v>
      </c>
      <c r="I213" s="1208"/>
      <c r="J213" s="74"/>
      <c r="K213" s="621"/>
      <c r="L213" s="274"/>
      <c r="M213" s="74">
        <f t="shared" si="195"/>
        <v>0</v>
      </c>
      <c r="N213" s="1228"/>
      <c r="O213" s="512">
        <f t="shared" si="196"/>
        <v>0</v>
      </c>
      <c r="P213" s="643">
        <f t="shared" si="191"/>
        <v>0</v>
      </c>
      <c r="Q213" s="114">
        <f>G213+L213</f>
        <v>0</v>
      </c>
      <c r="R213" s="139">
        <f t="shared" si="193"/>
        <v>0</v>
      </c>
      <c r="S213" s="1228"/>
    </row>
    <row r="214" spans="1:19" ht="15.75">
      <c r="A214" s="1175"/>
      <c r="B214" s="1178"/>
      <c r="C214" s="303">
        <v>2025</v>
      </c>
      <c r="D214" s="650">
        <v>0</v>
      </c>
      <c r="E214" s="651"/>
      <c r="F214" s="651"/>
      <c r="G214" s="651"/>
      <c r="H214" s="623">
        <f t="shared" si="194"/>
        <v>0</v>
      </c>
      <c r="I214" s="1181"/>
      <c r="J214" s="650"/>
      <c r="K214" s="623"/>
      <c r="L214" s="430"/>
      <c r="M214" s="650">
        <f t="shared" si="195"/>
        <v>0</v>
      </c>
      <c r="N214" s="1184"/>
      <c r="O214" s="105">
        <f t="shared" si="196"/>
        <v>0</v>
      </c>
      <c r="P214" s="664">
        <f t="shared" si="191"/>
        <v>0</v>
      </c>
      <c r="Q214" s="136">
        <f t="shared" si="192"/>
        <v>0</v>
      </c>
      <c r="R214" s="651">
        <f t="shared" si="193"/>
        <v>0</v>
      </c>
      <c r="S214" s="1184"/>
    </row>
    <row r="215" spans="1:19" ht="33.75" customHeight="1" thickBot="1">
      <c r="A215" s="1189"/>
      <c r="B215" s="1187"/>
      <c r="C215" s="21">
        <v>2026</v>
      </c>
      <c r="D215" s="654">
        <v>0</v>
      </c>
      <c r="E215" s="655"/>
      <c r="F215" s="655"/>
      <c r="G215" s="655"/>
      <c r="H215" s="624">
        <f t="shared" si="194"/>
        <v>0</v>
      </c>
      <c r="I215" s="1209"/>
      <c r="J215" s="654"/>
      <c r="K215" s="624"/>
      <c r="L215" s="431"/>
      <c r="M215" s="654">
        <f t="shared" si="195"/>
        <v>0</v>
      </c>
      <c r="N215" s="1229"/>
      <c r="O215" s="109">
        <f t="shared" si="196"/>
        <v>0</v>
      </c>
      <c r="P215" s="596">
        <f t="shared" si="191"/>
        <v>0</v>
      </c>
      <c r="Q215" s="116">
        <f t="shared" si="192"/>
        <v>0</v>
      </c>
      <c r="R215" s="655">
        <f t="shared" si="193"/>
        <v>0</v>
      </c>
      <c r="S215" s="1229"/>
    </row>
    <row r="216" spans="1:19" ht="15.75" customHeight="1">
      <c r="A216" s="1174" t="s">
        <v>227</v>
      </c>
      <c r="B216" s="1183" t="s">
        <v>228</v>
      </c>
      <c r="C216" s="658">
        <v>2024</v>
      </c>
      <c r="D216" s="199">
        <v>0</v>
      </c>
      <c r="E216" s="180"/>
      <c r="F216" s="180">
        <v>400000</v>
      </c>
      <c r="G216" s="180"/>
      <c r="H216" s="276">
        <f t="shared" si="194"/>
        <v>400000</v>
      </c>
      <c r="I216" s="1180" t="s">
        <v>426</v>
      </c>
      <c r="J216" s="199"/>
      <c r="K216" s="276"/>
      <c r="L216" s="277"/>
      <c r="M216" s="199">
        <f t="shared" si="195"/>
        <v>0</v>
      </c>
      <c r="N216" s="1183"/>
      <c r="O216" s="103">
        <f t="shared" si="196"/>
        <v>0</v>
      </c>
      <c r="P216" s="100">
        <f t="shared" si="191"/>
        <v>400000</v>
      </c>
      <c r="Q216" s="368">
        <f>G216+L216</f>
        <v>0</v>
      </c>
      <c r="R216" s="180">
        <f t="shared" si="193"/>
        <v>400000</v>
      </c>
      <c r="S216" s="1183"/>
    </row>
    <row r="217" spans="1:19" ht="15.75">
      <c r="A217" s="1175"/>
      <c r="B217" s="1184"/>
      <c r="C217" s="303">
        <v>2025</v>
      </c>
      <c r="D217" s="650">
        <v>0</v>
      </c>
      <c r="E217" s="651"/>
      <c r="F217" s="651"/>
      <c r="G217" s="651"/>
      <c r="H217" s="623">
        <f t="shared" si="194"/>
        <v>0</v>
      </c>
      <c r="I217" s="1181"/>
      <c r="J217" s="650"/>
      <c r="K217" s="623"/>
      <c r="L217" s="430"/>
      <c r="M217" s="650">
        <f t="shared" si="195"/>
        <v>0</v>
      </c>
      <c r="N217" s="1184"/>
      <c r="O217" s="105">
        <f t="shared" si="196"/>
        <v>0</v>
      </c>
      <c r="P217" s="664">
        <f t="shared" si="191"/>
        <v>0</v>
      </c>
      <c r="Q217" s="136">
        <f t="shared" si="192"/>
        <v>0</v>
      </c>
      <c r="R217" s="651">
        <f t="shared" si="193"/>
        <v>0</v>
      </c>
      <c r="S217" s="1184"/>
    </row>
    <row r="218" spans="1:19" ht="30.75" customHeight="1" thickBot="1">
      <c r="A218" s="1189"/>
      <c r="B218" s="1229"/>
      <c r="C218" s="21">
        <v>2026</v>
      </c>
      <c r="D218" s="654">
        <v>0</v>
      </c>
      <c r="E218" s="655"/>
      <c r="F218" s="655"/>
      <c r="G218" s="655"/>
      <c r="H218" s="624">
        <f t="shared" si="194"/>
        <v>0</v>
      </c>
      <c r="I218" s="1209"/>
      <c r="J218" s="654"/>
      <c r="K218" s="624"/>
      <c r="L218" s="431"/>
      <c r="M218" s="654">
        <f t="shared" si="195"/>
        <v>0</v>
      </c>
      <c r="N218" s="1229"/>
      <c r="O218" s="109">
        <f t="shared" si="196"/>
        <v>0</v>
      </c>
      <c r="P218" s="596">
        <f t="shared" si="191"/>
        <v>0</v>
      </c>
      <c r="Q218" s="116">
        <f t="shared" si="192"/>
        <v>0</v>
      </c>
      <c r="R218" s="655">
        <f t="shared" si="193"/>
        <v>0</v>
      </c>
      <c r="S218" s="1229"/>
    </row>
    <row r="219" spans="1:19" ht="16.5" thickBot="1">
      <c r="A219" s="44">
        <v>18</v>
      </c>
      <c r="B219" s="63" t="s">
        <v>78</v>
      </c>
      <c r="C219" s="46"/>
      <c r="D219" s="181"/>
      <c r="E219" s="174">
        <f>E220</f>
        <v>20500</v>
      </c>
      <c r="F219" s="174">
        <f t="shared" ref="F219:H219" si="198">F220</f>
        <v>24500</v>
      </c>
      <c r="G219" s="174">
        <f t="shared" si="198"/>
        <v>25188</v>
      </c>
      <c r="H219" s="174">
        <f t="shared" si="198"/>
        <v>70188</v>
      </c>
      <c r="I219" s="197"/>
      <c r="J219" s="182">
        <f>J220</f>
        <v>0</v>
      </c>
      <c r="K219" s="182">
        <f t="shared" ref="K219:M219" si="199">K220</f>
        <v>0</v>
      </c>
      <c r="L219" s="182">
        <f t="shared" si="199"/>
        <v>281700</v>
      </c>
      <c r="M219" s="182">
        <f t="shared" si="199"/>
        <v>281700</v>
      </c>
      <c r="N219" s="182"/>
      <c r="O219" s="825">
        <f>O220</f>
        <v>20500</v>
      </c>
      <c r="P219" s="825">
        <f t="shared" ref="P219:R219" si="200">P220</f>
        <v>24500</v>
      </c>
      <c r="Q219" s="825">
        <f t="shared" si="200"/>
        <v>306888</v>
      </c>
      <c r="R219" s="825">
        <f t="shared" si="200"/>
        <v>351888</v>
      </c>
      <c r="S219" s="196"/>
    </row>
    <row r="220" spans="1:19" ht="65.25" customHeight="1">
      <c r="A220" s="64"/>
      <c r="B220" s="47" t="s">
        <v>79</v>
      </c>
      <c r="C220" s="212">
        <v>2024</v>
      </c>
      <c r="D220" s="99"/>
      <c r="E220" s="815">
        <v>20500</v>
      </c>
      <c r="F220" s="816">
        <v>24500</v>
      </c>
      <c r="G220" s="817">
        <v>25188</v>
      </c>
      <c r="H220" s="818">
        <f>SUM(E220:G220)</f>
        <v>70188</v>
      </c>
      <c r="I220" s="1168" t="s">
        <v>332</v>
      </c>
      <c r="J220" s="47"/>
      <c r="K220" s="47"/>
      <c r="L220" s="99">
        <v>281700</v>
      </c>
      <c r="M220" s="156">
        <f>SUM(J220:L220)</f>
        <v>281700</v>
      </c>
      <c r="N220" s="1302" t="s">
        <v>333</v>
      </c>
      <c r="O220" s="103">
        <f>E220+J220</f>
        <v>20500</v>
      </c>
      <c r="P220" s="100">
        <f t="shared" ref="P220:Q222" si="201">F220+K220</f>
        <v>24500</v>
      </c>
      <c r="Q220" s="114">
        <f>G220+L220</f>
        <v>306888</v>
      </c>
      <c r="R220" s="135">
        <f>H220+M220</f>
        <v>351888</v>
      </c>
      <c r="S220" s="1305" t="s">
        <v>164</v>
      </c>
    </row>
    <row r="221" spans="1:19" ht="31.5" customHeight="1">
      <c r="A221" s="64"/>
      <c r="B221" s="47"/>
      <c r="C221" s="213">
        <v>2025</v>
      </c>
      <c r="D221" s="99"/>
      <c r="E221" s="819">
        <v>20500</v>
      </c>
      <c r="F221" s="816">
        <v>22200</v>
      </c>
      <c r="G221" s="820">
        <v>15591</v>
      </c>
      <c r="H221" s="818">
        <f t="shared" ref="H221:H222" si="202">SUM(E221:G221)</f>
        <v>58291</v>
      </c>
      <c r="I221" s="1169"/>
      <c r="J221" s="47"/>
      <c r="K221" s="47"/>
      <c r="L221" s="99">
        <v>150000</v>
      </c>
      <c r="M221" s="156">
        <f t="shared" ref="M221:M222" si="203">SUM(J221:L221)</f>
        <v>150000</v>
      </c>
      <c r="N221" s="1303"/>
      <c r="O221" s="105">
        <f t="shared" ref="O221:O222" si="204">E221+J221</f>
        <v>20500</v>
      </c>
      <c r="P221" s="100">
        <f t="shared" si="201"/>
        <v>22200</v>
      </c>
      <c r="Q221" s="136">
        <f t="shared" si="201"/>
        <v>165591</v>
      </c>
      <c r="R221" s="154">
        <f>H221+M221</f>
        <v>208291</v>
      </c>
      <c r="S221" s="1306"/>
    </row>
    <row r="222" spans="1:19" ht="114.75" customHeight="1" thickBot="1">
      <c r="A222" s="65"/>
      <c r="B222" s="66"/>
      <c r="C222" s="16">
        <v>2026</v>
      </c>
      <c r="D222" s="99"/>
      <c r="E222" s="821">
        <v>20500</v>
      </c>
      <c r="F222" s="822">
        <v>20400</v>
      </c>
      <c r="G222" s="823">
        <v>28168</v>
      </c>
      <c r="H222" s="824">
        <f t="shared" si="202"/>
        <v>69068</v>
      </c>
      <c r="I222" s="1170"/>
      <c r="J222" s="47"/>
      <c r="K222" s="47"/>
      <c r="L222" s="99">
        <v>0</v>
      </c>
      <c r="M222" s="156">
        <f t="shared" si="203"/>
        <v>0</v>
      </c>
      <c r="N222" s="1304"/>
      <c r="O222" s="109">
        <f t="shared" si="204"/>
        <v>20500</v>
      </c>
      <c r="P222" s="106">
        <f t="shared" si="201"/>
        <v>20400</v>
      </c>
      <c r="Q222" s="116">
        <f t="shared" si="201"/>
        <v>28168</v>
      </c>
      <c r="R222" s="155">
        <f>H222+M222</f>
        <v>69068</v>
      </c>
      <c r="S222" s="1307"/>
    </row>
    <row r="223" spans="1:19" ht="16.5" thickBot="1">
      <c r="A223" s="44">
        <v>19</v>
      </c>
      <c r="B223" s="63" t="s">
        <v>80</v>
      </c>
      <c r="C223" s="46"/>
      <c r="D223" s="181"/>
      <c r="E223" s="174">
        <f>E224+E225+E226+E227</f>
        <v>0</v>
      </c>
      <c r="F223" s="174">
        <f t="shared" ref="F223:H223" si="205">F224+F225+F226+F227</f>
        <v>576197</v>
      </c>
      <c r="G223" s="174">
        <f t="shared" si="205"/>
        <v>0</v>
      </c>
      <c r="H223" s="174">
        <f t="shared" si="205"/>
        <v>576197</v>
      </c>
      <c r="I223" s="197"/>
      <c r="J223" s="182">
        <f>J224+J225+J226+J227</f>
        <v>0</v>
      </c>
      <c r="K223" s="182">
        <f t="shared" ref="K223:M223" si="206">K224+K225+K226+K227</f>
        <v>0</v>
      </c>
      <c r="L223" s="182">
        <f t="shared" si="206"/>
        <v>0</v>
      </c>
      <c r="M223" s="182">
        <f t="shared" si="206"/>
        <v>0</v>
      </c>
      <c r="N223" s="182"/>
      <c r="O223" s="173">
        <f>J223+E223</f>
        <v>0</v>
      </c>
      <c r="P223" s="173">
        <f t="shared" ref="P223:R223" si="207">K223+F223</f>
        <v>576197</v>
      </c>
      <c r="Q223" s="173">
        <f t="shared" si="207"/>
        <v>0</v>
      </c>
      <c r="R223" s="173">
        <f t="shared" si="207"/>
        <v>576197</v>
      </c>
      <c r="S223" s="196"/>
    </row>
    <row r="224" spans="1:19" s="219" customFormat="1" ht="104.25" customHeight="1">
      <c r="A224" s="545" t="s">
        <v>81</v>
      </c>
      <c r="B224" s="546" t="s">
        <v>82</v>
      </c>
      <c r="C224" s="439">
        <v>2024</v>
      </c>
      <c r="D224" s="547"/>
      <c r="E224" s="548"/>
      <c r="F224" s="548">
        <v>39002</v>
      </c>
      <c r="G224" s="549"/>
      <c r="H224" s="550">
        <f>E224+F224+G224</f>
        <v>39002</v>
      </c>
      <c r="I224" s="1154" t="s">
        <v>407</v>
      </c>
      <c r="J224" s="546"/>
      <c r="K224" s="549"/>
      <c r="L224" s="547"/>
      <c r="M224" s="551"/>
      <c r="N224" s="546"/>
      <c r="O224" s="377">
        <f t="shared" ref="O224:O227" si="208">J224+E224</f>
        <v>0</v>
      </c>
      <c r="P224" s="383">
        <f t="shared" ref="P224:P227" si="209">K224+F224</f>
        <v>39002</v>
      </c>
      <c r="Q224" s="520">
        <f t="shared" ref="Q224:Q227" si="210">L224+G224</f>
        <v>0</v>
      </c>
      <c r="R224" s="552">
        <f t="shared" ref="R224:R227" si="211">M224+H224</f>
        <v>39002</v>
      </c>
      <c r="S224" s="553"/>
    </row>
    <row r="225" spans="1:19" s="219" customFormat="1" ht="80.25" customHeight="1">
      <c r="A225" s="545" t="s">
        <v>83</v>
      </c>
      <c r="B225" s="554" t="s">
        <v>84</v>
      </c>
      <c r="C225" s="447">
        <v>2024</v>
      </c>
      <c r="D225" s="555"/>
      <c r="E225" s="548"/>
      <c r="F225" s="548">
        <v>27000</v>
      </c>
      <c r="G225" s="556"/>
      <c r="H225" s="550">
        <f t="shared" ref="H225:H227" si="212">E225+F225+G225</f>
        <v>27000</v>
      </c>
      <c r="I225" s="1155"/>
      <c r="J225" s="554"/>
      <c r="K225" s="556"/>
      <c r="L225" s="555"/>
      <c r="M225" s="551"/>
      <c r="N225" s="554"/>
      <c r="O225" s="386">
        <f t="shared" si="208"/>
        <v>0</v>
      </c>
      <c r="P225" s="383">
        <f t="shared" si="209"/>
        <v>27000</v>
      </c>
      <c r="Q225" s="557">
        <f t="shared" si="210"/>
        <v>0</v>
      </c>
      <c r="R225" s="558">
        <f t="shared" si="211"/>
        <v>27000</v>
      </c>
      <c r="S225" s="559"/>
    </row>
    <row r="226" spans="1:19" s="219" customFormat="1" ht="47.25" customHeight="1" thickBot="1">
      <c r="A226" s="545" t="s">
        <v>85</v>
      </c>
      <c r="B226" s="554" t="s">
        <v>86</v>
      </c>
      <c r="C226" s="560">
        <v>2024</v>
      </c>
      <c r="D226" s="555"/>
      <c r="E226" s="548"/>
      <c r="F226" s="548">
        <v>17800</v>
      </c>
      <c r="G226" s="556"/>
      <c r="H226" s="550">
        <f t="shared" si="212"/>
        <v>17800</v>
      </c>
      <c r="I226" s="1155"/>
      <c r="J226" s="554"/>
      <c r="K226" s="556"/>
      <c r="L226" s="555"/>
      <c r="M226" s="551"/>
      <c r="N226" s="554"/>
      <c r="O226" s="395">
        <f t="shared" si="208"/>
        <v>0</v>
      </c>
      <c r="P226" s="392">
        <f t="shared" si="209"/>
        <v>17800</v>
      </c>
      <c r="Q226" s="534">
        <f t="shared" si="210"/>
        <v>0</v>
      </c>
      <c r="R226" s="561">
        <f t="shared" si="211"/>
        <v>17800</v>
      </c>
      <c r="S226" s="559"/>
    </row>
    <row r="227" spans="1:19" s="219" customFormat="1" ht="101.25" customHeight="1" thickBot="1">
      <c r="A227" s="545" t="s">
        <v>87</v>
      </c>
      <c r="B227" s="562" t="s">
        <v>88</v>
      </c>
      <c r="C227" s="454">
        <v>2024</v>
      </c>
      <c r="D227" s="547"/>
      <c r="E227" s="548"/>
      <c r="F227" s="548">
        <v>492395</v>
      </c>
      <c r="G227" s="563"/>
      <c r="H227" s="550">
        <f t="shared" si="212"/>
        <v>492395</v>
      </c>
      <c r="I227" s="1156"/>
      <c r="J227" s="562"/>
      <c r="K227" s="563"/>
      <c r="L227" s="547"/>
      <c r="M227" s="551"/>
      <c r="N227" s="562"/>
      <c r="O227" s="377">
        <f t="shared" si="208"/>
        <v>0</v>
      </c>
      <c r="P227" s="383">
        <f t="shared" si="209"/>
        <v>492395</v>
      </c>
      <c r="Q227" s="520">
        <f t="shared" si="210"/>
        <v>0</v>
      </c>
      <c r="R227" s="552">
        <f t="shared" si="211"/>
        <v>492395</v>
      </c>
      <c r="S227" s="564"/>
    </row>
    <row r="228" spans="1:19" ht="16.5" thickBot="1">
      <c r="A228" s="44">
        <v>20</v>
      </c>
      <c r="B228" s="63" t="s">
        <v>89</v>
      </c>
      <c r="C228" s="46"/>
      <c r="D228" s="181"/>
      <c r="E228" s="174">
        <f t="shared" ref="E228" si="213">E229</f>
        <v>0</v>
      </c>
      <c r="F228" s="182">
        <f>F229</f>
        <v>10000</v>
      </c>
      <c r="G228" s="173">
        <f t="shared" ref="G228:H228" si="214">G229</f>
        <v>0</v>
      </c>
      <c r="H228" s="61">
        <f t="shared" si="214"/>
        <v>10000</v>
      </c>
      <c r="I228" s="197"/>
      <c r="J228" s="182">
        <f t="shared" ref="J228" si="215">J229</f>
        <v>0</v>
      </c>
      <c r="K228" s="173">
        <f>K229</f>
        <v>0</v>
      </c>
      <c r="L228" s="181">
        <f t="shared" ref="L228" si="216">L229</f>
        <v>0</v>
      </c>
      <c r="M228" s="126">
        <f t="shared" ref="M228" si="217">M229</f>
        <v>0</v>
      </c>
      <c r="N228" s="182"/>
      <c r="O228" s="173">
        <f>O229</f>
        <v>0</v>
      </c>
      <c r="P228" s="181">
        <f t="shared" ref="P228:R228" si="218">P229</f>
        <v>10000</v>
      </c>
      <c r="Q228" s="174">
        <f t="shared" si="218"/>
        <v>0</v>
      </c>
      <c r="R228" s="63">
        <f t="shared" si="218"/>
        <v>10000</v>
      </c>
      <c r="S228" s="196"/>
    </row>
    <row r="229" spans="1:19" s="219" customFormat="1" ht="57.75" customHeight="1" thickBot="1">
      <c r="A229" s="545" t="s">
        <v>48</v>
      </c>
      <c r="B229" s="548" t="s">
        <v>90</v>
      </c>
      <c r="C229" s="565">
        <v>2024</v>
      </c>
      <c r="D229" s="547"/>
      <c r="E229" s="548"/>
      <c r="F229" s="548">
        <v>10000</v>
      </c>
      <c r="G229" s="566"/>
      <c r="H229" s="550">
        <f>SUM(D229:G229)</f>
        <v>10000</v>
      </c>
      <c r="I229" s="1154" t="s">
        <v>408</v>
      </c>
      <c r="J229" s="547"/>
      <c r="K229" s="548"/>
      <c r="L229" s="567"/>
      <c r="M229" s="568">
        <f>L229+K229+J229</f>
        <v>0</v>
      </c>
      <c r="N229" s="569"/>
      <c r="O229" s="377">
        <f>E229+J229</f>
        <v>0</v>
      </c>
      <c r="P229" s="383">
        <f t="shared" ref="P229:P231" si="219">F229+K229</f>
        <v>10000</v>
      </c>
      <c r="Q229" s="520">
        <f>G229+L229</f>
        <v>0</v>
      </c>
      <c r="R229" s="552">
        <f>H229+M229</f>
        <v>10000</v>
      </c>
      <c r="S229" s="569"/>
    </row>
    <row r="230" spans="1:19" s="219" customFormat="1" ht="54" customHeight="1" thickBot="1">
      <c r="A230" s="545" t="s">
        <v>48</v>
      </c>
      <c r="B230" s="548" t="s">
        <v>90</v>
      </c>
      <c r="C230" s="565">
        <v>2025</v>
      </c>
      <c r="D230" s="570"/>
      <c r="E230" s="570"/>
      <c r="F230" s="570">
        <v>10000</v>
      </c>
      <c r="G230" s="570"/>
      <c r="H230" s="571">
        <f t="shared" ref="H230:H231" si="220">SUM(D230:G230)</f>
        <v>10000</v>
      </c>
      <c r="I230" s="1157"/>
      <c r="J230" s="572"/>
      <c r="K230" s="573"/>
      <c r="L230" s="567"/>
      <c r="M230" s="574">
        <f t="shared" ref="M230:M231" si="221">L230+K230+J230</f>
        <v>0</v>
      </c>
      <c r="N230" s="569"/>
      <c r="O230" s="575">
        <f t="shared" ref="O230:O231" si="222">E230+J230</f>
        <v>0</v>
      </c>
      <c r="P230" s="576">
        <f t="shared" si="219"/>
        <v>10000</v>
      </c>
      <c r="Q230" s="520">
        <f t="shared" ref="Q230:Q231" si="223">G230+L230</f>
        <v>0</v>
      </c>
      <c r="R230" s="552">
        <f>H230+M230</f>
        <v>10000</v>
      </c>
      <c r="S230" s="569"/>
    </row>
    <row r="231" spans="1:19" s="219" customFormat="1" ht="52.5" customHeight="1" thickBot="1">
      <c r="A231" s="545" t="s">
        <v>48</v>
      </c>
      <c r="B231" s="548" t="s">
        <v>90</v>
      </c>
      <c r="C231" s="577">
        <v>2026</v>
      </c>
      <c r="D231" s="578"/>
      <c r="E231" s="579"/>
      <c r="F231" s="572">
        <v>10000</v>
      </c>
      <c r="G231" s="580"/>
      <c r="H231" s="581">
        <f t="shared" si="220"/>
        <v>10000</v>
      </c>
      <c r="I231" s="1158"/>
      <c r="J231" s="572"/>
      <c r="K231" s="582"/>
      <c r="L231" s="567"/>
      <c r="M231" s="583">
        <f t="shared" si="221"/>
        <v>0</v>
      </c>
      <c r="N231" s="569"/>
      <c r="O231" s="575">
        <f t="shared" si="222"/>
        <v>0</v>
      </c>
      <c r="P231" s="576">
        <f t="shared" si="219"/>
        <v>10000</v>
      </c>
      <c r="Q231" s="520">
        <f t="shared" si="223"/>
        <v>0</v>
      </c>
      <c r="R231" s="552">
        <f>H231+M231</f>
        <v>10000</v>
      </c>
      <c r="S231" s="569"/>
    </row>
    <row r="232" spans="1:19" ht="16.5" thickBot="1">
      <c r="A232" s="44">
        <v>22</v>
      </c>
      <c r="B232" s="63" t="s">
        <v>334</v>
      </c>
      <c r="C232" s="46"/>
      <c r="D232" s="181"/>
      <c r="E232" s="174">
        <f>E233</f>
        <v>3100</v>
      </c>
      <c r="F232" s="182">
        <f t="shared" ref="F232:H232" si="224">F233</f>
        <v>58305</v>
      </c>
      <c r="G232" s="173">
        <f t="shared" si="224"/>
        <v>0</v>
      </c>
      <c r="H232" s="61">
        <f t="shared" si="224"/>
        <v>61405</v>
      </c>
      <c r="I232" s="197"/>
      <c r="J232" s="182">
        <f>J233</f>
        <v>0</v>
      </c>
      <c r="K232" s="173">
        <f t="shared" ref="K232:M232" si="225">K233</f>
        <v>0</v>
      </c>
      <c r="L232" s="181">
        <f t="shared" si="225"/>
        <v>65550</v>
      </c>
      <c r="M232" s="126">
        <f t="shared" si="225"/>
        <v>65550</v>
      </c>
      <c r="N232" s="182"/>
      <c r="O232" s="173"/>
      <c r="P232" s="181"/>
      <c r="Q232" s="174"/>
      <c r="R232" s="63"/>
      <c r="S232" s="196"/>
    </row>
    <row r="233" spans="1:19" s="219" customFormat="1" ht="48.75" customHeight="1">
      <c r="A233" s="545" t="s">
        <v>335</v>
      </c>
      <c r="B233" s="548" t="s">
        <v>336</v>
      </c>
      <c r="C233" s="565">
        <v>2024</v>
      </c>
      <c r="D233" s="547"/>
      <c r="E233" s="548">
        <v>3100</v>
      </c>
      <c r="F233" s="566">
        <v>58305</v>
      </c>
      <c r="G233" s="566"/>
      <c r="H233" s="550">
        <f>SUM(D233:G233)</f>
        <v>61405</v>
      </c>
      <c r="I233" s="1213" t="s">
        <v>337</v>
      </c>
      <c r="J233" s="826"/>
      <c r="K233" s="827"/>
      <c r="L233" s="567">
        <v>65550</v>
      </c>
      <c r="M233" s="828">
        <f>SUM(I233:L233)</f>
        <v>65550</v>
      </c>
      <c r="N233" s="1216" t="s">
        <v>338</v>
      </c>
      <c r="O233" s="103">
        <f>E233+J233</f>
        <v>3100</v>
      </c>
      <c r="P233" s="100">
        <f>F233+K233</f>
        <v>58305</v>
      </c>
      <c r="Q233" s="795">
        <f>G233+L233</f>
        <v>65550</v>
      </c>
      <c r="R233" s="829">
        <f>H233+M233</f>
        <v>126955</v>
      </c>
      <c r="S233" s="569"/>
    </row>
    <row r="234" spans="1:19" s="219" customFormat="1" ht="30.75" customHeight="1">
      <c r="A234" s="545" t="s">
        <v>335</v>
      </c>
      <c r="B234" s="548"/>
      <c r="C234" s="565">
        <v>2025</v>
      </c>
      <c r="D234" s="570"/>
      <c r="E234" s="570">
        <v>3100</v>
      </c>
      <c r="F234" s="570">
        <v>80875</v>
      </c>
      <c r="G234" s="570"/>
      <c r="H234" s="571">
        <f>SUM(D234:G234)</f>
        <v>83975</v>
      </c>
      <c r="I234" s="1214"/>
      <c r="J234" s="572"/>
      <c r="K234" s="830"/>
      <c r="L234" s="831">
        <v>66300</v>
      </c>
      <c r="M234" s="832">
        <f>SUM(I234:L234)</f>
        <v>66300</v>
      </c>
      <c r="N234" s="1217"/>
      <c r="O234" s="105">
        <f>E234+J234</f>
        <v>3100</v>
      </c>
      <c r="P234" s="100">
        <f t="shared" ref="P234:P235" si="226">F234+K234</f>
        <v>80875</v>
      </c>
      <c r="Q234" s="797">
        <f>G234+L234</f>
        <v>66300</v>
      </c>
      <c r="R234" s="833">
        <f>H234+M234</f>
        <v>150275</v>
      </c>
      <c r="S234" s="569"/>
    </row>
    <row r="235" spans="1:19" s="219" customFormat="1" ht="222" customHeight="1" thickBot="1">
      <c r="A235" s="545" t="s">
        <v>335</v>
      </c>
      <c r="B235" s="548"/>
      <c r="C235" s="834">
        <v>2026</v>
      </c>
      <c r="D235" s="578"/>
      <c r="E235" s="579">
        <v>3100</v>
      </c>
      <c r="F235" s="572">
        <v>150675</v>
      </c>
      <c r="G235" s="580"/>
      <c r="H235" s="581">
        <f t="shared" ref="H235" si="227">SUM(D235:G235)</f>
        <v>153775</v>
      </c>
      <c r="I235" s="1215"/>
      <c r="J235" s="835"/>
      <c r="K235" s="836"/>
      <c r="L235" s="837">
        <v>16400</v>
      </c>
      <c r="M235" s="838">
        <f t="shared" ref="M235" si="228">SUM(I235:L235)</f>
        <v>16400</v>
      </c>
      <c r="N235" s="1218"/>
      <c r="O235" s="109">
        <f t="shared" ref="O235" si="229">E235+J235</f>
        <v>3100</v>
      </c>
      <c r="P235" s="106">
        <f t="shared" si="226"/>
        <v>150675</v>
      </c>
      <c r="Q235" s="799">
        <f>G235+L235</f>
        <v>16400</v>
      </c>
      <c r="R235" s="839">
        <f>H235+M235</f>
        <v>170175</v>
      </c>
      <c r="S235" s="569"/>
    </row>
    <row r="236" spans="1:19" ht="16.5" thickBot="1">
      <c r="A236" s="44">
        <v>24</v>
      </c>
      <c r="B236" s="46" t="s">
        <v>91</v>
      </c>
      <c r="C236" s="46"/>
      <c r="D236" s="468">
        <f>D237</f>
        <v>10</v>
      </c>
      <c r="E236" s="469">
        <f>E237</f>
        <v>345900</v>
      </c>
      <c r="F236" s="469">
        <f t="shared" ref="F236:G236" si="230">F237</f>
        <v>44000</v>
      </c>
      <c r="G236" s="469">
        <f t="shared" si="230"/>
        <v>17000</v>
      </c>
      <c r="H236" s="471">
        <f>SUM(E236:G236)</f>
        <v>406900</v>
      </c>
      <c r="I236" s="472"/>
      <c r="J236" s="470">
        <f>J237</f>
        <v>0</v>
      </c>
      <c r="K236" s="470">
        <f t="shared" ref="K236:L236" si="231">K237</f>
        <v>0</v>
      </c>
      <c r="L236" s="470">
        <f t="shared" si="231"/>
        <v>74000</v>
      </c>
      <c r="M236" s="473">
        <f>SUM(J236:L236)</f>
        <v>74000</v>
      </c>
      <c r="N236" s="474"/>
      <c r="O236" s="173"/>
      <c r="P236" s="181"/>
      <c r="Q236" s="174"/>
      <c r="R236" s="125"/>
      <c r="S236" s="196"/>
    </row>
    <row r="237" spans="1:19" ht="15.75">
      <c r="A237" s="64"/>
      <c r="B237" s="47" t="s">
        <v>92</v>
      </c>
      <c r="C237" s="212">
        <v>2024</v>
      </c>
      <c r="D237" s="626">
        <f>5+5</f>
        <v>10</v>
      </c>
      <c r="E237" s="139">
        <v>345900</v>
      </c>
      <c r="F237" s="840">
        <v>44000</v>
      </c>
      <c r="G237" s="176">
        <v>17000</v>
      </c>
      <c r="H237" s="64">
        <f>G237+F237+E237</f>
        <v>406900</v>
      </c>
      <c r="I237" s="1168" t="s">
        <v>339</v>
      </c>
      <c r="J237" s="64"/>
      <c r="K237" s="629"/>
      <c r="L237" s="840">
        <f>60000+10000+4000</f>
        <v>74000</v>
      </c>
      <c r="M237" s="64">
        <f>L237+J237+K237</f>
        <v>74000</v>
      </c>
      <c r="N237" s="1302" t="s">
        <v>340</v>
      </c>
      <c r="O237" s="103">
        <f>E237+J237</f>
        <v>345900</v>
      </c>
      <c r="P237" s="100">
        <f>F237+K237</f>
        <v>44000</v>
      </c>
      <c r="Q237" s="114">
        <f>G237+L237</f>
        <v>91000</v>
      </c>
      <c r="R237" s="135">
        <f>H237+M237</f>
        <v>480900</v>
      </c>
      <c r="S237" s="200"/>
    </row>
    <row r="238" spans="1:19" ht="15.75">
      <c r="A238" s="64"/>
      <c r="B238" s="47"/>
      <c r="C238" s="213">
        <v>2025</v>
      </c>
      <c r="D238" s="626">
        <f>5+5</f>
        <v>10</v>
      </c>
      <c r="E238" s="180">
        <v>361500</v>
      </c>
      <c r="F238" s="841">
        <v>44000</v>
      </c>
      <c r="G238" s="99"/>
      <c r="H238" s="64">
        <f t="shared" ref="H238:H239" si="232">G238+F238+E238</f>
        <v>405500</v>
      </c>
      <c r="I238" s="1169"/>
      <c r="J238" s="64"/>
      <c r="K238" s="627"/>
      <c r="L238" s="841">
        <v>100000</v>
      </c>
      <c r="M238" s="64">
        <f t="shared" ref="M238:M239" si="233">L238+J238+K238</f>
        <v>100000</v>
      </c>
      <c r="N238" s="1303"/>
      <c r="O238" s="105">
        <f>E238+J238</f>
        <v>361500</v>
      </c>
      <c r="P238" s="100">
        <f t="shared" ref="P238:P239" si="234">F238+K238</f>
        <v>44000</v>
      </c>
      <c r="Q238" s="136">
        <f>G238+L238</f>
        <v>100000</v>
      </c>
      <c r="R238" s="154">
        <f>H238+M238</f>
        <v>505500</v>
      </c>
      <c r="S238" s="200"/>
    </row>
    <row r="239" spans="1:19" ht="16.5" thickBot="1">
      <c r="A239" s="65"/>
      <c r="B239" s="66"/>
      <c r="C239" s="16">
        <v>2026</v>
      </c>
      <c r="D239" s="626">
        <f>5+5</f>
        <v>10</v>
      </c>
      <c r="E239" s="281">
        <v>377100</v>
      </c>
      <c r="F239" s="841">
        <v>44000</v>
      </c>
      <c r="G239" s="99"/>
      <c r="H239" s="64">
        <f t="shared" si="232"/>
        <v>421100</v>
      </c>
      <c r="I239" s="1170"/>
      <c r="J239" s="64"/>
      <c r="K239" s="628"/>
      <c r="L239" s="841"/>
      <c r="M239" s="64">
        <f t="shared" si="233"/>
        <v>0</v>
      </c>
      <c r="N239" s="1304"/>
      <c r="O239" s="109">
        <f t="shared" ref="O239" si="235">E239+J239</f>
        <v>377100</v>
      </c>
      <c r="P239" s="106">
        <f t="shared" si="234"/>
        <v>44000</v>
      </c>
      <c r="Q239" s="116">
        <f>G239</f>
        <v>0</v>
      </c>
      <c r="R239" s="155">
        <f>H239+M239</f>
        <v>421100</v>
      </c>
      <c r="S239" s="201"/>
    </row>
    <row r="240" spans="1:19" ht="16.5" thickBot="1">
      <c r="A240" s="44">
        <v>26</v>
      </c>
      <c r="B240" s="6" t="s">
        <v>93</v>
      </c>
      <c r="C240" s="6"/>
      <c r="D240" s="181">
        <f>D241+D244+D247+D250</f>
        <v>0</v>
      </c>
      <c r="E240" s="181">
        <f>E241+E244+E247+E250</f>
        <v>0</v>
      </c>
      <c r="F240" s="181">
        <f>F241+F244+F247+F250</f>
        <v>457350</v>
      </c>
      <c r="G240" s="181">
        <f>G241+G244+G247+G250</f>
        <v>5500</v>
      </c>
      <c r="H240" s="181">
        <f t="shared" ref="H240" si="236">H241+H244+H247+H250</f>
        <v>462850</v>
      </c>
      <c r="I240" s="197"/>
      <c r="J240" s="178">
        <f t="shared" ref="J240" si="237">J241+J244+J247+J250</f>
        <v>0</v>
      </c>
      <c r="K240" s="178">
        <f t="shared" ref="K240" si="238">K241+K244+K247+K250</f>
        <v>350000</v>
      </c>
      <c r="L240" s="181">
        <f>L241+L244+L247+L250</f>
        <v>271023</v>
      </c>
      <c r="M240" s="126">
        <f t="shared" ref="M240" si="239">M241+M244+M247+M250</f>
        <v>621023</v>
      </c>
      <c r="N240" s="190"/>
      <c r="O240" s="178">
        <f t="shared" ref="O240" si="240">O241+O244+O247+O250</f>
        <v>0</v>
      </c>
      <c r="P240" s="181">
        <f t="shared" ref="P240" si="241">P241+P244+P247+P250</f>
        <v>807350</v>
      </c>
      <c r="Q240" s="174">
        <f t="shared" ref="Q240" si="242">Q241+Q244+Q247+Q250</f>
        <v>276523</v>
      </c>
      <c r="R240" s="130">
        <f t="shared" ref="R240" si="243">R241+R244+R247+R250</f>
        <v>1083873</v>
      </c>
      <c r="S240" s="190"/>
    </row>
    <row r="241" spans="1:20" ht="15.75">
      <c r="A241" s="1193" t="s">
        <v>48</v>
      </c>
      <c r="B241" s="1236" t="s">
        <v>18</v>
      </c>
      <c r="C241" s="212">
        <v>2024</v>
      </c>
      <c r="D241" s="283"/>
      <c r="E241" s="283">
        <v>0</v>
      </c>
      <c r="F241" s="283">
        <v>0</v>
      </c>
      <c r="G241" s="51">
        <v>0</v>
      </c>
      <c r="H241" s="283">
        <f>G241+F241+E241</f>
        <v>0</v>
      </c>
      <c r="I241" s="1193"/>
      <c r="J241" s="283"/>
      <c r="K241" s="51"/>
      <c r="L241" s="283"/>
      <c r="M241" s="283"/>
      <c r="N241" s="1236"/>
      <c r="O241" s="74">
        <f>E241+J241</f>
        <v>0</v>
      </c>
      <c r="P241" s="323">
        <f t="shared" ref="P241:P252" si="244">F241+K241</f>
        <v>0</v>
      </c>
      <c r="Q241" s="323">
        <f>G241+L241</f>
        <v>0</v>
      </c>
      <c r="R241" s="283">
        <f>H241+M241</f>
        <v>0</v>
      </c>
      <c r="S241" s="51"/>
      <c r="T241" s="51"/>
    </row>
    <row r="242" spans="1:20" ht="15.75">
      <c r="A242" s="1194"/>
      <c r="B242" s="1237"/>
      <c r="C242" s="213">
        <v>2025</v>
      </c>
      <c r="D242" s="287"/>
      <c r="E242" s="287"/>
      <c r="F242" s="287"/>
      <c r="G242" s="52"/>
      <c r="H242" s="287"/>
      <c r="I242" s="1194"/>
      <c r="J242" s="287"/>
      <c r="K242" s="52"/>
      <c r="L242" s="287"/>
      <c r="M242" s="287"/>
      <c r="N242" s="1237"/>
      <c r="O242" s="199">
        <f t="shared" ref="O242:O252" si="245">E242+J242</f>
        <v>0</v>
      </c>
      <c r="P242" s="275">
        <f t="shared" si="244"/>
        <v>0</v>
      </c>
      <c r="Q242" s="275">
        <f t="shared" ref="Q242:Q251" si="246">G242+L242</f>
        <v>0</v>
      </c>
      <c r="R242" s="287">
        <f t="shared" ref="R242:R251" si="247">H242+M242</f>
        <v>0</v>
      </c>
      <c r="S242" s="52"/>
      <c r="T242" s="52"/>
    </row>
    <row r="243" spans="1:20" ht="16.5" thickBot="1">
      <c r="A243" s="1195"/>
      <c r="B243" s="1238"/>
      <c r="C243" s="16">
        <v>2026</v>
      </c>
      <c r="D243" s="295"/>
      <c r="E243" s="295"/>
      <c r="F243" s="295"/>
      <c r="G243" s="498"/>
      <c r="H243" s="295"/>
      <c r="I243" s="1195"/>
      <c r="J243" s="295"/>
      <c r="K243" s="498"/>
      <c r="L243" s="295"/>
      <c r="M243" s="295"/>
      <c r="N243" s="1238"/>
      <c r="O243" s="625">
        <f t="shared" si="245"/>
        <v>0</v>
      </c>
      <c r="P243" s="649">
        <f t="shared" si="244"/>
        <v>0</v>
      </c>
      <c r="Q243" s="649">
        <f t="shared" si="246"/>
        <v>0</v>
      </c>
      <c r="R243" s="295">
        <f t="shared" si="247"/>
        <v>0</v>
      </c>
      <c r="S243" s="498"/>
      <c r="T243" s="498"/>
    </row>
    <row r="244" spans="1:20" ht="15.75" customHeight="1">
      <c r="A244" s="1193" t="s">
        <v>94</v>
      </c>
      <c r="B244" s="1308" t="s">
        <v>95</v>
      </c>
      <c r="C244" s="212">
        <v>2024</v>
      </c>
      <c r="D244" s="283"/>
      <c r="E244" s="283">
        <v>0</v>
      </c>
      <c r="F244" s="283">
        <v>0</v>
      </c>
      <c r="G244" s="51">
        <v>0</v>
      </c>
      <c r="H244" s="283">
        <v>0</v>
      </c>
      <c r="I244" s="1314"/>
      <c r="J244" s="283"/>
      <c r="K244" s="51"/>
      <c r="L244" s="621">
        <v>96023</v>
      </c>
      <c r="M244" s="284">
        <f>SUM(J244:L244)</f>
        <v>96023</v>
      </c>
      <c r="N244" s="1236" t="s">
        <v>414</v>
      </c>
      <c r="O244" s="74">
        <f t="shared" si="245"/>
        <v>0</v>
      </c>
      <c r="P244" s="323">
        <f t="shared" si="244"/>
        <v>0</v>
      </c>
      <c r="Q244" s="274">
        <f>G244+L244</f>
        <v>96023</v>
      </c>
      <c r="R244" s="284">
        <f t="shared" si="247"/>
        <v>96023</v>
      </c>
      <c r="S244" s="51"/>
      <c r="T244" s="51"/>
    </row>
    <row r="245" spans="1:20" ht="15.75">
      <c r="A245" s="1194"/>
      <c r="B245" s="1309"/>
      <c r="C245" s="213">
        <v>2025</v>
      </c>
      <c r="D245" s="287"/>
      <c r="E245" s="287"/>
      <c r="F245" s="287"/>
      <c r="G245" s="52"/>
      <c r="H245" s="287">
        <v>0</v>
      </c>
      <c r="I245" s="1315"/>
      <c r="J245" s="287"/>
      <c r="K245" s="52"/>
      <c r="L245" s="287"/>
      <c r="M245" s="287"/>
      <c r="N245" s="1237"/>
      <c r="O245" s="199">
        <f t="shared" si="245"/>
        <v>0</v>
      </c>
      <c r="P245" s="275">
        <f t="shared" si="244"/>
        <v>0</v>
      </c>
      <c r="Q245" s="199">
        <f t="shared" si="246"/>
        <v>0</v>
      </c>
      <c r="R245" s="287">
        <f t="shared" si="247"/>
        <v>0</v>
      </c>
      <c r="S245" s="52"/>
      <c r="T245" s="52"/>
    </row>
    <row r="246" spans="1:20" ht="16.5" thickBot="1">
      <c r="A246" s="1195"/>
      <c r="B246" s="1310"/>
      <c r="C246" s="16">
        <v>2026</v>
      </c>
      <c r="D246" s="295"/>
      <c r="E246" s="295"/>
      <c r="F246" s="295"/>
      <c r="G246" s="498"/>
      <c r="H246" s="295">
        <v>0</v>
      </c>
      <c r="I246" s="1316"/>
      <c r="J246" s="295"/>
      <c r="K246" s="498"/>
      <c r="L246" s="295"/>
      <c r="M246" s="295"/>
      <c r="N246" s="1238"/>
      <c r="O246" s="625">
        <f t="shared" si="245"/>
        <v>0</v>
      </c>
      <c r="P246" s="649">
        <f t="shared" si="244"/>
        <v>0</v>
      </c>
      <c r="Q246" s="625">
        <f t="shared" si="246"/>
        <v>0</v>
      </c>
      <c r="R246" s="295">
        <f t="shared" si="247"/>
        <v>0</v>
      </c>
      <c r="S246" s="498"/>
      <c r="T246" s="498"/>
    </row>
    <row r="247" spans="1:20" ht="15.75" customHeight="1">
      <c r="A247" s="1193" t="s">
        <v>32</v>
      </c>
      <c r="B247" s="1236" t="s">
        <v>96</v>
      </c>
      <c r="C247" s="212">
        <v>2024</v>
      </c>
      <c r="D247" s="283"/>
      <c r="E247" s="131"/>
      <c r="F247" s="131"/>
      <c r="G247" s="132">
        <v>5500</v>
      </c>
      <c r="H247" s="132">
        <f>G247+F247+E247</f>
        <v>5500</v>
      </c>
      <c r="I247" s="1314" t="s">
        <v>415</v>
      </c>
      <c r="J247" s="283"/>
      <c r="K247" s="51"/>
      <c r="L247" s="497">
        <v>150000</v>
      </c>
      <c r="M247" s="284">
        <f>SUM(J247:L247)</f>
        <v>150000</v>
      </c>
      <c r="N247" s="1311" t="s">
        <v>413</v>
      </c>
      <c r="O247" s="74">
        <f t="shared" si="245"/>
        <v>0</v>
      </c>
      <c r="P247" s="323">
        <f t="shared" si="244"/>
        <v>0</v>
      </c>
      <c r="Q247" s="274">
        <f>G247+L247</f>
        <v>155500</v>
      </c>
      <c r="R247" s="284">
        <f t="shared" si="247"/>
        <v>155500</v>
      </c>
      <c r="S247" s="51"/>
      <c r="T247" s="51"/>
    </row>
    <row r="248" spans="1:20" ht="15.75">
      <c r="A248" s="1194"/>
      <c r="B248" s="1237"/>
      <c r="C248" s="213">
        <v>2025</v>
      </c>
      <c r="D248" s="287"/>
      <c r="E248" s="133"/>
      <c r="F248" s="133"/>
      <c r="G248" s="134"/>
      <c r="H248" s="134">
        <f t="shared" ref="H248:H249" si="248">G248+F248+E248</f>
        <v>0</v>
      </c>
      <c r="I248" s="1315"/>
      <c r="J248" s="287"/>
      <c r="K248" s="52"/>
      <c r="L248" s="276"/>
      <c r="M248" s="287"/>
      <c r="N248" s="1312"/>
      <c r="O248" s="199">
        <f t="shared" si="245"/>
        <v>0</v>
      </c>
      <c r="P248" s="275">
        <f t="shared" si="244"/>
        <v>0</v>
      </c>
      <c r="Q248" s="199">
        <f t="shared" si="246"/>
        <v>0</v>
      </c>
      <c r="R248" s="287">
        <f t="shared" si="247"/>
        <v>0</v>
      </c>
      <c r="S248" s="52"/>
      <c r="T248" s="52"/>
    </row>
    <row r="249" spans="1:20" ht="16.5" thickBot="1">
      <c r="A249" s="1195"/>
      <c r="B249" s="1238"/>
      <c r="C249" s="16">
        <v>2026</v>
      </c>
      <c r="D249" s="295"/>
      <c r="E249" s="995"/>
      <c r="F249" s="995"/>
      <c r="G249" s="280"/>
      <c r="H249" s="280">
        <f t="shared" si="248"/>
        <v>0</v>
      </c>
      <c r="I249" s="1316"/>
      <c r="J249" s="295"/>
      <c r="K249" s="498"/>
      <c r="L249" s="500"/>
      <c r="M249" s="295"/>
      <c r="N249" s="1313"/>
      <c r="O249" s="625">
        <f t="shared" si="245"/>
        <v>0</v>
      </c>
      <c r="P249" s="649">
        <f t="shared" si="244"/>
        <v>0</v>
      </c>
      <c r="Q249" s="625">
        <f t="shared" si="246"/>
        <v>0</v>
      </c>
      <c r="R249" s="295">
        <f t="shared" si="247"/>
        <v>0</v>
      </c>
      <c r="S249" s="498"/>
      <c r="T249" s="498"/>
    </row>
    <row r="250" spans="1:20" ht="29.25" customHeight="1">
      <c r="A250" s="1193" t="s">
        <v>97</v>
      </c>
      <c r="B250" s="1308" t="s">
        <v>98</v>
      </c>
      <c r="C250" s="212">
        <v>2024</v>
      </c>
      <c r="D250" s="283"/>
      <c r="E250" s="283">
        <v>0</v>
      </c>
      <c r="F250" s="131">
        <f>150000+300000+7350</f>
        <v>457350</v>
      </c>
      <c r="G250" s="131">
        <v>0</v>
      </c>
      <c r="H250" s="131">
        <f>SUM(E250:G250)</f>
        <v>457350</v>
      </c>
      <c r="I250" s="1382" t="s">
        <v>416</v>
      </c>
      <c r="J250" s="283"/>
      <c r="K250" s="131">
        <v>350000</v>
      </c>
      <c r="L250" s="497">
        <v>25000</v>
      </c>
      <c r="M250" s="284">
        <f>SUM(J250:L250)</f>
        <v>375000</v>
      </c>
      <c r="N250" s="1311" t="s">
        <v>417</v>
      </c>
      <c r="O250" s="74">
        <f t="shared" si="245"/>
        <v>0</v>
      </c>
      <c r="P250" s="323">
        <f t="shared" si="244"/>
        <v>807350</v>
      </c>
      <c r="Q250" s="274">
        <f>G250+L250</f>
        <v>25000</v>
      </c>
      <c r="R250" s="284">
        <f t="shared" si="247"/>
        <v>832350</v>
      </c>
      <c r="S250" s="51"/>
      <c r="T250" s="51"/>
    </row>
    <row r="251" spans="1:20" ht="21" customHeight="1">
      <c r="A251" s="1194"/>
      <c r="B251" s="1309"/>
      <c r="C251" s="213">
        <v>2025</v>
      </c>
      <c r="D251" s="287"/>
      <c r="E251" s="287"/>
      <c r="F251" s="287"/>
      <c r="G251" s="52"/>
      <c r="H251" s="287"/>
      <c r="I251" s="1383"/>
      <c r="J251" s="287"/>
      <c r="K251" s="52"/>
      <c r="L251" s="276">
        <v>25000</v>
      </c>
      <c r="M251" s="288">
        <f>SUM(J251:L251)</f>
        <v>25000</v>
      </c>
      <c r="N251" s="1312"/>
      <c r="O251" s="199">
        <f t="shared" si="245"/>
        <v>0</v>
      </c>
      <c r="P251" s="275">
        <f t="shared" si="244"/>
        <v>0</v>
      </c>
      <c r="Q251" s="277">
        <f t="shared" si="246"/>
        <v>25000</v>
      </c>
      <c r="R251" s="288">
        <f t="shared" si="247"/>
        <v>25000</v>
      </c>
      <c r="S251" s="52"/>
      <c r="T251" s="52"/>
    </row>
    <row r="252" spans="1:20" ht="39" customHeight="1" thickBot="1">
      <c r="A252" s="1195"/>
      <c r="B252" s="1310"/>
      <c r="C252" s="16">
        <v>2026</v>
      </c>
      <c r="D252" s="295"/>
      <c r="E252" s="295"/>
      <c r="F252" s="295"/>
      <c r="G252" s="498"/>
      <c r="H252" s="295"/>
      <c r="I252" s="1384"/>
      <c r="J252" s="295"/>
      <c r="K252" s="498"/>
      <c r="L252" s="500">
        <v>20000</v>
      </c>
      <c r="M252" s="296"/>
      <c r="N252" s="1313"/>
      <c r="O252" s="625">
        <f t="shared" si="245"/>
        <v>0</v>
      </c>
      <c r="P252" s="649">
        <f t="shared" si="244"/>
        <v>0</v>
      </c>
      <c r="Q252" s="281">
        <f>G252+L252</f>
        <v>20000</v>
      </c>
      <c r="R252" s="995">
        <f>Q252+P252+O252</f>
        <v>20000</v>
      </c>
      <c r="S252" s="498"/>
      <c r="T252" s="498"/>
    </row>
    <row r="253" spans="1:20" ht="16.5" thickBot="1">
      <c r="A253" s="44">
        <v>31</v>
      </c>
      <c r="B253" s="46" t="s">
        <v>204</v>
      </c>
      <c r="C253" s="46"/>
      <c r="D253" s="181"/>
      <c r="E253" s="174">
        <f>E254</f>
        <v>0</v>
      </c>
      <c r="F253" s="174">
        <f t="shared" ref="F253:H253" si="249">F254</f>
        <v>3700</v>
      </c>
      <c r="G253" s="174">
        <f t="shared" si="249"/>
        <v>15000</v>
      </c>
      <c r="H253" s="174">
        <f t="shared" si="249"/>
        <v>18700</v>
      </c>
      <c r="I253" s="197"/>
      <c r="J253" s="173"/>
      <c r="K253" s="173"/>
      <c r="L253" s="181"/>
      <c r="M253" s="126"/>
      <c r="N253" s="196"/>
      <c r="O253" s="173"/>
      <c r="P253" s="181"/>
      <c r="Q253" s="174"/>
      <c r="R253" s="125"/>
      <c r="S253" s="196"/>
    </row>
    <row r="254" spans="1:20" ht="15.75" customHeight="1">
      <c r="A254" s="64"/>
      <c r="B254" s="47" t="s">
        <v>205</v>
      </c>
      <c r="C254" s="212">
        <v>2024</v>
      </c>
      <c r="D254" s="99"/>
      <c r="E254" s="64"/>
      <c r="F254" s="842">
        <v>3700</v>
      </c>
      <c r="G254" s="840">
        <v>15000</v>
      </c>
      <c r="H254" s="64">
        <f>+E254+F254+G254</f>
        <v>18700</v>
      </c>
      <c r="I254" s="1168" t="s">
        <v>341</v>
      </c>
      <c r="J254" s="64"/>
      <c r="K254" s="629"/>
      <c r="L254" s="840">
        <v>9000</v>
      </c>
      <c r="M254" s="64">
        <f t="shared" ref="M254:M255" si="250">J254+K254+L254</f>
        <v>9000</v>
      </c>
      <c r="N254" s="1302" t="s">
        <v>342</v>
      </c>
      <c r="O254" s="103">
        <f>E254+J254</f>
        <v>0</v>
      </c>
      <c r="P254" s="100">
        <f t="shared" ref="P254:P256" si="251">F254+K254</f>
        <v>3700</v>
      </c>
      <c r="Q254" s="114">
        <f>G254+L254</f>
        <v>24000</v>
      </c>
      <c r="R254" s="135">
        <f>M254+H254</f>
        <v>27700</v>
      </c>
      <c r="S254" s="631"/>
    </row>
    <row r="255" spans="1:20" ht="15.75">
      <c r="A255" s="64"/>
      <c r="B255" s="47"/>
      <c r="C255" s="213">
        <v>2025</v>
      </c>
      <c r="D255" s="99"/>
      <c r="E255" s="64"/>
      <c r="F255" s="843">
        <v>2400</v>
      </c>
      <c r="G255" s="840">
        <v>15000</v>
      </c>
      <c r="H255" s="64">
        <f t="shared" ref="H255:H256" si="252">+E255+F255+G255</f>
        <v>17400</v>
      </c>
      <c r="I255" s="1169"/>
      <c r="J255" s="64"/>
      <c r="K255" s="627"/>
      <c r="L255" s="841">
        <v>0</v>
      </c>
      <c r="M255" s="64">
        <f t="shared" si="250"/>
        <v>0</v>
      </c>
      <c r="N255" s="1303"/>
      <c r="O255" s="105">
        <f t="shared" ref="O255:O256" si="253">E255+J255</f>
        <v>0</v>
      </c>
      <c r="P255" s="100">
        <f t="shared" si="251"/>
        <v>2400</v>
      </c>
      <c r="Q255" s="136">
        <f t="shared" ref="Q255:Q256" si="254">G255+L255</f>
        <v>15000</v>
      </c>
      <c r="R255" s="154">
        <f>M255+H255</f>
        <v>17400</v>
      </c>
      <c r="S255" s="194"/>
    </row>
    <row r="256" spans="1:20" ht="16.5" thickBot="1">
      <c r="A256" s="65"/>
      <c r="B256" s="66"/>
      <c r="C256" s="16">
        <v>2026</v>
      </c>
      <c r="D256" s="99"/>
      <c r="E256" s="64"/>
      <c r="F256" s="630">
        <v>2500</v>
      </c>
      <c r="G256" s="840">
        <v>10000</v>
      </c>
      <c r="H256" s="64">
        <f t="shared" si="252"/>
        <v>12500</v>
      </c>
      <c r="I256" s="1170"/>
      <c r="J256" s="64"/>
      <c r="K256" s="628"/>
      <c r="L256" s="841">
        <v>0</v>
      </c>
      <c r="M256" s="64">
        <f>J256+K256+L256</f>
        <v>0</v>
      </c>
      <c r="N256" s="1304"/>
      <c r="O256" s="109">
        <f t="shared" si="253"/>
        <v>0</v>
      </c>
      <c r="P256" s="106">
        <f t="shared" si="251"/>
        <v>2500</v>
      </c>
      <c r="Q256" s="116">
        <f t="shared" si="254"/>
        <v>10000</v>
      </c>
      <c r="R256" s="155">
        <f t="shared" ref="R256" si="255">M256+H256</f>
        <v>12500</v>
      </c>
      <c r="S256" s="195"/>
    </row>
    <row r="257" spans="1:20" s="219" customFormat="1" ht="16.5" thickBot="1">
      <c r="A257" s="48">
        <v>50</v>
      </c>
      <c r="B257" s="17" t="s">
        <v>99</v>
      </c>
      <c r="C257" s="18"/>
      <c r="D257" s="181"/>
      <c r="E257" s="177">
        <f>E258</f>
        <v>289450</v>
      </c>
      <c r="F257" s="177">
        <f t="shared" ref="F257:G257" si="256">F258</f>
        <v>81794</v>
      </c>
      <c r="G257" s="177">
        <f t="shared" si="256"/>
        <v>500</v>
      </c>
      <c r="H257" s="61">
        <f>SUM(E257:G257)</f>
        <v>371744</v>
      </c>
      <c r="I257" s="198"/>
      <c r="J257" s="161">
        <f>J258</f>
        <v>0</v>
      </c>
      <c r="K257" s="161">
        <f t="shared" ref="K257:L257" si="257">K258</f>
        <v>0</v>
      </c>
      <c r="L257" s="161">
        <f t="shared" si="257"/>
        <v>0</v>
      </c>
      <c r="M257" s="127">
        <f>SUM(J257:L257)</f>
        <v>0</v>
      </c>
      <c r="N257" s="192"/>
      <c r="O257" s="162"/>
      <c r="P257" s="181"/>
      <c r="Q257" s="177"/>
      <c r="R257" s="112"/>
      <c r="S257" s="193"/>
      <c r="T257" s="729"/>
    </row>
    <row r="258" spans="1:20" s="219" customFormat="1" ht="37.5" customHeight="1">
      <c r="A258" s="517">
        <v>1320</v>
      </c>
      <c r="B258" s="442" t="s">
        <v>100</v>
      </c>
      <c r="C258" s="439">
        <v>2024</v>
      </c>
      <c r="D258" s="584" t="s">
        <v>395</v>
      </c>
      <c r="E258" s="720">
        <v>289450</v>
      </c>
      <c r="F258" s="720">
        <v>81794</v>
      </c>
      <c r="G258" s="586">
        <v>500</v>
      </c>
      <c r="H258" s="720">
        <f>E258+F258+G258</f>
        <v>371744</v>
      </c>
      <c r="I258" s="1391" t="s">
        <v>396</v>
      </c>
      <c r="J258" s="723"/>
      <c r="K258" s="377"/>
      <c r="L258" s="586"/>
      <c r="M258" s="586">
        <f>J258+K258+L258</f>
        <v>0</v>
      </c>
      <c r="N258" s="1394"/>
      <c r="O258" s="377">
        <f>E258+J258</f>
        <v>289450</v>
      </c>
      <c r="P258" s="383">
        <f t="shared" ref="P258" si="258">F258+K258</f>
        <v>81794</v>
      </c>
      <c r="Q258" s="520">
        <f t="shared" ref="Q258:R260" si="259">G258+L258</f>
        <v>500</v>
      </c>
      <c r="R258" s="552">
        <f t="shared" si="259"/>
        <v>371744</v>
      </c>
      <c r="S258" s="502"/>
    </row>
    <row r="259" spans="1:20" s="219" customFormat="1" ht="43.5" customHeight="1">
      <c r="A259" s="449">
        <v>1320</v>
      </c>
      <c r="B259" s="450"/>
      <c r="C259" s="447">
        <v>2025</v>
      </c>
      <c r="D259" s="502" t="s">
        <v>397</v>
      </c>
      <c r="E259" s="721">
        <v>169554</v>
      </c>
      <c r="F259" s="721">
        <v>38546</v>
      </c>
      <c r="G259" s="587">
        <v>4530</v>
      </c>
      <c r="H259" s="721">
        <f t="shared" ref="H259:H260" si="260">E259+F259+G259</f>
        <v>212630</v>
      </c>
      <c r="I259" s="1392"/>
      <c r="J259" s="724"/>
      <c r="K259" s="386"/>
      <c r="L259" s="587"/>
      <c r="M259" s="587">
        <f t="shared" ref="M259:M260" si="261">J259+K259+L259</f>
        <v>0</v>
      </c>
      <c r="N259" s="1395"/>
      <c r="O259" s="386">
        <f t="shared" ref="O259:O260" si="262">E259+J259</f>
        <v>169554</v>
      </c>
      <c r="P259" s="383">
        <f t="shared" ref="P259:P260" si="263">F259+K259</f>
        <v>38546</v>
      </c>
      <c r="Q259" s="557">
        <f t="shared" si="259"/>
        <v>4530</v>
      </c>
      <c r="R259" s="558">
        <f t="shared" si="259"/>
        <v>212630</v>
      </c>
      <c r="S259" s="504"/>
    </row>
    <row r="260" spans="1:20" s="219" customFormat="1" ht="63.75" customHeight="1" thickBot="1">
      <c r="A260" s="456">
        <v>1320</v>
      </c>
      <c r="B260" s="457"/>
      <c r="C260" s="588">
        <v>2026</v>
      </c>
      <c r="D260" s="589"/>
      <c r="E260" s="722">
        <v>184589</v>
      </c>
      <c r="F260" s="722">
        <v>31710</v>
      </c>
      <c r="G260" s="590">
        <v>30</v>
      </c>
      <c r="H260" s="722">
        <f t="shared" si="260"/>
        <v>216329</v>
      </c>
      <c r="I260" s="1393"/>
      <c r="J260" s="725"/>
      <c r="K260" s="395"/>
      <c r="L260" s="590"/>
      <c r="M260" s="590">
        <f t="shared" si="261"/>
        <v>0</v>
      </c>
      <c r="N260" s="1396"/>
      <c r="O260" s="395">
        <f t="shared" si="262"/>
        <v>184589</v>
      </c>
      <c r="P260" s="392">
        <f t="shared" si="263"/>
        <v>31710</v>
      </c>
      <c r="Q260" s="534">
        <f t="shared" si="259"/>
        <v>30</v>
      </c>
      <c r="R260" s="561">
        <f t="shared" si="259"/>
        <v>216329</v>
      </c>
      <c r="S260" s="507"/>
    </row>
    <row r="261" spans="1:20" ht="16.5" thickBot="1">
      <c r="A261" s="44">
        <v>55</v>
      </c>
      <c r="B261" s="46" t="s">
        <v>101</v>
      </c>
      <c r="C261" s="46"/>
      <c r="D261" s="181">
        <f>D262</f>
        <v>1</v>
      </c>
      <c r="E261" s="181">
        <f t="shared" ref="E261:G261" si="264">E262</f>
        <v>0</v>
      </c>
      <c r="F261" s="181">
        <f t="shared" si="264"/>
        <v>86006</v>
      </c>
      <c r="G261" s="181">
        <f t="shared" si="264"/>
        <v>0</v>
      </c>
      <c r="H261" s="61">
        <f t="shared" ref="H261:H278" si="265">SUM(E261:G261)</f>
        <v>86006</v>
      </c>
      <c r="I261" s="197"/>
      <c r="J261" s="173">
        <f>J262</f>
        <v>10666</v>
      </c>
      <c r="K261" s="173">
        <f t="shared" ref="K261:L261" si="266">K262</f>
        <v>0</v>
      </c>
      <c r="L261" s="173">
        <f t="shared" si="266"/>
        <v>192025</v>
      </c>
      <c r="M261" s="126">
        <f t="shared" ref="M261:M278" si="267">SUM(J261:L261)</f>
        <v>202691</v>
      </c>
      <c r="N261" s="196"/>
      <c r="O261" s="173"/>
      <c r="P261" s="181"/>
      <c r="Q261" s="174"/>
      <c r="R261" s="125"/>
      <c r="S261" s="196"/>
    </row>
    <row r="262" spans="1:20" ht="23.25" customHeight="1" thickBot="1">
      <c r="A262" s="1308"/>
      <c r="B262" s="1388" t="s">
        <v>102</v>
      </c>
      <c r="C262" s="212">
        <v>2024</v>
      </c>
      <c r="D262" s="297">
        <v>1</v>
      </c>
      <c r="E262" s="64">
        <v>0</v>
      </c>
      <c r="F262" s="47">
        <v>86006</v>
      </c>
      <c r="G262" s="47">
        <v>0</v>
      </c>
      <c r="H262" s="132">
        <f t="shared" si="265"/>
        <v>86006</v>
      </c>
      <c r="I262" s="1329" t="s">
        <v>291</v>
      </c>
      <c r="J262" s="298">
        <v>10666</v>
      </c>
      <c r="K262" s="299"/>
      <c r="L262" s="298">
        <v>192025</v>
      </c>
      <c r="M262" s="150">
        <f>SUM(J262:L262)</f>
        <v>202691</v>
      </c>
      <c r="N262" s="1332" t="s">
        <v>292</v>
      </c>
      <c r="O262" s="274">
        <f>J262+E262</f>
        <v>10666</v>
      </c>
      <c r="P262" s="274">
        <f t="shared" ref="P262" si="268">K262+F262</f>
        <v>86006</v>
      </c>
      <c r="Q262" s="274">
        <f>L262+G262</f>
        <v>192025</v>
      </c>
      <c r="R262" s="613">
        <f>M262+H262</f>
        <v>288697</v>
      </c>
      <c r="S262" s="51"/>
    </row>
    <row r="263" spans="1:20" ht="27" customHeight="1" thickBot="1">
      <c r="A263" s="1309"/>
      <c r="B263" s="1389"/>
      <c r="C263" s="213">
        <v>2025</v>
      </c>
      <c r="D263" s="297">
        <v>1</v>
      </c>
      <c r="E263" s="64">
        <v>0</v>
      </c>
      <c r="F263" s="47">
        <v>159761</v>
      </c>
      <c r="G263" s="47">
        <v>0</v>
      </c>
      <c r="H263" s="134">
        <f t="shared" si="265"/>
        <v>159761</v>
      </c>
      <c r="I263" s="1330"/>
      <c r="J263" s="298">
        <v>12082</v>
      </c>
      <c r="K263" s="299"/>
      <c r="L263" s="298">
        <v>192000</v>
      </c>
      <c r="M263" s="150">
        <f>SUM(J263:L263)</f>
        <v>204082</v>
      </c>
      <c r="N263" s="1333"/>
      <c r="O263" s="274">
        <f>J263+E263</f>
        <v>12082</v>
      </c>
      <c r="P263" s="274">
        <f t="shared" ref="P263:P264" si="269">K263+F263</f>
        <v>159761</v>
      </c>
      <c r="Q263" s="274">
        <f t="shared" ref="Q263:Q264" si="270">L263+G263</f>
        <v>192000</v>
      </c>
      <c r="R263" s="613">
        <f>M263+H263</f>
        <v>363843</v>
      </c>
      <c r="S263" s="52"/>
    </row>
    <row r="264" spans="1:20" ht="30.75" customHeight="1" thickBot="1">
      <c r="A264" s="1310"/>
      <c r="B264" s="1390"/>
      <c r="C264" s="16">
        <v>2026</v>
      </c>
      <c r="D264" s="297"/>
      <c r="E264" s="65">
        <v>0</v>
      </c>
      <c r="F264" s="66">
        <v>163868</v>
      </c>
      <c r="G264" s="66">
        <v>0</v>
      </c>
      <c r="H264" s="280">
        <f t="shared" si="265"/>
        <v>163868</v>
      </c>
      <c r="I264" s="1331"/>
      <c r="J264" s="298">
        <v>12341</v>
      </c>
      <c r="K264" s="300"/>
      <c r="L264" s="301">
        <v>192000</v>
      </c>
      <c r="M264" s="157">
        <f>SUM(J264:L264)</f>
        <v>204341</v>
      </c>
      <c r="N264" s="1334"/>
      <c r="O264" s="274">
        <f t="shared" ref="O264" si="271">J264+E264</f>
        <v>12341</v>
      </c>
      <c r="P264" s="274">
        <f t="shared" si="269"/>
        <v>163868</v>
      </c>
      <c r="Q264" s="274">
        <f t="shared" si="270"/>
        <v>192000</v>
      </c>
      <c r="R264" s="613">
        <f>M264+H264</f>
        <v>368209</v>
      </c>
      <c r="S264" s="498"/>
    </row>
    <row r="265" spans="1:20" ht="16.5" thickBot="1">
      <c r="A265" s="44">
        <v>56</v>
      </c>
      <c r="B265" s="46" t="s">
        <v>429</v>
      </c>
      <c r="C265" s="46"/>
      <c r="D265" s="181">
        <f>D266+D269+D272</f>
        <v>0</v>
      </c>
      <c r="E265" s="181">
        <f>E266+E269+E272</f>
        <v>0</v>
      </c>
      <c r="F265" s="181">
        <f>F266+F269+F272</f>
        <v>0</v>
      </c>
      <c r="G265" s="181">
        <f>G266+G269+G272</f>
        <v>14576605</v>
      </c>
      <c r="H265" s="61">
        <f t="shared" ref="H265:H271" si="272">SUM(E265:G265)</f>
        <v>14576605</v>
      </c>
      <c r="I265" s="197"/>
      <c r="J265" s="173">
        <f>J266+J269+J272</f>
        <v>0</v>
      </c>
      <c r="K265" s="173">
        <f>K266+K269+K272</f>
        <v>0</v>
      </c>
      <c r="L265" s="173">
        <f t="shared" ref="L265" si="273">L266</f>
        <v>0</v>
      </c>
      <c r="M265" s="126">
        <f t="shared" ref="M265" si="274">SUM(J265:L265)</f>
        <v>0</v>
      </c>
      <c r="N265" s="196"/>
      <c r="O265" s="173">
        <f>O266+O269+O272</f>
        <v>0</v>
      </c>
      <c r="P265" s="181">
        <f>P266+P269+P272</f>
        <v>0</v>
      </c>
      <c r="Q265" s="174">
        <f>Q266+Q269+Q272</f>
        <v>14576605</v>
      </c>
      <c r="R265" s="125">
        <f>R266+R269+R272</f>
        <v>14576605</v>
      </c>
      <c r="S265" s="196"/>
    </row>
    <row r="266" spans="1:20" s="219" customFormat="1" ht="23.25" customHeight="1" thickBot="1">
      <c r="A266" s="1133">
        <v>4230</v>
      </c>
      <c r="B266" s="1136" t="s">
        <v>444</v>
      </c>
      <c r="C266" s="439">
        <v>2024</v>
      </c>
      <c r="D266" s="1090"/>
      <c r="E266" s="548">
        <v>0</v>
      </c>
      <c r="F266" s="1091">
        <v>0</v>
      </c>
      <c r="G266" s="1091">
        <v>500000</v>
      </c>
      <c r="H266" s="1092">
        <f>SUM(E266:G266)</f>
        <v>500000</v>
      </c>
      <c r="I266" s="1142" t="s">
        <v>447</v>
      </c>
      <c r="J266" s="1093">
        <v>0</v>
      </c>
      <c r="K266" s="1094"/>
      <c r="L266" s="1093">
        <v>0</v>
      </c>
      <c r="M266" s="1095">
        <f t="shared" ref="M266:M274" si="275">SUM(J266:L266)</f>
        <v>0</v>
      </c>
      <c r="N266" s="1139"/>
      <c r="O266" s="1096">
        <f>J266+E266</f>
        <v>0</v>
      </c>
      <c r="P266" s="1096">
        <f>K266+F266</f>
        <v>0</v>
      </c>
      <c r="Q266" s="1096">
        <f>L266+G266</f>
        <v>500000</v>
      </c>
      <c r="R266" s="1097">
        <f>M266+H266</f>
        <v>500000</v>
      </c>
      <c r="S266" s="1098"/>
    </row>
    <row r="267" spans="1:20" s="219" customFormat="1" ht="27" customHeight="1" thickBot="1">
      <c r="A267" s="1134"/>
      <c r="B267" s="1137"/>
      <c r="C267" s="447">
        <v>2025</v>
      </c>
      <c r="D267" s="1099"/>
      <c r="E267" s="548">
        <v>0</v>
      </c>
      <c r="F267" s="1091">
        <v>0</v>
      </c>
      <c r="G267" s="1091">
        <v>500000</v>
      </c>
      <c r="H267" s="1100">
        <f t="shared" si="272"/>
        <v>500000</v>
      </c>
      <c r="I267" s="1143"/>
      <c r="J267" s="1101">
        <v>0</v>
      </c>
      <c r="K267" s="1102"/>
      <c r="L267" s="1101">
        <v>0</v>
      </c>
      <c r="M267" s="1103">
        <f t="shared" si="275"/>
        <v>0</v>
      </c>
      <c r="N267" s="1140"/>
      <c r="O267" s="1096">
        <f>J267+E267</f>
        <v>0</v>
      </c>
      <c r="P267" s="1096">
        <f t="shared" ref="P267:P268" si="276">K267+F267</f>
        <v>0</v>
      </c>
      <c r="Q267" s="1096">
        <f t="shared" ref="Q267:Q268" si="277">L267+G267</f>
        <v>500000</v>
      </c>
      <c r="R267" s="1097">
        <f t="shared" ref="R267:R274" si="278">M267+H267</f>
        <v>500000</v>
      </c>
      <c r="S267" s="1104"/>
    </row>
    <row r="268" spans="1:20" s="219" customFormat="1" ht="30.75" customHeight="1" thickBot="1">
      <c r="A268" s="1135"/>
      <c r="B268" s="1138"/>
      <c r="C268" s="588">
        <v>2026</v>
      </c>
      <c r="D268" s="588"/>
      <c r="E268" s="1105">
        <v>0</v>
      </c>
      <c r="F268" s="1106">
        <v>0</v>
      </c>
      <c r="G268" s="1106">
        <v>1000000</v>
      </c>
      <c r="H268" s="1107">
        <f t="shared" si="272"/>
        <v>1000000</v>
      </c>
      <c r="I268" s="1143"/>
      <c r="J268" s="1108">
        <v>0</v>
      </c>
      <c r="K268" s="1109"/>
      <c r="L268" s="1108">
        <v>0</v>
      </c>
      <c r="M268" s="1110">
        <f t="shared" si="275"/>
        <v>0</v>
      </c>
      <c r="N268" s="1141"/>
      <c r="O268" s="1096">
        <f t="shared" ref="O268" si="279">J268+E268</f>
        <v>0</v>
      </c>
      <c r="P268" s="1096">
        <f t="shared" si="276"/>
        <v>0</v>
      </c>
      <c r="Q268" s="1096">
        <f t="shared" si="277"/>
        <v>1000000</v>
      </c>
      <c r="R268" s="1097">
        <f t="shared" si="278"/>
        <v>1000000</v>
      </c>
      <c r="S268" s="1111"/>
    </row>
    <row r="269" spans="1:20" s="219" customFormat="1" ht="30.75" customHeight="1" thickBot="1">
      <c r="A269" s="1133">
        <v>6210</v>
      </c>
      <c r="B269" s="1112"/>
      <c r="C269" s="439">
        <v>2024</v>
      </c>
      <c r="D269" s="1090"/>
      <c r="E269" s="548"/>
      <c r="F269" s="1091"/>
      <c r="G269" s="1091">
        <v>13601605</v>
      </c>
      <c r="H269" s="1092">
        <f>SUM(E269:G269)</f>
        <v>13601605</v>
      </c>
      <c r="I269" s="1143"/>
      <c r="J269" s="1093"/>
      <c r="K269" s="1094"/>
      <c r="L269" s="1093"/>
      <c r="M269" s="1113">
        <f t="shared" si="275"/>
        <v>0</v>
      </c>
      <c r="N269" s="1114"/>
      <c r="O269" s="1096">
        <f>J269+E269</f>
        <v>0</v>
      </c>
      <c r="P269" s="1096">
        <f>K269+F269</f>
        <v>0</v>
      </c>
      <c r="Q269" s="1096">
        <f>L269+G269</f>
        <v>13601605</v>
      </c>
      <c r="R269" s="1097">
        <f t="shared" si="278"/>
        <v>13601605</v>
      </c>
      <c r="S269" s="1115"/>
    </row>
    <row r="270" spans="1:20" s="219" customFormat="1" ht="30.75" customHeight="1" thickBot="1">
      <c r="A270" s="1134"/>
      <c r="B270" s="1112" t="s">
        <v>445</v>
      </c>
      <c r="C270" s="447">
        <v>2025</v>
      </c>
      <c r="D270" s="1099"/>
      <c r="E270" s="548"/>
      <c r="F270" s="1091"/>
      <c r="G270" s="1091">
        <v>3306371</v>
      </c>
      <c r="H270" s="1100">
        <f t="shared" si="272"/>
        <v>3306371</v>
      </c>
      <c r="I270" s="1143"/>
      <c r="J270" s="1101"/>
      <c r="K270" s="1102"/>
      <c r="L270" s="1101"/>
      <c r="M270" s="1113">
        <f t="shared" si="275"/>
        <v>0</v>
      </c>
      <c r="N270" s="1114"/>
      <c r="O270" s="1096">
        <f>J270+E270</f>
        <v>0</v>
      </c>
      <c r="P270" s="1096">
        <f t="shared" ref="P270:P271" si="280">K270+F270</f>
        <v>0</v>
      </c>
      <c r="Q270" s="1096">
        <f t="shared" ref="Q270:Q271" si="281">L270+G270</f>
        <v>3306371</v>
      </c>
      <c r="R270" s="1097">
        <f t="shared" si="278"/>
        <v>3306371</v>
      </c>
      <c r="S270" s="1115"/>
    </row>
    <row r="271" spans="1:20" s="219" customFormat="1" ht="30.75" customHeight="1" thickBot="1">
      <c r="A271" s="1135"/>
      <c r="B271" s="1112"/>
      <c r="C271" s="588">
        <v>2026</v>
      </c>
      <c r="D271" s="588"/>
      <c r="E271" s="1105"/>
      <c r="F271" s="1106"/>
      <c r="G271" s="1106">
        <v>3948994</v>
      </c>
      <c r="H271" s="1107">
        <f t="shared" si="272"/>
        <v>3948994</v>
      </c>
      <c r="I271" s="1143"/>
      <c r="J271" s="1108"/>
      <c r="K271" s="1109"/>
      <c r="L271" s="1108"/>
      <c r="M271" s="1113">
        <f t="shared" si="275"/>
        <v>0</v>
      </c>
      <c r="N271" s="1114"/>
      <c r="O271" s="1096">
        <f t="shared" ref="O271" si="282">J271+E271</f>
        <v>0</v>
      </c>
      <c r="P271" s="1096">
        <f t="shared" si="280"/>
        <v>0</v>
      </c>
      <c r="Q271" s="1096">
        <f t="shared" si="281"/>
        <v>3948994</v>
      </c>
      <c r="R271" s="1097">
        <f t="shared" si="278"/>
        <v>3948994</v>
      </c>
      <c r="S271" s="1115"/>
    </row>
    <row r="272" spans="1:20" s="219" customFormat="1" ht="23.25" customHeight="1" thickBot="1">
      <c r="A272" s="1133">
        <v>6220</v>
      </c>
      <c r="B272" s="1136" t="s">
        <v>446</v>
      </c>
      <c r="C272" s="439">
        <v>2024</v>
      </c>
      <c r="D272" s="1116"/>
      <c r="E272" s="548"/>
      <c r="F272" s="1091">
        <v>0</v>
      </c>
      <c r="G272" s="1091">
        <v>475000</v>
      </c>
      <c r="H272" s="1092">
        <f t="shared" ref="H272:H274" si="283">SUM(E272:G272)</f>
        <v>475000</v>
      </c>
      <c r="I272" s="1143"/>
      <c r="J272" s="1093">
        <v>0</v>
      </c>
      <c r="K272" s="1094"/>
      <c r="L272" s="1093">
        <v>0</v>
      </c>
      <c r="M272" s="1095">
        <f t="shared" si="275"/>
        <v>0</v>
      </c>
      <c r="N272" s="1139"/>
      <c r="O272" s="1096">
        <f>J272+E272</f>
        <v>0</v>
      </c>
      <c r="P272" s="1096">
        <f>K272+F272</f>
        <v>0</v>
      </c>
      <c r="Q272" s="1096">
        <f>L272+G272</f>
        <v>475000</v>
      </c>
      <c r="R272" s="1097">
        <f t="shared" si="278"/>
        <v>475000</v>
      </c>
      <c r="S272" s="1098"/>
    </row>
    <row r="273" spans="1:19" s="219" customFormat="1" ht="27" customHeight="1" thickBot="1">
      <c r="A273" s="1134"/>
      <c r="B273" s="1137"/>
      <c r="C273" s="447">
        <v>2025</v>
      </c>
      <c r="D273" s="1116"/>
      <c r="E273" s="548"/>
      <c r="F273" s="1091">
        <v>0</v>
      </c>
      <c r="G273" s="1091">
        <v>463113</v>
      </c>
      <c r="H273" s="1100">
        <f t="shared" si="283"/>
        <v>463113</v>
      </c>
      <c r="I273" s="1143"/>
      <c r="J273" s="1101">
        <v>0</v>
      </c>
      <c r="K273" s="1102"/>
      <c r="L273" s="1101">
        <v>0</v>
      </c>
      <c r="M273" s="1103">
        <f t="shared" si="275"/>
        <v>0</v>
      </c>
      <c r="N273" s="1140"/>
      <c r="O273" s="1096">
        <f>J273+E273</f>
        <v>0</v>
      </c>
      <c r="P273" s="1096">
        <f t="shared" ref="P273:P274" si="284">K273+F273</f>
        <v>0</v>
      </c>
      <c r="Q273" s="1096">
        <f t="shared" ref="Q273:Q274" si="285">L273+G273</f>
        <v>463113</v>
      </c>
      <c r="R273" s="1097">
        <f t="shared" si="278"/>
        <v>463113</v>
      </c>
      <c r="S273" s="1104"/>
    </row>
    <row r="274" spans="1:19" s="219" customFormat="1" ht="30.75" customHeight="1" thickBot="1">
      <c r="A274" s="1135"/>
      <c r="B274" s="1138"/>
      <c r="C274" s="588">
        <v>2026</v>
      </c>
      <c r="D274" s="1116"/>
      <c r="E274" s="1105"/>
      <c r="F274" s="1106">
        <v>0</v>
      </c>
      <c r="G274" s="1106">
        <v>675000</v>
      </c>
      <c r="H274" s="1107">
        <f t="shared" si="283"/>
        <v>675000</v>
      </c>
      <c r="I274" s="1144"/>
      <c r="J274" s="1108">
        <v>0</v>
      </c>
      <c r="K274" s="1109"/>
      <c r="L274" s="1108">
        <v>0</v>
      </c>
      <c r="M274" s="1110">
        <f t="shared" si="275"/>
        <v>0</v>
      </c>
      <c r="N274" s="1141"/>
      <c r="O274" s="1096">
        <f t="shared" ref="O274" si="286">J274+E274</f>
        <v>0</v>
      </c>
      <c r="P274" s="1096">
        <f t="shared" si="284"/>
        <v>0</v>
      </c>
      <c r="Q274" s="1096">
        <f t="shared" si="285"/>
        <v>675000</v>
      </c>
      <c r="R274" s="1097">
        <f t="shared" si="278"/>
        <v>675000</v>
      </c>
      <c r="S274" s="1111"/>
    </row>
    <row r="275" spans="1:19" ht="16.5" thickBot="1">
      <c r="A275" s="44">
        <v>57</v>
      </c>
      <c r="B275" s="46" t="s">
        <v>103</v>
      </c>
      <c r="C275" s="46"/>
      <c r="D275" s="181"/>
      <c r="E275" s="174">
        <f>E276</f>
        <v>0</v>
      </c>
      <c r="F275" s="174">
        <f t="shared" ref="F275:G275" si="287">F276</f>
        <v>0</v>
      </c>
      <c r="G275" s="174">
        <f t="shared" si="287"/>
        <v>0</v>
      </c>
      <c r="H275" s="61">
        <f t="shared" si="265"/>
        <v>0</v>
      </c>
      <c r="I275" s="197"/>
      <c r="J275" s="173">
        <f>J276</f>
        <v>948</v>
      </c>
      <c r="K275" s="173">
        <f t="shared" ref="K275:L275" si="288">K276</f>
        <v>10000</v>
      </c>
      <c r="L275" s="173">
        <f t="shared" si="288"/>
        <v>0</v>
      </c>
      <c r="M275" s="126">
        <f t="shared" si="267"/>
        <v>10948</v>
      </c>
      <c r="N275" s="196"/>
      <c r="O275" s="173"/>
      <c r="P275" s="181"/>
      <c r="Q275" s="174"/>
      <c r="R275" s="125"/>
      <c r="S275" s="196"/>
    </row>
    <row r="276" spans="1:19" ht="72" customHeight="1">
      <c r="A276" s="64"/>
      <c r="B276" s="47" t="s">
        <v>104</v>
      </c>
      <c r="C276" s="212">
        <v>2024</v>
      </c>
      <c r="D276" s="99">
        <v>1</v>
      </c>
      <c r="E276" s="64"/>
      <c r="F276" s="47"/>
      <c r="G276" s="99"/>
      <c r="H276" s="98">
        <f t="shared" si="265"/>
        <v>0</v>
      </c>
      <c r="I276" s="1385"/>
      <c r="J276" s="64">
        <v>948</v>
      </c>
      <c r="K276" s="47">
        <v>10000</v>
      </c>
      <c r="L276" s="99"/>
      <c r="M276" s="98">
        <f t="shared" si="267"/>
        <v>10948</v>
      </c>
      <c r="N276" s="1168" t="s">
        <v>343</v>
      </c>
      <c r="O276" s="103">
        <f>E276+J276</f>
        <v>948</v>
      </c>
      <c r="P276" s="100">
        <f>F276+K276</f>
        <v>10000</v>
      </c>
      <c r="Q276" s="114">
        <f>G276+L276</f>
        <v>0</v>
      </c>
      <c r="R276" s="135">
        <f>H276+M276</f>
        <v>10948</v>
      </c>
      <c r="S276" s="1341"/>
    </row>
    <row r="277" spans="1:19" ht="15.75">
      <c r="A277" s="64"/>
      <c r="B277" s="47"/>
      <c r="C277" s="213">
        <v>2025</v>
      </c>
      <c r="D277" s="99"/>
      <c r="E277" s="64"/>
      <c r="F277" s="47"/>
      <c r="G277" s="99"/>
      <c r="H277" s="98">
        <f t="shared" si="265"/>
        <v>0</v>
      </c>
      <c r="I277" s="1386"/>
      <c r="J277" s="64">
        <v>948</v>
      </c>
      <c r="K277" s="47">
        <v>10000</v>
      </c>
      <c r="L277" s="99"/>
      <c r="M277" s="98">
        <f t="shared" si="267"/>
        <v>10948</v>
      </c>
      <c r="N277" s="1169"/>
      <c r="O277" s="105">
        <f t="shared" ref="O277:O278" si="289">E277+J277</f>
        <v>948</v>
      </c>
      <c r="P277" s="100">
        <f t="shared" ref="P277:R278" si="290">F277+K277</f>
        <v>10000</v>
      </c>
      <c r="Q277" s="136">
        <f t="shared" si="290"/>
        <v>0</v>
      </c>
      <c r="R277" s="154">
        <f t="shared" si="290"/>
        <v>10948</v>
      </c>
      <c r="S277" s="1342"/>
    </row>
    <row r="278" spans="1:19" ht="16.5" thickBot="1">
      <c r="A278" s="65"/>
      <c r="B278" s="66"/>
      <c r="C278" s="16">
        <v>2026</v>
      </c>
      <c r="D278" s="99"/>
      <c r="E278" s="65"/>
      <c r="F278" s="47"/>
      <c r="G278" s="99"/>
      <c r="H278" s="98">
        <f t="shared" si="265"/>
        <v>0</v>
      </c>
      <c r="I278" s="1387"/>
      <c r="J278" s="65">
        <v>948</v>
      </c>
      <c r="K278" s="66">
        <v>10000</v>
      </c>
      <c r="L278" s="99"/>
      <c r="M278" s="98">
        <f t="shared" si="267"/>
        <v>10948</v>
      </c>
      <c r="N278" s="1170"/>
      <c r="O278" s="109">
        <f t="shared" si="289"/>
        <v>948</v>
      </c>
      <c r="P278" s="106">
        <f t="shared" si="290"/>
        <v>10000</v>
      </c>
      <c r="Q278" s="116">
        <f t="shared" si="290"/>
        <v>0</v>
      </c>
      <c r="R278" s="155">
        <f t="shared" si="290"/>
        <v>10948</v>
      </c>
      <c r="S278" s="1343"/>
    </row>
    <row r="279" spans="1:19" ht="16.5" thickBot="1">
      <c r="A279" s="44">
        <v>66</v>
      </c>
      <c r="B279" s="46" t="s">
        <v>105</v>
      </c>
      <c r="C279" s="46"/>
      <c r="D279" s="181">
        <f>D280</f>
        <v>0</v>
      </c>
      <c r="E279" s="181">
        <f t="shared" ref="E279:F279" si="291">E280</f>
        <v>12500</v>
      </c>
      <c r="F279" s="181">
        <f t="shared" si="291"/>
        <v>500</v>
      </c>
      <c r="G279" s="181">
        <f>G280</f>
        <v>2000</v>
      </c>
      <c r="H279" s="61">
        <f>SUM(E279:G279)</f>
        <v>15000</v>
      </c>
      <c r="I279" s="197"/>
      <c r="J279" s="173">
        <f>J280</f>
        <v>0</v>
      </c>
      <c r="K279" s="173">
        <f t="shared" ref="K279:L279" si="292">K280</f>
        <v>0</v>
      </c>
      <c r="L279" s="173">
        <f t="shared" si="292"/>
        <v>0</v>
      </c>
      <c r="M279" s="126">
        <f>SUM(J279:L279)</f>
        <v>0</v>
      </c>
      <c r="N279" s="196"/>
      <c r="O279" s="173">
        <f>O280</f>
        <v>12500</v>
      </c>
      <c r="P279" s="181">
        <f t="shared" ref="P279:R279" si="293">P280</f>
        <v>500</v>
      </c>
      <c r="Q279" s="174">
        <f t="shared" si="293"/>
        <v>2000</v>
      </c>
      <c r="R279" s="125">
        <f t="shared" si="293"/>
        <v>15000</v>
      </c>
      <c r="S279" s="196"/>
    </row>
    <row r="280" spans="1:19" ht="25.5" customHeight="1">
      <c r="A280" s="64"/>
      <c r="B280" s="47" t="s">
        <v>106</v>
      </c>
      <c r="C280" s="212">
        <v>2024</v>
      </c>
      <c r="D280" s="297"/>
      <c r="E280" s="64">
        <v>12500</v>
      </c>
      <c r="F280" s="47">
        <v>500</v>
      </c>
      <c r="G280" s="47">
        <v>2000</v>
      </c>
      <c r="H280" s="98">
        <f>E280+F280+G280</f>
        <v>15000</v>
      </c>
      <c r="I280" s="1168" t="s">
        <v>344</v>
      </c>
      <c r="J280" s="64"/>
      <c r="K280" s="64"/>
      <c r="L280" s="64"/>
      <c r="M280" s="156">
        <f>SUM(J280:L280)</f>
        <v>0</v>
      </c>
      <c r="N280" s="1344"/>
      <c r="O280" s="103">
        <f>J280+E280</f>
        <v>12500</v>
      </c>
      <c r="P280" s="100">
        <f t="shared" ref="P280:P282" si="294">K280+F280</f>
        <v>500</v>
      </c>
      <c r="Q280" s="114">
        <f>L280+G280</f>
        <v>2000</v>
      </c>
      <c r="R280" s="135">
        <f>M280+H280</f>
        <v>15000</v>
      </c>
      <c r="S280" s="51"/>
    </row>
    <row r="281" spans="1:19" ht="29.25" customHeight="1">
      <c r="A281" s="64"/>
      <c r="B281" s="47"/>
      <c r="C281" s="213">
        <v>2025</v>
      </c>
      <c r="D281" s="297"/>
      <c r="E281" s="64">
        <v>12500</v>
      </c>
      <c r="F281" s="47">
        <v>500</v>
      </c>
      <c r="G281" s="47">
        <v>2000</v>
      </c>
      <c r="H281" s="98">
        <f>E281+F281+G281</f>
        <v>15000</v>
      </c>
      <c r="I281" s="1169"/>
      <c r="J281" s="47"/>
      <c r="K281" s="47"/>
      <c r="L281" s="297"/>
      <c r="M281" s="64">
        <f t="shared" ref="M281:M282" si="295">SUM(J281:L281)</f>
        <v>0</v>
      </c>
      <c r="N281" s="1345"/>
      <c r="O281" s="105">
        <f t="shared" ref="O281:O282" si="296">J281+E281</f>
        <v>12500</v>
      </c>
      <c r="P281" s="100">
        <f t="shared" si="294"/>
        <v>500</v>
      </c>
      <c r="Q281" s="136">
        <f t="shared" ref="Q281:Q282" si="297">L281+G281</f>
        <v>2000</v>
      </c>
      <c r="R281" s="154">
        <f>M281+H281</f>
        <v>15000</v>
      </c>
      <c r="S281" s="52"/>
    </row>
    <row r="282" spans="1:19" ht="27" customHeight="1" thickBot="1">
      <c r="A282" s="65"/>
      <c r="B282" s="66"/>
      <c r="C282" s="16">
        <v>2026</v>
      </c>
      <c r="D282" s="297"/>
      <c r="E282" s="65">
        <v>12500</v>
      </c>
      <c r="F282" s="66">
        <v>500</v>
      </c>
      <c r="G282" s="66">
        <v>2000</v>
      </c>
      <c r="H282" s="98">
        <f t="shared" ref="H282" si="298">E282+F282+G282</f>
        <v>15000</v>
      </c>
      <c r="I282" s="1170"/>
      <c r="J282" s="66"/>
      <c r="K282" s="66"/>
      <c r="L282" s="297"/>
      <c r="M282" s="64">
        <f t="shared" si="295"/>
        <v>0</v>
      </c>
      <c r="N282" s="1346"/>
      <c r="O282" s="109">
        <f t="shared" si="296"/>
        <v>12500</v>
      </c>
      <c r="P282" s="106">
        <f t="shared" si="294"/>
        <v>500</v>
      </c>
      <c r="Q282" s="116">
        <f t="shared" si="297"/>
        <v>2000</v>
      </c>
      <c r="R282" s="155">
        <f t="shared" ref="R282" si="299">M282+H282</f>
        <v>15000</v>
      </c>
      <c r="S282" s="53"/>
    </row>
    <row r="283" spans="1:19" ht="16.5" thickBot="1">
      <c r="A283" s="44">
        <v>67</v>
      </c>
      <c r="B283" s="46" t="s">
        <v>107</v>
      </c>
      <c r="C283" s="46"/>
      <c r="D283" s="181">
        <f>D284</f>
        <v>0</v>
      </c>
      <c r="E283" s="181">
        <f t="shared" ref="E283:G283" si="300">E284</f>
        <v>0</v>
      </c>
      <c r="F283" s="181">
        <f t="shared" si="300"/>
        <v>0</v>
      </c>
      <c r="G283" s="181">
        <f t="shared" si="300"/>
        <v>0</v>
      </c>
      <c r="H283" s="61">
        <f>SUM(E283:G283)</f>
        <v>0</v>
      </c>
      <c r="I283" s="197"/>
      <c r="J283" s="173">
        <f>J284</f>
        <v>0</v>
      </c>
      <c r="K283" s="173">
        <f t="shared" ref="K283:L283" si="301">K284</f>
        <v>0</v>
      </c>
      <c r="L283" s="173">
        <f t="shared" si="301"/>
        <v>3000</v>
      </c>
      <c r="M283" s="126">
        <f>SUM(J283:L283)</f>
        <v>3000</v>
      </c>
      <c r="N283" s="196"/>
      <c r="O283" s="173"/>
      <c r="P283" s="181"/>
      <c r="Q283" s="174"/>
      <c r="R283" s="125"/>
      <c r="S283" s="196"/>
    </row>
    <row r="284" spans="1:19" ht="57" customHeight="1">
      <c r="A284" s="64"/>
      <c r="B284" s="47" t="s">
        <v>49</v>
      </c>
      <c r="C284" s="212">
        <v>2024</v>
      </c>
      <c r="D284" s="99"/>
      <c r="E284" s="64"/>
      <c r="F284" s="47"/>
      <c r="G284" s="99"/>
      <c r="H284" s="98">
        <f>SUM(E284:G284)</f>
        <v>0</v>
      </c>
      <c r="I284" s="1171"/>
      <c r="J284" s="64"/>
      <c r="K284" s="64"/>
      <c r="L284" s="176">
        <v>3000</v>
      </c>
      <c r="M284" s="632">
        <f>SUM(J284:L284)</f>
        <v>3000</v>
      </c>
      <c r="N284" s="1302" t="s">
        <v>345</v>
      </c>
      <c r="O284" s="103">
        <f>E284+J284</f>
        <v>0</v>
      </c>
      <c r="P284" s="100">
        <f t="shared" ref="P284:R286" si="302">F284+K284</f>
        <v>0</v>
      </c>
      <c r="Q284" s="114">
        <f>G284+L284</f>
        <v>3000</v>
      </c>
      <c r="R284" s="135">
        <f>H284+M284</f>
        <v>3000</v>
      </c>
      <c r="S284" s="1326"/>
    </row>
    <row r="285" spans="1:19" ht="21.75" customHeight="1">
      <c r="A285" s="64"/>
      <c r="B285" s="47"/>
      <c r="C285" s="213">
        <v>2025</v>
      </c>
      <c r="D285" s="99"/>
      <c r="E285" s="64"/>
      <c r="F285" s="47"/>
      <c r="G285" s="99"/>
      <c r="H285" s="98">
        <f t="shared" ref="H285:H286" si="303">SUM(E285:G285)</f>
        <v>0</v>
      </c>
      <c r="I285" s="1172"/>
      <c r="J285" s="64"/>
      <c r="K285" s="47"/>
      <c r="L285" s="99"/>
      <c r="M285" s="98">
        <f t="shared" ref="M285:M286" si="304">SUM(J285:L285)</f>
        <v>0</v>
      </c>
      <c r="N285" s="1303"/>
      <c r="O285" s="105">
        <f t="shared" ref="O285:O286" si="305">E285+J285</f>
        <v>0</v>
      </c>
      <c r="P285" s="100">
        <f t="shared" si="302"/>
        <v>0</v>
      </c>
      <c r="Q285" s="136">
        <f t="shared" si="302"/>
        <v>0</v>
      </c>
      <c r="R285" s="154">
        <f t="shared" si="302"/>
        <v>0</v>
      </c>
      <c r="S285" s="1327"/>
    </row>
    <row r="286" spans="1:19" ht="25.5" customHeight="1" thickBot="1">
      <c r="A286" s="65"/>
      <c r="B286" s="66"/>
      <c r="C286" s="16">
        <v>2026</v>
      </c>
      <c r="D286" s="99"/>
      <c r="E286" s="65"/>
      <c r="F286" s="66"/>
      <c r="G286" s="99"/>
      <c r="H286" s="98">
        <f t="shared" si="303"/>
        <v>0</v>
      </c>
      <c r="I286" s="1173"/>
      <c r="J286" s="64"/>
      <c r="K286" s="47"/>
      <c r="L286" s="99"/>
      <c r="M286" s="98">
        <f t="shared" si="304"/>
        <v>0</v>
      </c>
      <c r="N286" s="1304"/>
      <c r="O286" s="109">
        <f t="shared" si="305"/>
        <v>0</v>
      </c>
      <c r="P286" s="106">
        <f t="shared" si="302"/>
        <v>0</v>
      </c>
      <c r="Q286" s="116">
        <f t="shared" si="302"/>
        <v>0</v>
      </c>
      <c r="R286" s="155">
        <f>H286+M286</f>
        <v>0</v>
      </c>
      <c r="S286" s="1328"/>
    </row>
    <row r="287" spans="1:19" ht="16.5" thickBot="1">
      <c r="A287" s="71">
        <v>73</v>
      </c>
      <c r="B287" s="6" t="s">
        <v>108</v>
      </c>
      <c r="C287" s="6"/>
      <c r="D287" s="181"/>
      <c r="E287" s="160"/>
      <c r="F287" s="178"/>
      <c r="G287" s="178"/>
      <c r="H287" s="61"/>
      <c r="I287" s="202"/>
      <c r="J287" s="178"/>
      <c r="K287" s="178"/>
      <c r="L287" s="181"/>
      <c r="M287" s="111"/>
      <c r="N287" s="190"/>
      <c r="O287" s="178"/>
      <c r="P287" s="750">
        <f>P288+P291</f>
        <v>242226</v>
      </c>
      <c r="Q287" s="749">
        <f>Q288+Q291</f>
        <v>932779</v>
      </c>
      <c r="R287" s="130">
        <f>R288+R291</f>
        <v>1176190</v>
      </c>
      <c r="S287" s="190"/>
    </row>
    <row r="288" spans="1:19" ht="15.75">
      <c r="A288" s="1370">
        <v>1610</v>
      </c>
      <c r="B288" s="1373" t="s">
        <v>18</v>
      </c>
      <c r="C288" s="212">
        <v>2024</v>
      </c>
      <c r="D288" s="283"/>
      <c r="E288" s="283"/>
      <c r="F288" s="283"/>
      <c r="G288" s="132"/>
      <c r="H288" s="283"/>
      <c r="I288" s="1376"/>
      <c r="J288" s="274"/>
      <c r="K288" s="274">
        <v>63955</v>
      </c>
      <c r="L288" s="621">
        <v>633000</v>
      </c>
      <c r="M288" s="284">
        <f>J288+K288+L288</f>
        <v>696955</v>
      </c>
      <c r="N288" s="1379" t="s">
        <v>293</v>
      </c>
      <c r="O288" s="132">
        <f>J288+E288</f>
        <v>0</v>
      </c>
      <c r="P288" s="131">
        <f t="shared" ref="P288:P293" si="306">K288+F288</f>
        <v>63955</v>
      </c>
      <c r="Q288" s="139">
        <f t="shared" ref="Q288:Q293" si="307">L288+G288</f>
        <v>633000</v>
      </c>
      <c r="R288" s="139">
        <f t="shared" ref="R288:R293" si="308">M288+H288</f>
        <v>696955</v>
      </c>
      <c r="S288" s="51"/>
    </row>
    <row r="289" spans="1:23" ht="15.75">
      <c r="A289" s="1371"/>
      <c r="B289" s="1374"/>
      <c r="C289" s="213">
        <v>2025</v>
      </c>
      <c r="D289" s="287"/>
      <c r="E289" s="287"/>
      <c r="F289" s="276"/>
      <c r="G289" s="134"/>
      <c r="H289" s="288"/>
      <c r="I289" s="1377"/>
      <c r="J289" s="277"/>
      <c r="K289" s="277">
        <v>31978</v>
      </c>
      <c r="L289" s="276">
        <v>6483</v>
      </c>
      <c r="M289" s="276">
        <f>K289+L289+J289</f>
        <v>38461</v>
      </c>
      <c r="N289" s="1380"/>
      <c r="O289" s="134">
        <f>J289+E289</f>
        <v>0</v>
      </c>
      <c r="P289" s="133">
        <f t="shared" si="306"/>
        <v>31978</v>
      </c>
      <c r="Q289" s="134">
        <f t="shared" si="307"/>
        <v>6483</v>
      </c>
      <c r="R289" s="134">
        <f>P289+Q289</f>
        <v>38461</v>
      </c>
      <c r="S289" s="52"/>
    </row>
    <row r="290" spans="1:23" ht="36.75" customHeight="1" thickBot="1">
      <c r="A290" s="1372"/>
      <c r="B290" s="1375"/>
      <c r="C290" s="16">
        <v>2026</v>
      </c>
      <c r="D290" s="291"/>
      <c r="E290" s="291"/>
      <c r="F290" s="291"/>
      <c r="G290" s="280"/>
      <c r="H290" s="291"/>
      <c r="I290" s="1378"/>
      <c r="J290" s="279"/>
      <c r="K290" s="279">
        <v>43683</v>
      </c>
      <c r="L290" s="278"/>
      <c r="M290" s="278">
        <f>K290+L290+J290</f>
        <v>43683</v>
      </c>
      <c r="N290" s="1381"/>
      <c r="O290" s="280">
        <f t="shared" ref="O290" si="309">J290+E290</f>
        <v>0</v>
      </c>
      <c r="P290" s="364">
        <f t="shared" si="306"/>
        <v>43683</v>
      </c>
      <c r="Q290" s="280">
        <f t="shared" si="307"/>
        <v>0</v>
      </c>
      <c r="R290" s="280">
        <f>P290+Q290</f>
        <v>43683</v>
      </c>
      <c r="S290" s="53"/>
    </row>
    <row r="291" spans="1:23" ht="23.25" customHeight="1">
      <c r="A291" s="1370">
        <v>1620</v>
      </c>
      <c r="B291" s="1373" t="s">
        <v>109</v>
      </c>
      <c r="C291" s="212">
        <v>2024</v>
      </c>
      <c r="D291" s="283"/>
      <c r="E291" s="283"/>
      <c r="F291" s="283"/>
      <c r="G291" s="132"/>
      <c r="H291" s="283"/>
      <c r="I291" s="1397"/>
      <c r="J291" s="274">
        <v>1185</v>
      </c>
      <c r="K291" s="621">
        <v>178271</v>
      </c>
      <c r="L291" s="621">
        <v>299779</v>
      </c>
      <c r="M291" s="284">
        <f>J291+K291+L291</f>
        <v>479235</v>
      </c>
      <c r="N291" s="1379" t="s">
        <v>294</v>
      </c>
      <c r="O291" s="103">
        <f>J291+E291</f>
        <v>1185</v>
      </c>
      <c r="P291" s="100">
        <f t="shared" si="306"/>
        <v>178271</v>
      </c>
      <c r="Q291" s="114">
        <f t="shared" si="307"/>
        <v>299779</v>
      </c>
      <c r="R291" s="135">
        <f t="shared" si="308"/>
        <v>479235</v>
      </c>
      <c r="S291" s="51"/>
    </row>
    <row r="292" spans="1:23" ht="21.75" customHeight="1">
      <c r="A292" s="1371"/>
      <c r="B292" s="1374"/>
      <c r="C292" s="213">
        <v>2025</v>
      </c>
      <c r="D292" s="287"/>
      <c r="E292" s="287"/>
      <c r="F292" s="276"/>
      <c r="G292" s="134"/>
      <c r="H292" s="288">
        <f>SUM(E292:G292)</f>
        <v>0</v>
      </c>
      <c r="I292" s="1398"/>
      <c r="J292" s="277">
        <v>355000</v>
      </c>
      <c r="K292" s="276">
        <v>1664874</v>
      </c>
      <c r="L292" s="276">
        <v>1768000</v>
      </c>
      <c r="M292" s="288">
        <f t="shared" ref="M292:M293" si="310">J292+K292+L292</f>
        <v>3787874</v>
      </c>
      <c r="N292" s="1380"/>
      <c r="O292" s="105">
        <f>J292+E292</f>
        <v>355000</v>
      </c>
      <c r="P292" s="100">
        <f t="shared" si="306"/>
        <v>1664874</v>
      </c>
      <c r="Q292" s="136">
        <f t="shared" si="307"/>
        <v>1768000</v>
      </c>
      <c r="R292" s="154">
        <f t="shared" si="308"/>
        <v>3787874</v>
      </c>
      <c r="S292" s="52"/>
    </row>
    <row r="293" spans="1:23" ht="26.25" customHeight="1" thickBot="1">
      <c r="A293" s="1372"/>
      <c r="B293" s="1375"/>
      <c r="C293" s="16">
        <v>2026</v>
      </c>
      <c r="D293" s="291"/>
      <c r="E293" s="291"/>
      <c r="F293" s="291"/>
      <c r="G293" s="280"/>
      <c r="H293" s="291"/>
      <c r="I293" s="1399"/>
      <c r="J293" s="279"/>
      <c r="K293" s="278">
        <v>118114</v>
      </c>
      <c r="L293" s="278">
        <v>11900</v>
      </c>
      <c r="M293" s="292">
        <f t="shared" si="310"/>
        <v>130014</v>
      </c>
      <c r="N293" s="1381"/>
      <c r="O293" s="109">
        <f t="shared" ref="O293" si="311">J293+E293</f>
        <v>0</v>
      </c>
      <c r="P293" s="106">
        <f t="shared" si="306"/>
        <v>118114</v>
      </c>
      <c r="Q293" s="116">
        <f t="shared" si="307"/>
        <v>11900</v>
      </c>
      <c r="R293" s="155">
        <f t="shared" si="308"/>
        <v>130014</v>
      </c>
      <c r="S293" s="53"/>
    </row>
    <row r="294" spans="1:23" ht="46.5" customHeight="1" thickBot="1">
      <c r="A294" s="71">
        <v>76</v>
      </c>
      <c r="B294" s="72" t="s">
        <v>110</v>
      </c>
      <c r="C294" s="73"/>
      <c r="D294" s="181"/>
      <c r="E294" s="185"/>
      <c r="F294" s="186"/>
      <c r="G294" s="187"/>
      <c r="H294" s="61"/>
      <c r="I294" s="205"/>
      <c r="J294" s="186"/>
      <c r="K294" s="187"/>
      <c r="L294" s="181"/>
      <c r="M294" s="137"/>
      <c r="N294" s="203"/>
      <c r="O294" s="187"/>
      <c r="P294" s="181"/>
      <c r="Q294" s="185"/>
      <c r="R294" s="138"/>
      <c r="S294" s="204"/>
    </row>
    <row r="295" spans="1:23" ht="25.5" customHeight="1">
      <c r="A295" s="1193" t="s">
        <v>48</v>
      </c>
      <c r="B295" s="74" t="s">
        <v>18</v>
      </c>
      <c r="C295" s="212">
        <v>2024</v>
      </c>
      <c r="D295" s="51"/>
      <c r="E295" s="51"/>
      <c r="F295" s="74"/>
      <c r="G295" s="132"/>
      <c r="H295" s="51"/>
      <c r="I295" s="1193"/>
      <c r="J295" s="74"/>
      <c r="K295" s="51"/>
      <c r="L295" s="274"/>
      <c r="M295" s="286">
        <f>SUM(E295:L295)</f>
        <v>0</v>
      </c>
      <c r="N295" s="1347"/>
      <c r="O295" s="103">
        <f>J295</f>
        <v>0</v>
      </c>
      <c r="P295" s="100">
        <f t="shared" ref="P295:R295" si="312">K295</f>
        <v>0</v>
      </c>
      <c r="Q295" s="114">
        <f t="shared" si="312"/>
        <v>0</v>
      </c>
      <c r="R295" s="135">
        <f t="shared" si="312"/>
        <v>0</v>
      </c>
      <c r="S295" s="51"/>
    </row>
    <row r="296" spans="1:23" ht="24" customHeight="1">
      <c r="A296" s="1194"/>
      <c r="B296" s="52"/>
      <c r="C296" s="213">
        <v>2025</v>
      </c>
      <c r="D296" s="52"/>
      <c r="E296" s="52"/>
      <c r="F296" s="52"/>
      <c r="G296" s="134"/>
      <c r="H296" s="52"/>
      <c r="I296" s="1194"/>
      <c r="J296" s="52"/>
      <c r="K296" s="52"/>
      <c r="L296" s="277"/>
      <c r="M296" s="290">
        <f>SUM(E296:L296)</f>
        <v>0</v>
      </c>
      <c r="N296" s="1318"/>
      <c r="O296" s="105">
        <f t="shared" ref="O296:O297" si="313">J296</f>
        <v>0</v>
      </c>
      <c r="P296" s="100">
        <f t="shared" ref="P296:P297" si="314">K296</f>
        <v>0</v>
      </c>
      <c r="Q296" s="136">
        <f t="shared" ref="Q296" si="315">L296</f>
        <v>0</v>
      </c>
      <c r="R296" s="154">
        <f t="shared" ref="R296:R297" si="316">M296</f>
        <v>0</v>
      </c>
      <c r="S296" s="52"/>
    </row>
    <row r="297" spans="1:23" ht="26.25" customHeight="1" thickBot="1">
      <c r="A297" s="1195"/>
      <c r="B297" s="53"/>
      <c r="C297" s="16">
        <v>2026</v>
      </c>
      <c r="D297" s="53"/>
      <c r="E297" s="53"/>
      <c r="F297" s="53"/>
      <c r="G297" s="280"/>
      <c r="H297" s="53"/>
      <c r="I297" s="1195"/>
      <c r="J297" s="53"/>
      <c r="K297" s="53"/>
      <c r="L297" s="53"/>
      <c r="M297" s="53"/>
      <c r="N297" s="1319"/>
      <c r="O297" s="109">
        <f t="shared" si="313"/>
        <v>0</v>
      </c>
      <c r="P297" s="106">
        <f t="shared" si="314"/>
        <v>0</v>
      </c>
      <c r="Q297" s="116">
        <f>L297</f>
        <v>0</v>
      </c>
      <c r="R297" s="155">
        <f t="shared" si="316"/>
        <v>0</v>
      </c>
      <c r="S297" s="53"/>
    </row>
    <row r="298" spans="1:23" ht="16.5" thickBot="1">
      <c r="A298" s="44">
        <v>77</v>
      </c>
      <c r="B298" s="46" t="s">
        <v>111</v>
      </c>
      <c r="C298" s="46"/>
      <c r="D298" s="181"/>
      <c r="E298" s="174"/>
      <c r="F298" s="173"/>
      <c r="G298" s="173"/>
      <c r="H298" s="61"/>
      <c r="I298" s="197"/>
      <c r="J298" s="173"/>
      <c r="K298" s="173"/>
      <c r="L298" s="181"/>
      <c r="M298" s="126"/>
      <c r="N298" s="196"/>
      <c r="O298" s="173"/>
      <c r="P298" s="181"/>
      <c r="Q298" s="174"/>
      <c r="R298" s="125"/>
      <c r="S298" s="196"/>
    </row>
    <row r="299" spans="1:23" ht="54" customHeight="1">
      <c r="A299" s="1242" t="s">
        <v>112</v>
      </c>
      <c r="B299" s="74" t="s">
        <v>113</v>
      </c>
      <c r="C299" s="212">
        <v>2024</v>
      </c>
      <c r="D299" s="844"/>
      <c r="E299" s="845"/>
      <c r="F299" s="846">
        <v>5000</v>
      </c>
      <c r="G299" s="847"/>
      <c r="H299" s="632">
        <f>E299+F299+G299</f>
        <v>5000</v>
      </c>
      <c r="I299" s="1219" t="s">
        <v>346</v>
      </c>
      <c r="J299" s="848"/>
      <c r="K299" s="849"/>
      <c r="L299" s="849"/>
      <c r="M299" s="850">
        <f>J299+K299+L299</f>
        <v>0</v>
      </c>
      <c r="N299" s="846"/>
      <c r="O299" s="103">
        <f>J299+E299</f>
        <v>0</v>
      </c>
      <c r="P299" s="103">
        <f t="shared" ref="P299:P301" si="317">K299+F299</f>
        <v>5000</v>
      </c>
      <c r="Q299" s="103">
        <f>L299+G299</f>
        <v>0</v>
      </c>
      <c r="R299" s="135">
        <f>O299+P299+Q299</f>
        <v>5000</v>
      </c>
      <c r="S299" s="1472"/>
    </row>
    <row r="300" spans="1:23" ht="54" customHeight="1">
      <c r="A300" s="1243"/>
      <c r="B300" s="52"/>
      <c r="C300" s="213">
        <v>2025</v>
      </c>
      <c r="D300" s="851"/>
      <c r="E300" s="852"/>
      <c r="F300" s="853"/>
      <c r="G300" s="851"/>
      <c r="H300" s="762">
        <f t="shared" ref="H300:H301" si="318">SUM(E300:G300)</f>
        <v>0</v>
      </c>
      <c r="I300" s="1220"/>
      <c r="J300" s="852"/>
      <c r="K300" s="853"/>
      <c r="L300" s="851"/>
      <c r="M300" s="762">
        <f t="shared" ref="M300:M301" si="319">SUM(J300:L300)</f>
        <v>0</v>
      </c>
      <c r="N300" s="854"/>
      <c r="O300" s="103">
        <f t="shared" ref="O300:O301" si="320">J300+E300</f>
        <v>0</v>
      </c>
      <c r="P300" s="103">
        <f t="shared" si="317"/>
        <v>0</v>
      </c>
      <c r="Q300" s="103">
        <f>L300+G300</f>
        <v>0</v>
      </c>
      <c r="R300" s="154">
        <f t="shared" ref="R300:R301" si="321">O300+P300+Q300</f>
        <v>0</v>
      </c>
      <c r="S300" s="1473"/>
    </row>
    <row r="301" spans="1:23" ht="54" customHeight="1" thickBot="1">
      <c r="A301" s="1244"/>
      <c r="B301" s="741"/>
      <c r="C301" s="16">
        <v>2026</v>
      </c>
      <c r="D301" s="855"/>
      <c r="E301" s="856"/>
      <c r="F301" s="857"/>
      <c r="G301" s="855"/>
      <c r="H301" s="763">
        <f t="shared" si="318"/>
        <v>0</v>
      </c>
      <c r="I301" s="1221"/>
      <c r="J301" s="856"/>
      <c r="K301" s="857"/>
      <c r="L301" s="855"/>
      <c r="M301" s="763">
        <f t="shared" si="319"/>
        <v>0</v>
      </c>
      <c r="N301" s="858"/>
      <c r="O301" s="103">
        <f t="shared" si="320"/>
        <v>0</v>
      </c>
      <c r="P301" s="103">
        <f t="shared" si="317"/>
        <v>0</v>
      </c>
      <c r="Q301" s="103">
        <f>L301+G301</f>
        <v>0</v>
      </c>
      <c r="R301" s="155">
        <f t="shared" si="321"/>
        <v>0</v>
      </c>
      <c r="S301" s="1474"/>
    </row>
    <row r="302" spans="1:23" ht="16.5" thickBot="1">
      <c r="A302" s="75">
        <v>87</v>
      </c>
      <c r="B302" s="76" t="s">
        <v>114</v>
      </c>
      <c r="C302" s="18"/>
      <c r="D302" s="272">
        <f>D303+D304+D305+D306+D307+D318+D322+D327</f>
        <v>13</v>
      </c>
      <c r="E302" s="272">
        <f>E303+E304+E305+E306+E307+E318+E322+E327</f>
        <v>384443</v>
      </c>
      <c r="F302" s="272">
        <f>F303+F304+F305+F306+F307+F318+F322+F327</f>
        <v>1338812</v>
      </c>
      <c r="G302" s="272">
        <f>G303+G304+G305+G306+G307+G318+G322+G327</f>
        <v>1459710</v>
      </c>
      <c r="H302" s="272">
        <f>H303+H304+H305+H306+H307+H318+H322+H327</f>
        <v>3182965</v>
      </c>
      <c r="I302" s="272"/>
      <c r="J302" s="272">
        <f>J303+J304+J305+J306+J307+J318+J322+J327</f>
        <v>27100</v>
      </c>
      <c r="K302" s="272">
        <f>K303+K304+K305+K306+K307+K318+K322+K327</f>
        <v>10000</v>
      </c>
      <c r="L302" s="272">
        <f>L303+L304+L305+L306+L307+L318+L322+L327</f>
        <v>3050251.2</v>
      </c>
      <c r="M302" s="272">
        <f>M303+M304+M305+M306+M307+M318+M322+M327</f>
        <v>3087351.2</v>
      </c>
      <c r="N302" s="272"/>
      <c r="O302" s="272">
        <f>O303+O304+O305+O306+O307+O318+O322+O327</f>
        <v>411543</v>
      </c>
      <c r="P302" s="272">
        <f>P303+P304+P305+P306+P307+P318+P322+P327</f>
        <v>1348812</v>
      </c>
      <c r="Q302" s="272">
        <f>Q303+Q304+Q305+Q306+Q307+Q318+Q322+Q327</f>
        <v>4509961.2</v>
      </c>
      <c r="R302" s="272">
        <f>R303+R304+R305+R306+R307+R318+R322+R327</f>
        <v>6270316.2000000002</v>
      </c>
      <c r="S302" s="272"/>
    </row>
    <row r="303" spans="1:23" ht="33.75" customHeight="1" thickBot="1">
      <c r="A303" s="236"/>
      <c r="B303" s="913" t="s">
        <v>165</v>
      </c>
      <c r="C303" s="225" t="s">
        <v>269</v>
      </c>
      <c r="D303" s="227"/>
      <c r="E303" s="227"/>
      <c r="F303" s="859">
        <v>20000</v>
      </c>
      <c r="G303" s="860"/>
      <c r="H303" s="234">
        <f>SUM(E303:G303)</f>
        <v>20000</v>
      </c>
      <c r="I303" s="805" t="s">
        <v>348</v>
      </c>
      <c r="J303" s="227"/>
      <c r="K303" s="859"/>
      <c r="L303" s="860">
        <v>106402</v>
      </c>
      <c r="M303" s="229">
        <f>SUM(J303:L303)</f>
        <v>106402</v>
      </c>
      <c r="N303" s="805" t="s">
        <v>349</v>
      </c>
      <c r="O303" s="227">
        <f>E303+J303</f>
        <v>0</v>
      </c>
      <c r="P303" s="227">
        <f t="shared" ref="P303" si="322">F303+K303</f>
        <v>20000</v>
      </c>
      <c r="Q303" s="227">
        <f t="shared" ref="Q303:R305" si="323">G303+L303</f>
        <v>106402</v>
      </c>
      <c r="R303" s="227">
        <f t="shared" si="323"/>
        <v>126402</v>
      </c>
      <c r="S303" s="236"/>
      <c r="T303" s="332"/>
      <c r="U303" s="332"/>
      <c r="V303" s="332"/>
      <c r="W303" s="332"/>
    </row>
    <row r="304" spans="1:23" ht="20.25" customHeight="1" thickBot="1">
      <c r="A304" s="237"/>
      <c r="B304" s="913" t="s">
        <v>116</v>
      </c>
      <c r="C304" s="79" t="s">
        <v>269</v>
      </c>
      <c r="D304" s="227"/>
      <c r="E304" s="227"/>
      <c r="F304" s="859"/>
      <c r="G304" s="860"/>
      <c r="H304" s="234">
        <f>SUM(E304:G304)</f>
        <v>0</v>
      </c>
      <c r="I304" s="880"/>
      <c r="J304" s="227"/>
      <c r="K304" s="859"/>
      <c r="L304" s="860">
        <v>3497.2</v>
      </c>
      <c r="M304" s="229">
        <f>SUM(J304:L304)</f>
        <v>3497.2</v>
      </c>
      <c r="N304" s="879" t="s">
        <v>350</v>
      </c>
      <c r="O304" s="227">
        <f>E304+J304</f>
        <v>0</v>
      </c>
      <c r="P304" s="227">
        <f>F304+K304</f>
        <v>0</v>
      </c>
      <c r="Q304" s="227">
        <f t="shared" si="323"/>
        <v>3497.2</v>
      </c>
      <c r="R304" s="227">
        <f t="shared" si="323"/>
        <v>3497.2</v>
      </c>
      <c r="S304" s="87"/>
      <c r="U304" s="332"/>
    </row>
    <row r="305" spans="1:19" s="188" customFormat="1" ht="54.75" customHeight="1" thickBot="1">
      <c r="A305" s="917"/>
      <c r="B305" s="914" t="s">
        <v>169</v>
      </c>
      <c r="C305" s="86" t="s">
        <v>269</v>
      </c>
      <c r="D305" s="250"/>
      <c r="E305" s="250"/>
      <c r="F305" s="256"/>
      <c r="G305" s="253"/>
      <c r="H305" s="262">
        <f>SUM(E305:G305)</f>
        <v>0</v>
      </c>
      <c r="I305" s="255"/>
      <c r="J305" s="250"/>
      <c r="K305" s="256">
        <v>10000</v>
      </c>
      <c r="L305" s="253">
        <f>603534+287022</f>
        <v>890556</v>
      </c>
      <c r="M305" s="257">
        <f>SUM(J305:L305)</f>
        <v>900556</v>
      </c>
      <c r="N305" s="861" t="s">
        <v>351</v>
      </c>
      <c r="O305" s="250">
        <f>E305+J305</f>
        <v>0</v>
      </c>
      <c r="P305" s="250">
        <f>F305+K305</f>
        <v>10000</v>
      </c>
      <c r="Q305" s="250">
        <f t="shared" si="323"/>
        <v>890556</v>
      </c>
      <c r="R305" s="250">
        <f t="shared" si="323"/>
        <v>900556</v>
      </c>
      <c r="S305" s="255" t="s">
        <v>195</v>
      </c>
    </row>
    <row r="306" spans="1:19" ht="31.5" customHeight="1" thickBot="1">
      <c r="A306" s="239"/>
      <c r="B306" s="915" t="s">
        <v>170</v>
      </c>
      <c r="C306" s="81" t="s">
        <v>269</v>
      </c>
      <c r="D306" s="227">
        <v>13</v>
      </c>
      <c r="E306" s="227"/>
      <c r="F306" s="862"/>
      <c r="G306" s="860"/>
      <c r="H306" s="264">
        <f>SUM(E306:G306)</f>
        <v>0</v>
      </c>
      <c r="I306" s="863"/>
      <c r="J306" s="227">
        <v>17000</v>
      </c>
      <c r="K306" s="862"/>
      <c r="L306" s="860">
        <v>52200</v>
      </c>
      <c r="M306" s="265">
        <f>L306+K306+J306</f>
        <v>69200</v>
      </c>
      <c r="N306" s="864" t="s">
        <v>352</v>
      </c>
      <c r="O306" s="227">
        <f>E306+J306</f>
        <v>17000</v>
      </c>
      <c r="P306" s="227">
        <f t="shared" ref="P306:R306" si="324">F306+K306</f>
        <v>0</v>
      </c>
      <c r="Q306" s="227">
        <f>G306+L306</f>
        <v>52200</v>
      </c>
      <c r="R306" s="227">
        <f t="shared" si="324"/>
        <v>69200</v>
      </c>
      <c r="S306" s="261" t="s">
        <v>195</v>
      </c>
    </row>
    <row r="307" spans="1:19" s="188" customFormat="1" ht="21" customHeight="1" thickBot="1">
      <c r="A307" s="917"/>
      <c r="B307" s="914" t="s">
        <v>171</v>
      </c>
      <c r="C307" s="86" t="s">
        <v>262</v>
      </c>
      <c r="D307" s="250">
        <f>D308+D309+D310+D311+D312+D313+D314+D315+D316+D317</f>
        <v>0</v>
      </c>
      <c r="E307" s="250">
        <f t="shared" ref="E307:F307" si="325">E308+E309+E310+E311+E312+E313+E314+E315+E316+E317</f>
        <v>16700</v>
      </c>
      <c r="F307" s="250">
        <f t="shared" si="325"/>
        <v>161266</v>
      </c>
      <c r="G307" s="250">
        <f>G308+G309+G310+G311+G312+G313+G314+G315+G316+G317</f>
        <v>259710</v>
      </c>
      <c r="H307" s="250">
        <f>H308+H309+H310+H311+H312+H313+H314+H315+H316+H317</f>
        <v>437676</v>
      </c>
      <c r="I307" s="250"/>
      <c r="J307" s="250">
        <f t="shared" ref="J307:L307" si="326">J308+J309+J310+J311+J312+J313+J314+J315+J316+J317</f>
        <v>0</v>
      </c>
      <c r="K307" s="250">
        <f t="shared" si="326"/>
        <v>0</v>
      </c>
      <c r="L307" s="250">
        <f t="shared" si="326"/>
        <v>646500</v>
      </c>
      <c r="M307" s="250">
        <f>M308+M309+M310+M311+M312+M313+M314+M315+M316+M317</f>
        <v>646500</v>
      </c>
      <c r="N307" s="250"/>
      <c r="O307" s="250">
        <f>O308+O309+O310+O311+O312+O313+O314+O315+O316+O317</f>
        <v>16700</v>
      </c>
      <c r="P307" s="250">
        <f t="shared" ref="P307:R307" si="327">P308+P309+P310+P311+P312+P313+P314+P315+P316+P317</f>
        <v>161266</v>
      </c>
      <c r="Q307" s="250">
        <f t="shared" si="327"/>
        <v>906210</v>
      </c>
      <c r="R307" s="250">
        <f t="shared" si="327"/>
        <v>1084176</v>
      </c>
      <c r="S307" s="254"/>
    </row>
    <row r="308" spans="1:19" ht="70.5" customHeight="1" thickBot="1">
      <c r="A308" s="239"/>
      <c r="B308" s="224" t="s">
        <v>172</v>
      </c>
      <c r="C308" s="81" t="s">
        <v>262</v>
      </c>
      <c r="D308" s="227"/>
      <c r="E308" s="227">
        <v>0</v>
      </c>
      <c r="F308" s="859">
        <v>0</v>
      </c>
      <c r="G308" s="860">
        <v>0</v>
      </c>
      <c r="H308" s="234">
        <f>E308+F308+G308</f>
        <v>0</v>
      </c>
      <c r="I308" s="806" t="s">
        <v>353</v>
      </c>
      <c r="J308" s="227"/>
      <c r="K308" s="859"/>
      <c r="L308" s="860"/>
      <c r="M308" s="229">
        <f>J308+K308+L308</f>
        <v>0</v>
      </c>
      <c r="N308" s="863"/>
      <c r="O308" s="227">
        <f>E308+J308</f>
        <v>0</v>
      </c>
      <c r="P308" s="227">
        <f>F308+K308</f>
        <v>0</v>
      </c>
      <c r="Q308" s="227">
        <f t="shared" ref="Q308" si="328">G308+L308</f>
        <v>0</v>
      </c>
      <c r="R308" s="227">
        <f>H308+M308</f>
        <v>0</v>
      </c>
      <c r="S308" s="237"/>
    </row>
    <row r="309" spans="1:19" ht="409.6" thickBot="1">
      <c r="A309" s="239"/>
      <c r="B309" s="224" t="s">
        <v>117</v>
      </c>
      <c r="C309" s="84" t="s">
        <v>262</v>
      </c>
      <c r="D309" s="227"/>
      <c r="E309" s="227"/>
      <c r="F309" s="859">
        <v>7000</v>
      </c>
      <c r="G309" s="865">
        <v>1000</v>
      </c>
      <c r="H309" s="234">
        <f t="shared" ref="H309:H317" si="329">E309+F309+G309</f>
        <v>8000</v>
      </c>
      <c r="I309" s="879" t="s">
        <v>354</v>
      </c>
      <c r="J309" s="227"/>
      <c r="K309" s="859"/>
      <c r="L309" s="860"/>
      <c r="M309" s="229">
        <f t="shared" ref="M309:M317" si="330">J309+K309+L309</f>
        <v>0</v>
      </c>
      <c r="N309" s="867"/>
      <c r="O309" s="227">
        <f t="shared" ref="O309:O317" si="331">E309+J309</f>
        <v>0</v>
      </c>
      <c r="P309" s="227">
        <f t="shared" ref="P309:P317" si="332">F309+K309</f>
        <v>7000</v>
      </c>
      <c r="Q309" s="227">
        <f t="shared" ref="Q309:Q317" si="333">G309+L309</f>
        <v>1000</v>
      </c>
      <c r="R309" s="227">
        <f t="shared" ref="R309:R317" si="334">H309+M309</f>
        <v>8000</v>
      </c>
      <c r="S309" s="239"/>
    </row>
    <row r="310" spans="1:19" ht="70.5" customHeight="1" thickBot="1">
      <c r="A310" s="239"/>
      <c r="B310" s="224" t="s">
        <v>118</v>
      </c>
      <c r="C310" s="81" t="s">
        <v>262</v>
      </c>
      <c r="D310" s="319"/>
      <c r="E310" s="319"/>
      <c r="F310" s="320">
        <v>10016</v>
      </c>
      <c r="G310" s="321"/>
      <c r="H310" s="322">
        <f t="shared" si="329"/>
        <v>10016</v>
      </c>
      <c r="I310" s="864" t="s">
        <v>355</v>
      </c>
      <c r="J310" s="227"/>
      <c r="K310" s="862"/>
      <c r="L310" s="860">
        <v>646500</v>
      </c>
      <c r="M310" s="265">
        <f t="shared" si="330"/>
        <v>646500</v>
      </c>
      <c r="N310" s="866" t="s">
        <v>356</v>
      </c>
      <c r="O310" s="227">
        <f t="shared" si="331"/>
        <v>0</v>
      </c>
      <c r="P310" s="227">
        <f t="shared" si="332"/>
        <v>10016</v>
      </c>
      <c r="Q310" s="227">
        <f t="shared" si="333"/>
        <v>646500</v>
      </c>
      <c r="R310" s="227">
        <f t="shared" si="334"/>
        <v>656516</v>
      </c>
      <c r="S310" s="266" t="s">
        <v>195</v>
      </c>
    </row>
    <row r="311" spans="1:19" ht="76.5" customHeight="1" thickBot="1">
      <c r="A311" s="239"/>
      <c r="B311" s="224" t="s">
        <v>120</v>
      </c>
      <c r="C311" s="81" t="s">
        <v>262</v>
      </c>
      <c r="D311" s="227"/>
      <c r="E311" s="227"/>
      <c r="F311" s="859">
        <v>133250</v>
      </c>
      <c r="G311" s="860">
        <v>5000</v>
      </c>
      <c r="H311" s="234">
        <f t="shared" si="329"/>
        <v>138250</v>
      </c>
      <c r="I311" s="866" t="s">
        <v>357</v>
      </c>
      <c r="J311" s="227"/>
      <c r="K311" s="859"/>
      <c r="L311" s="860"/>
      <c r="M311" s="229">
        <f t="shared" si="330"/>
        <v>0</v>
      </c>
      <c r="N311" s="867"/>
      <c r="O311" s="227">
        <f t="shared" si="331"/>
        <v>0</v>
      </c>
      <c r="P311" s="227">
        <f t="shared" si="332"/>
        <v>133250</v>
      </c>
      <c r="Q311" s="227">
        <f t="shared" si="333"/>
        <v>5000</v>
      </c>
      <c r="R311" s="227">
        <f t="shared" si="334"/>
        <v>138250</v>
      </c>
      <c r="S311" s="239"/>
    </row>
    <row r="312" spans="1:19" ht="60.75" customHeight="1" thickBot="1">
      <c r="A312" s="239"/>
      <c r="B312" s="224" t="s">
        <v>121</v>
      </c>
      <c r="C312" s="84" t="s">
        <v>262</v>
      </c>
      <c r="D312" s="227"/>
      <c r="E312" s="227">
        <v>0</v>
      </c>
      <c r="F312" s="862">
        <v>0</v>
      </c>
      <c r="G312" s="860">
        <v>0</v>
      </c>
      <c r="H312" s="264">
        <f>E312+F312+G312</f>
        <v>0</v>
      </c>
      <c r="I312" s="866" t="s">
        <v>358</v>
      </c>
      <c r="J312" s="227"/>
      <c r="K312" s="859"/>
      <c r="L312" s="860"/>
      <c r="M312" s="229">
        <f t="shared" si="330"/>
        <v>0</v>
      </c>
      <c r="N312" s="867"/>
      <c r="O312" s="227">
        <f t="shared" si="331"/>
        <v>0</v>
      </c>
      <c r="P312" s="227">
        <f t="shared" si="332"/>
        <v>0</v>
      </c>
      <c r="Q312" s="227">
        <f t="shared" si="333"/>
        <v>0</v>
      </c>
      <c r="R312" s="227">
        <f t="shared" si="334"/>
        <v>0</v>
      </c>
      <c r="S312" s="239"/>
    </row>
    <row r="313" spans="1:19" ht="67.5" customHeight="1" thickBot="1">
      <c r="A313" s="239"/>
      <c r="B313" s="911" t="s">
        <v>122</v>
      </c>
      <c r="C313" s="81" t="s">
        <v>262</v>
      </c>
      <c r="D313" s="227"/>
      <c r="E313" s="227">
        <v>500</v>
      </c>
      <c r="F313" s="862"/>
      <c r="G313" s="860"/>
      <c r="H313" s="264">
        <f t="shared" si="329"/>
        <v>500</v>
      </c>
      <c r="I313" s="866" t="s">
        <v>359</v>
      </c>
      <c r="J313" s="227"/>
      <c r="K313" s="859"/>
      <c r="L313" s="860"/>
      <c r="M313" s="229">
        <f t="shared" si="330"/>
        <v>0</v>
      </c>
      <c r="N313" s="868"/>
      <c r="O313" s="227">
        <f t="shared" si="331"/>
        <v>500</v>
      </c>
      <c r="P313" s="227">
        <f t="shared" si="332"/>
        <v>0</v>
      </c>
      <c r="Q313" s="227">
        <f t="shared" si="333"/>
        <v>0</v>
      </c>
      <c r="R313" s="227">
        <f t="shared" si="334"/>
        <v>500</v>
      </c>
      <c r="S313" s="239"/>
    </row>
    <row r="314" spans="1:19" ht="33.75" customHeight="1" thickBot="1">
      <c r="A314" s="239"/>
      <c r="B314" s="911" t="s">
        <v>174</v>
      </c>
      <c r="C314" s="81" t="s">
        <v>262</v>
      </c>
      <c r="D314" s="227"/>
      <c r="E314" s="227">
        <v>0</v>
      </c>
      <c r="F314" s="862">
        <v>0</v>
      </c>
      <c r="G314" s="860">
        <v>0</v>
      </c>
      <c r="H314" s="264">
        <f t="shared" si="329"/>
        <v>0</v>
      </c>
      <c r="I314" s="868" t="s">
        <v>360</v>
      </c>
      <c r="J314" s="227"/>
      <c r="K314" s="859"/>
      <c r="L314" s="860"/>
      <c r="M314" s="229">
        <f t="shared" si="330"/>
        <v>0</v>
      </c>
      <c r="N314" s="869"/>
      <c r="O314" s="227">
        <f t="shared" si="331"/>
        <v>0</v>
      </c>
      <c r="P314" s="227">
        <f t="shared" si="332"/>
        <v>0</v>
      </c>
      <c r="Q314" s="227">
        <f t="shared" si="333"/>
        <v>0</v>
      </c>
      <c r="R314" s="227">
        <f t="shared" si="334"/>
        <v>0</v>
      </c>
      <c r="S314" s="239"/>
    </row>
    <row r="315" spans="1:19" ht="41.25" customHeight="1" thickBot="1">
      <c r="A315" s="239"/>
      <c r="B315" s="912" t="s">
        <v>175</v>
      </c>
      <c r="C315" s="81" t="s">
        <v>262</v>
      </c>
      <c r="D315" s="227"/>
      <c r="E315" s="227"/>
      <c r="F315" s="859"/>
      <c r="G315" s="860"/>
      <c r="H315" s="234">
        <f t="shared" si="329"/>
        <v>0</v>
      </c>
      <c r="I315" s="870" t="s">
        <v>361</v>
      </c>
      <c r="J315" s="227"/>
      <c r="K315" s="859"/>
      <c r="L315" s="860"/>
      <c r="M315" s="229">
        <f t="shared" si="330"/>
        <v>0</v>
      </c>
      <c r="N315" s="870"/>
      <c r="O315" s="227">
        <f t="shared" si="331"/>
        <v>0</v>
      </c>
      <c r="P315" s="227">
        <f t="shared" si="332"/>
        <v>0</v>
      </c>
      <c r="Q315" s="227">
        <f t="shared" si="333"/>
        <v>0</v>
      </c>
      <c r="R315" s="227">
        <f t="shared" si="334"/>
        <v>0</v>
      </c>
      <c r="S315" s="240"/>
    </row>
    <row r="316" spans="1:19" ht="51" customHeight="1" thickBot="1">
      <c r="A316" s="239"/>
      <c r="B316" s="912" t="s">
        <v>263</v>
      </c>
      <c r="C316" s="81" t="s">
        <v>262</v>
      </c>
      <c r="D316" s="227"/>
      <c r="E316" s="227">
        <f>15200+1000</f>
        <v>16200</v>
      </c>
      <c r="F316" s="862">
        <f>8000+3000</f>
        <v>11000</v>
      </c>
      <c r="G316" s="860">
        <f>26000+2000+10000+5000+2000+15000+36030+65600+101680</f>
        <v>263310</v>
      </c>
      <c r="H316" s="264">
        <f t="shared" si="329"/>
        <v>290510</v>
      </c>
      <c r="I316" s="871" t="s">
        <v>362</v>
      </c>
      <c r="J316" s="227"/>
      <c r="K316" s="859"/>
      <c r="L316" s="860"/>
      <c r="M316" s="229">
        <f t="shared" si="330"/>
        <v>0</v>
      </c>
      <c r="N316" s="870"/>
      <c r="O316" s="227">
        <f t="shared" si="331"/>
        <v>16200</v>
      </c>
      <c r="P316" s="227">
        <f t="shared" si="332"/>
        <v>11000</v>
      </c>
      <c r="Q316" s="227">
        <f t="shared" si="333"/>
        <v>263310</v>
      </c>
      <c r="R316" s="227">
        <f t="shared" si="334"/>
        <v>290510</v>
      </c>
      <c r="S316" s="240"/>
    </row>
    <row r="317" spans="1:19" ht="59.25" customHeight="1" thickBot="1">
      <c r="A317" s="239"/>
      <c r="B317" s="912" t="s">
        <v>264</v>
      </c>
      <c r="C317" s="81" t="s">
        <v>262</v>
      </c>
      <c r="D317" s="227"/>
      <c r="E317" s="227"/>
      <c r="F317" s="862"/>
      <c r="G317" s="860">
        <v>-9600</v>
      </c>
      <c r="H317" s="264">
        <f t="shared" si="329"/>
        <v>-9600</v>
      </c>
      <c r="I317" s="871" t="s">
        <v>363</v>
      </c>
      <c r="J317" s="227"/>
      <c r="K317" s="859"/>
      <c r="L317" s="860"/>
      <c r="M317" s="229">
        <f t="shared" si="330"/>
        <v>0</v>
      </c>
      <c r="N317" s="870"/>
      <c r="O317" s="227">
        <f t="shared" si="331"/>
        <v>0</v>
      </c>
      <c r="P317" s="227">
        <f t="shared" si="332"/>
        <v>0</v>
      </c>
      <c r="Q317" s="227">
        <f t="shared" si="333"/>
        <v>-9600</v>
      </c>
      <c r="R317" s="227">
        <f t="shared" si="334"/>
        <v>-9600</v>
      </c>
      <c r="S317" s="240"/>
    </row>
    <row r="318" spans="1:19" s="188" customFormat="1" ht="21" customHeight="1" thickBot="1">
      <c r="A318" s="917"/>
      <c r="B318" s="914" t="s">
        <v>176</v>
      </c>
      <c r="C318" s="86" t="s">
        <v>262</v>
      </c>
      <c r="D318" s="250">
        <f>D319+D320+D321</f>
        <v>0</v>
      </c>
      <c r="E318" s="250">
        <f t="shared" ref="E318:M318" si="335">E319+E320+E321</f>
        <v>365393</v>
      </c>
      <c r="F318" s="250">
        <f t="shared" si="335"/>
        <v>1157192</v>
      </c>
      <c r="G318" s="250">
        <f t="shared" si="335"/>
        <v>1200000</v>
      </c>
      <c r="H318" s="250">
        <f>H319+H320+H321</f>
        <v>2722585</v>
      </c>
      <c r="I318" s="250"/>
      <c r="J318" s="250">
        <f t="shared" si="335"/>
        <v>10100</v>
      </c>
      <c r="K318" s="250">
        <f t="shared" si="335"/>
        <v>0</v>
      </c>
      <c r="L318" s="250">
        <f t="shared" si="335"/>
        <v>1351096</v>
      </c>
      <c r="M318" s="250">
        <f t="shared" si="335"/>
        <v>1361196</v>
      </c>
      <c r="N318" s="250"/>
      <c r="O318" s="250">
        <f t="shared" ref="O318:R318" si="336">O319+O320+O321</f>
        <v>375493</v>
      </c>
      <c r="P318" s="250">
        <f t="shared" si="336"/>
        <v>1157192</v>
      </c>
      <c r="Q318" s="250">
        <f t="shared" si="336"/>
        <v>2551096</v>
      </c>
      <c r="R318" s="250">
        <f t="shared" si="336"/>
        <v>4083781</v>
      </c>
      <c r="S318" s="254"/>
    </row>
    <row r="319" spans="1:19" s="219" customFormat="1" ht="183" customHeight="1" thickBot="1">
      <c r="A319" s="239"/>
      <c r="B319" s="224" t="s">
        <v>123</v>
      </c>
      <c r="C319" s="218" t="s">
        <v>262</v>
      </c>
      <c r="D319" s="227"/>
      <c r="E319" s="227">
        <v>175994</v>
      </c>
      <c r="F319" s="862">
        <v>1157192</v>
      </c>
      <c r="G319" s="860">
        <f>500000+700000</f>
        <v>1200000</v>
      </c>
      <c r="H319" s="264">
        <f>E319+F319+G319</f>
        <v>2533186</v>
      </c>
      <c r="I319" s="247" t="s">
        <v>364</v>
      </c>
      <c r="J319" s="227">
        <v>0</v>
      </c>
      <c r="K319" s="862">
        <v>0</v>
      </c>
      <c r="L319" s="860">
        <v>0</v>
      </c>
      <c r="M319" s="265">
        <f t="shared" ref="M319:M320" si="337">SUM(J319:L319)</f>
        <v>0</v>
      </c>
      <c r="N319" s="247"/>
      <c r="O319" s="227">
        <f>E319+J319</f>
        <v>175994</v>
      </c>
      <c r="P319" s="227">
        <f t="shared" ref="P319:R319" si="338">F319+K319</f>
        <v>1157192</v>
      </c>
      <c r="Q319" s="227">
        <f>G319+L319</f>
        <v>1200000</v>
      </c>
      <c r="R319" s="227">
        <f t="shared" si="338"/>
        <v>2533186</v>
      </c>
      <c r="S319" s="242"/>
    </row>
    <row r="320" spans="1:19" ht="183" customHeight="1" thickBot="1">
      <c r="A320" s="239"/>
      <c r="B320" s="224" t="s">
        <v>177</v>
      </c>
      <c r="C320" s="81" t="s">
        <v>262</v>
      </c>
      <c r="D320" s="227"/>
      <c r="E320" s="227">
        <v>33500</v>
      </c>
      <c r="F320" s="862">
        <v>0</v>
      </c>
      <c r="G320" s="860">
        <v>0</v>
      </c>
      <c r="H320" s="264">
        <f>E320+F320+G320</f>
        <v>33500</v>
      </c>
      <c r="I320" s="866" t="s">
        <v>365</v>
      </c>
      <c r="J320" s="227">
        <v>10100</v>
      </c>
      <c r="K320" s="862">
        <v>0</v>
      </c>
      <c r="L320" s="860">
        <v>277700</v>
      </c>
      <c r="M320" s="265">
        <f t="shared" si="337"/>
        <v>287800</v>
      </c>
      <c r="N320" s="866" t="s">
        <v>366</v>
      </c>
      <c r="O320" s="227">
        <f>E320+J320</f>
        <v>43600</v>
      </c>
      <c r="P320" s="227">
        <f t="shared" ref="P320" si="339">F320+K320</f>
        <v>0</v>
      </c>
      <c r="Q320" s="227">
        <f>G320+L320</f>
        <v>277700</v>
      </c>
      <c r="R320" s="227">
        <f>H320+M320</f>
        <v>321300</v>
      </c>
      <c r="S320" s="239"/>
    </row>
    <row r="321" spans="1:19" ht="76.5" customHeight="1" thickBot="1">
      <c r="A321" s="239"/>
      <c r="B321" s="911" t="s">
        <v>178</v>
      </c>
      <c r="C321" s="81" t="s">
        <v>262</v>
      </c>
      <c r="D321" s="227"/>
      <c r="E321" s="227">
        <v>155899</v>
      </c>
      <c r="F321" s="862">
        <v>0</v>
      </c>
      <c r="G321" s="860">
        <v>0</v>
      </c>
      <c r="H321" s="264">
        <f>E321+F321+G321</f>
        <v>155899</v>
      </c>
      <c r="I321" s="871" t="s">
        <v>367</v>
      </c>
      <c r="J321" s="227">
        <v>0</v>
      </c>
      <c r="K321" s="862">
        <v>0</v>
      </c>
      <c r="L321" s="860">
        <v>1073396</v>
      </c>
      <c r="M321" s="265">
        <f>SUM(J321:L321)</f>
        <v>1073396</v>
      </c>
      <c r="N321" s="871" t="s">
        <v>368</v>
      </c>
      <c r="O321" s="227">
        <f>J321+E321</f>
        <v>155899</v>
      </c>
      <c r="P321" s="227">
        <f t="shared" ref="P321:R321" si="340">K321+F321</f>
        <v>0</v>
      </c>
      <c r="Q321" s="227">
        <f>L321+G321</f>
        <v>1073396</v>
      </c>
      <c r="R321" s="227">
        <f t="shared" si="340"/>
        <v>1229295</v>
      </c>
      <c r="S321" s="240"/>
    </row>
    <row r="322" spans="1:19" s="188" customFormat="1" ht="21" customHeight="1" thickBot="1">
      <c r="A322" s="917"/>
      <c r="B322" s="914" t="s">
        <v>179</v>
      </c>
      <c r="C322" s="86" t="s">
        <v>262</v>
      </c>
      <c r="D322" s="250">
        <f>D323+D324+D325</f>
        <v>0</v>
      </c>
      <c r="E322" s="250">
        <f>E323+E324+E325</f>
        <v>2350</v>
      </c>
      <c r="F322" s="250">
        <f t="shared" ref="F322:M322" si="341">F323+F324+F325</f>
        <v>354</v>
      </c>
      <c r="G322" s="250">
        <f t="shared" si="341"/>
        <v>0</v>
      </c>
      <c r="H322" s="250">
        <f>H323+H324+H325</f>
        <v>2704</v>
      </c>
      <c r="I322" s="250"/>
      <c r="J322" s="250">
        <f>J323+J324+J325</f>
        <v>0</v>
      </c>
      <c r="K322" s="250">
        <f t="shared" si="341"/>
        <v>0</v>
      </c>
      <c r="L322" s="250">
        <f t="shared" si="341"/>
        <v>0</v>
      </c>
      <c r="M322" s="250">
        <f t="shared" si="341"/>
        <v>0</v>
      </c>
      <c r="N322" s="250"/>
      <c r="O322" s="250">
        <f t="shared" ref="O322:R322" si="342">O323+O324+O325</f>
        <v>2350</v>
      </c>
      <c r="P322" s="250">
        <f t="shared" si="342"/>
        <v>354</v>
      </c>
      <c r="Q322" s="250">
        <f t="shared" si="342"/>
        <v>0</v>
      </c>
      <c r="R322" s="250">
        <f t="shared" si="342"/>
        <v>2704</v>
      </c>
      <c r="S322" s="254"/>
    </row>
    <row r="323" spans="1:19" ht="26.25" customHeight="1" thickBot="1">
      <c r="A323" s="239"/>
      <c r="B323" s="224" t="s">
        <v>124</v>
      </c>
      <c r="C323" s="84" t="s">
        <v>262</v>
      </c>
      <c r="D323" s="227"/>
      <c r="E323" s="227">
        <v>0</v>
      </c>
      <c r="F323" s="862">
        <v>0</v>
      </c>
      <c r="G323" s="860">
        <v>0</v>
      </c>
      <c r="H323" s="264">
        <f t="shared" ref="H323:H324" si="343">G323+F323+E323</f>
        <v>0</v>
      </c>
      <c r="I323" s="864" t="s">
        <v>369</v>
      </c>
      <c r="J323" s="227"/>
      <c r="K323" s="859"/>
      <c r="L323" s="860"/>
      <c r="M323" s="229"/>
      <c r="N323" s="863"/>
      <c r="O323" s="227">
        <f>E323+J323</f>
        <v>0</v>
      </c>
      <c r="P323" s="227">
        <f t="shared" ref="P323" si="344">F323+K323</f>
        <v>0</v>
      </c>
      <c r="Q323" s="227">
        <f>G323+L323</f>
        <v>0</v>
      </c>
      <c r="R323" s="227">
        <f>H323+M323</f>
        <v>0</v>
      </c>
      <c r="S323" s="237"/>
    </row>
    <row r="324" spans="1:19" ht="27" customHeight="1" thickBot="1">
      <c r="A324" s="239"/>
      <c r="B324" s="224" t="s">
        <v>125</v>
      </c>
      <c r="C324" s="81" t="s">
        <v>262</v>
      </c>
      <c r="D324" s="227"/>
      <c r="E324" s="227">
        <f>2000+350</f>
        <v>2350</v>
      </c>
      <c r="F324" s="859">
        <v>354</v>
      </c>
      <c r="G324" s="860"/>
      <c r="H324" s="234">
        <f t="shared" si="343"/>
        <v>2704</v>
      </c>
      <c r="I324" s="866" t="s">
        <v>370</v>
      </c>
      <c r="J324" s="227"/>
      <c r="K324" s="859"/>
      <c r="L324" s="860"/>
      <c r="M324" s="229"/>
      <c r="N324" s="868"/>
      <c r="O324" s="227">
        <f>J324+E324</f>
        <v>2350</v>
      </c>
      <c r="P324" s="227">
        <f t="shared" ref="P324:R324" si="345">K324+F324</f>
        <v>354</v>
      </c>
      <c r="Q324" s="227">
        <f>L324+G324</f>
        <v>0</v>
      </c>
      <c r="R324" s="227">
        <f t="shared" si="345"/>
        <v>2704</v>
      </c>
      <c r="S324" s="239"/>
    </row>
    <row r="325" spans="1:19" ht="27" customHeight="1" thickBot="1">
      <c r="A325" s="239"/>
      <c r="B325" s="224" t="s">
        <v>180</v>
      </c>
      <c r="C325" s="84" t="s">
        <v>262</v>
      </c>
      <c r="D325" s="227"/>
      <c r="E325" s="227">
        <v>0</v>
      </c>
      <c r="F325" s="862">
        <v>0</v>
      </c>
      <c r="G325" s="860">
        <v>0</v>
      </c>
      <c r="H325" s="264">
        <f>G325+F325+E325</f>
        <v>0</v>
      </c>
      <c r="I325" s="872" t="s">
        <v>371</v>
      </c>
      <c r="J325" s="227"/>
      <c r="K325" s="862"/>
      <c r="L325" s="860"/>
      <c r="M325" s="265"/>
      <c r="N325" s="873"/>
      <c r="O325" s="227">
        <f>E325+J325</f>
        <v>0</v>
      </c>
      <c r="P325" s="227">
        <f t="shared" ref="P325:R327" si="346">F325+K325</f>
        <v>0</v>
      </c>
      <c r="Q325" s="227">
        <f t="shared" si="346"/>
        <v>0</v>
      </c>
      <c r="R325" s="227">
        <f t="shared" si="346"/>
        <v>0</v>
      </c>
      <c r="S325" s="240"/>
    </row>
    <row r="326" spans="1:19" ht="69.75" customHeight="1" thickBot="1">
      <c r="A326" s="918"/>
      <c r="B326" s="914" t="s">
        <v>347</v>
      </c>
      <c r="C326" s="86"/>
      <c r="D326" s="874">
        <v>10</v>
      </c>
      <c r="E326" s="250"/>
      <c r="F326" s="250">
        <f>14700+60830</f>
        <v>75530</v>
      </c>
      <c r="G326" s="250">
        <f>-50000+8500</f>
        <v>-41500</v>
      </c>
      <c r="H326" s="250">
        <f>E326+F326+G326</f>
        <v>34030</v>
      </c>
      <c r="I326" s="861" t="s">
        <v>372</v>
      </c>
      <c r="J326" s="875">
        <v>14768</v>
      </c>
      <c r="K326" s="876"/>
      <c r="L326" s="877"/>
      <c r="M326" s="878">
        <f t="shared" ref="M326" si="347">J326+K326+L326</f>
        <v>14768</v>
      </c>
      <c r="N326" s="861" t="s">
        <v>373</v>
      </c>
      <c r="O326" s="231">
        <f>J326+E326</f>
        <v>14768</v>
      </c>
      <c r="P326" s="231">
        <f t="shared" ref="P326:R326" si="348">K326+F326</f>
        <v>75530</v>
      </c>
      <c r="Q326" s="231">
        <f>L326+G326</f>
        <v>-41500</v>
      </c>
      <c r="R326" s="231">
        <f t="shared" si="348"/>
        <v>48798</v>
      </c>
      <c r="S326" s="241"/>
    </row>
    <row r="327" spans="1:19" ht="50.25" customHeight="1" thickBot="1">
      <c r="A327" s="919"/>
      <c r="B327" s="916" t="s">
        <v>181</v>
      </c>
      <c r="C327" s="86" t="s">
        <v>262</v>
      </c>
      <c r="D327" s="231"/>
      <c r="E327" s="231"/>
      <c r="F327" s="271"/>
      <c r="G327" s="232"/>
      <c r="H327" s="235">
        <f>SUM(F327:G327)</f>
        <v>0</v>
      </c>
      <c r="I327" s="270" t="s">
        <v>374</v>
      </c>
      <c r="J327" s="231"/>
      <c r="K327" s="230"/>
      <c r="L327" s="232"/>
      <c r="M327" s="233"/>
      <c r="N327" s="241"/>
      <c r="O327" s="231">
        <f>E327+J327</f>
        <v>0</v>
      </c>
      <c r="P327" s="231">
        <f>F327+K327</f>
        <v>0</v>
      </c>
      <c r="Q327" s="231">
        <f t="shared" si="346"/>
        <v>0</v>
      </c>
      <c r="R327" s="231">
        <f t="shared" si="346"/>
        <v>0</v>
      </c>
      <c r="S327" s="241"/>
    </row>
    <row r="328" spans="1:19" ht="16.5" thickBot="1">
      <c r="A328" s="48">
        <v>88</v>
      </c>
      <c r="B328" s="17" t="s">
        <v>126</v>
      </c>
      <c r="C328" s="18"/>
      <c r="D328" s="181"/>
      <c r="E328" s="901"/>
      <c r="F328" s="902"/>
      <c r="G328" s="162"/>
      <c r="H328" s="61"/>
      <c r="I328" s="198"/>
      <c r="J328" s="161"/>
      <c r="K328" s="162"/>
      <c r="L328" s="181"/>
      <c r="M328" s="127"/>
      <c r="N328" s="192"/>
      <c r="O328" s="162"/>
      <c r="P328" s="181"/>
      <c r="Q328" s="177"/>
      <c r="R328" s="112"/>
      <c r="S328" s="193"/>
    </row>
    <row r="329" spans="1:19" ht="15.75">
      <c r="A329" s="19">
        <v>1110</v>
      </c>
      <c r="B329" s="1210" t="s">
        <v>127</v>
      </c>
      <c r="C329" s="212">
        <v>2024</v>
      </c>
      <c r="D329" s="49"/>
      <c r="E329" s="19"/>
      <c r="F329" s="58"/>
      <c r="G329" s="103"/>
      <c r="H329" s="30"/>
      <c r="I329" s="19"/>
      <c r="J329" s="334"/>
      <c r="K329" s="31"/>
      <c r="L329" s="30"/>
      <c r="M329" s="343">
        <f>SUM(J329:L329)</f>
        <v>0</v>
      </c>
      <c r="N329" s="1335"/>
      <c r="O329" s="103">
        <f>J329</f>
        <v>0</v>
      </c>
      <c r="P329" s="103">
        <f t="shared" ref="P329:Q329" si="349">K329</f>
        <v>0</v>
      </c>
      <c r="Q329" s="103">
        <f t="shared" si="349"/>
        <v>0</v>
      </c>
      <c r="R329" s="103">
        <f>M329</f>
        <v>0</v>
      </c>
      <c r="S329" s="31"/>
    </row>
    <row r="330" spans="1:19" ht="15.75">
      <c r="A330" s="87">
        <v>1110</v>
      </c>
      <c r="B330" s="1211"/>
      <c r="C330" s="213">
        <v>2025</v>
      </c>
      <c r="D330" s="30"/>
      <c r="E330" s="87"/>
      <c r="F330" s="69"/>
      <c r="G330" s="105"/>
      <c r="H330" s="30"/>
      <c r="I330" s="87"/>
      <c r="J330" s="335"/>
      <c r="K330" s="34"/>
      <c r="L330" s="30"/>
      <c r="M330" s="351">
        <f>SUM(J330:L330)</f>
        <v>0</v>
      </c>
      <c r="N330" s="1336"/>
      <c r="O330" s="103">
        <f t="shared" ref="O330:O331" si="350">J330</f>
        <v>0</v>
      </c>
      <c r="P330" s="103">
        <f t="shared" ref="P330:P331" si="351">K330</f>
        <v>0</v>
      </c>
      <c r="Q330" s="103">
        <f t="shared" ref="Q330:Q331" si="352">L330</f>
        <v>0</v>
      </c>
      <c r="R330" s="103">
        <f t="shared" ref="R330:R331" si="353">M330</f>
        <v>0</v>
      </c>
      <c r="S330" s="34"/>
    </row>
    <row r="331" spans="1:19" ht="16.5" thickBot="1">
      <c r="A331" s="20">
        <v>1110</v>
      </c>
      <c r="B331" s="1212"/>
      <c r="C331" s="16">
        <v>2026</v>
      </c>
      <c r="D331" s="37"/>
      <c r="E331" s="20"/>
      <c r="F331" s="70"/>
      <c r="G331" s="109"/>
      <c r="H331" s="37"/>
      <c r="I331" s="20"/>
      <c r="J331" s="336"/>
      <c r="K331" s="38"/>
      <c r="L331" s="37"/>
      <c r="M331" s="346">
        <f>SUM(J331:L331)</f>
        <v>0</v>
      </c>
      <c r="N331" s="1337"/>
      <c r="O331" s="103">
        <f t="shared" si="350"/>
        <v>0</v>
      </c>
      <c r="P331" s="103">
        <f t="shared" si="351"/>
        <v>0</v>
      </c>
      <c r="Q331" s="103">
        <f t="shared" si="352"/>
        <v>0</v>
      </c>
      <c r="R331" s="103">
        <f t="shared" si="353"/>
        <v>0</v>
      </c>
      <c r="S331" s="38"/>
    </row>
    <row r="332" spans="1:19" ht="32.25" thickBot="1">
      <c r="A332" s="48">
        <v>89</v>
      </c>
      <c r="B332" s="900" t="s">
        <v>128</v>
      </c>
      <c r="C332" s="17"/>
      <c r="D332" s="181"/>
      <c r="E332" s="901">
        <f>E333</f>
        <v>18300</v>
      </c>
      <c r="F332" s="901">
        <f t="shared" ref="F332:H332" si="354">F333</f>
        <v>22800</v>
      </c>
      <c r="G332" s="901">
        <f t="shared" si="354"/>
        <v>17000</v>
      </c>
      <c r="H332" s="901">
        <f t="shared" si="354"/>
        <v>58100</v>
      </c>
      <c r="I332" s="198"/>
      <c r="J332" s="161">
        <f>J333</f>
        <v>0</v>
      </c>
      <c r="K332" s="161">
        <f t="shared" ref="K332:M332" si="355">K333</f>
        <v>22000</v>
      </c>
      <c r="L332" s="161">
        <f t="shared" si="355"/>
        <v>14500</v>
      </c>
      <c r="M332" s="161">
        <f t="shared" si="355"/>
        <v>36500</v>
      </c>
      <c r="N332" s="192"/>
      <c r="O332" s="161">
        <f>O333</f>
        <v>18300</v>
      </c>
      <c r="P332" s="181">
        <f t="shared" ref="P332" si="356">P333</f>
        <v>44800</v>
      </c>
      <c r="Q332" s="177">
        <f t="shared" ref="Q332" si="357">Q333</f>
        <v>31500</v>
      </c>
      <c r="R332" s="112">
        <f t="shared" ref="R332" si="358">R333</f>
        <v>94600</v>
      </c>
      <c r="S332" s="192"/>
    </row>
    <row r="333" spans="1:19" ht="46.5" customHeight="1">
      <c r="A333" s="19" t="s">
        <v>48</v>
      </c>
      <c r="B333" s="54" t="s">
        <v>65</v>
      </c>
      <c r="C333" s="212">
        <v>2024</v>
      </c>
      <c r="D333" s="49"/>
      <c r="E333" s="905">
        <v>18300</v>
      </c>
      <c r="F333" s="905">
        <v>22800</v>
      </c>
      <c r="G333" s="906">
        <v>17000</v>
      </c>
      <c r="H333" s="907">
        <f>E333+F333+G333</f>
        <v>58100</v>
      </c>
      <c r="I333" s="1196" t="s">
        <v>409</v>
      </c>
      <c r="J333" s="343"/>
      <c r="K333" s="355">
        <v>22000</v>
      </c>
      <c r="L333" s="343">
        <v>14500</v>
      </c>
      <c r="M333" s="356">
        <f>SUM(J333:L333)</f>
        <v>36500</v>
      </c>
      <c r="N333" s="1335" t="s">
        <v>410</v>
      </c>
      <c r="O333" s="103">
        <f>J333+E333</f>
        <v>18300</v>
      </c>
      <c r="P333" s="103">
        <f t="shared" ref="P333" si="359">K333+F333</f>
        <v>44800</v>
      </c>
      <c r="Q333" s="103">
        <f>L333+G333</f>
        <v>31500</v>
      </c>
      <c r="R333" s="103">
        <f>O333+P333+Q333</f>
        <v>94600</v>
      </c>
      <c r="S333" s="31"/>
    </row>
    <row r="334" spans="1:19" ht="48.75" customHeight="1">
      <c r="A334" s="55" t="s">
        <v>48</v>
      </c>
      <c r="B334" s="69"/>
      <c r="C334" s="213">
        <v>2025</v>
      </c>
      <c r="D334" s="30"/>
      <c r="E334" s="905">
        <v>18300</v>
      </c>
      <c r="F334" s="905">
        <v>15800</v>
      </c>
      <c r="G334" s="908">
        <v>3000</v>
      </c>
      <c r="H334" s="907">
        <f t="shared" ref="H334:H335" si="360">E334+F334+G334</f>
        <v>37100</v>
      </c>
      <c r="I334" s="1197"/>
      <c r="J334" s="344"/>
      <c r="K334" s="335"/>
      <c r="L334" s="351"/>
      <c r="M334" s="351">
        <f>SUM(J334:L334)</f>
        <v>0</v>
      </c>
      <c r="N334" s="1336"/>
      <c r="O334" s="103">
        <f t="shared" ref="O334:O335" si="361">J334+E334</f>
        <v>18300</v>
      </c>
      <c r="P334" s="103">
        <f t="shared" ref="P334:P335" si="362">K334+F334</f>
        <v>15800</v>
      </c>
      <c r="Q334" s="103">
        <f t="shared" ref="Q334:Q335" si="363">L334+G334</f>
        <v>3000</v>
      </c>
      <c r="R334" s="103">
        <f t="shared" ref="R334:R335" si="364">O334+P334+Q334</f>
        <v>37100</v>
      </c>
      <c r="S334" s="34"/>
    </row>
    <row r="335" spans="1:19" ht="69.75" customHeight="1" thickBot="1">
      <c r="A335" s="20" t="s">
        <v>48</v>
      </c>
      <c r="B335" s="70"/>
      <c r="C335" s="16">
        <v>2026</v>
      </c>
      <c r="D335" s="37"/>
      <c r="E335" s="905">
        <v>18300</v>
      </c>
      <c r="F335" s="905">
        <v>3000</v>
      </c>
      <c r="G335" s="909">
        <v>3000</v>
      </c>
      <c r="H335" s="907">
        <f t="shared" si="360"/>
        <v>24300</v>
      </c>
      <c r="I335" s="1198"/>
      <c r="J335" s="346"/>
      <c r="K335" s="336"/>
      <c r="L335" s="346"/>
      <c r="M335" s="346">
        <f>SUM(J335:L335)</f>
        <v>0</v>
      </c>
      <c r="N335" s="1337"/>
      <c r="O335" s="103">
        <f t="shared" si="361"/>
        <v>18300</v>
      </c>
      <c r="P335" s="103">
        <f t="shared" si="362"/>
        <v>3000</v>
      </c>
      <c r="Q335" s="103">
        <f t="shared" si="363"/>
        <v>3000</v>
      </c>
      <c r="R335" s="103">
        <f t="shared" si="364"/>
        <v>24300</v>
      </c>
      <c r="S335" s="38"/>
    </row>
    <row r="336" spans="1:19" ht="16.5" thickBot="1">
      <c r="A336" s="71">
        <v>90</v>
      </c>
      <c r="B336" s="6" t="s">
        <v>129</v>
      </c>
      <c r="C336" s="6"/>
      <c r="D336" s="181"/>
      <c r="E336" s="160"/>
      <c r="F336" s="178"/>
      <c r="G336" s="178">
        <f>G337</f>
        <v>7300</v>
      </c>
      <c r="H336" s="61">
        <f>G336+F336+E336</f>
        <v>7300</v>
      </c>
      <c r="I336" s="202"/>
      <c r="J336" s="178"/>
      <c r="K336" s="178"/>
      <c r="L336" s="181"/>
      <c r="M336" s="111"/>
      <c r="N336" s="190"/>
      <c r="O336" s="178">
        <f>O337</f>
        <v>9100</v>
      </c>
      <c r="P336" s="181">
        <f t="shared" ref="P336:R336" si="365">P337</f>
        <v>0</v>
      </c>
      <c r="Q336" s="160">
        <f t="shared" si="365"/>
        <v>15300</v>
      </c>
      <c r="R336" s="130">
        <f t="shared" si="365"/>
        <v>24400</v>
      </c>
      <c r="S336" s="190"/>
    </row>
    <row r="337" spans="1:26" ht="15.75">
      <c r="A337" s="1193" t="s">
        <v>48</v>
      </c>
      <c r="B337" s="88" t="s">
        <v>18</v>
      </c>
      <c r="C337" s="212">
        <v>2024</v>
      </c>
      <c r="D337" s="283"/>
      <c r="E337" s="131">
        <v>9100</v>
      </c>
      <c r="F337" s="131"/>
      <c r="G337" s="132">
        <v>7300</v>
      </c>
      <c r="H337" s="131">
        <f>G337+F337+E337</f>
        <v>16400</v>
      </c>
      <c r="I337" s="1193"/>
      <c r="J337" s="131"/>
      <c r="K337" s="132"/>
      <c r="L337" s="131">
        <v>8000</v>
      </c>
      <c r="M337" s="131">
        <f>J337+K337+L337</f>
        <v>8000</v>
      </c>
      <c r="N337" s="1245"/>
      <c r="O337" s="132">
        <f>J337+E337</f>
        <v>9100</v>
      </c>
      <c r="P337" s="131">
        <f t="shared" ref="P337:Q339" si="366">K337+F337</f>
        <v>0</v>
      </c>
      <c r="Q337" s="131">
        <f t="shared" si="366"/>
        <v>15300</v>
      </c>
      <c r="R337" s="131">
        <f>M337+H337</f>
        <v>24400</v>
      </c>
      <c r="S337" s="1190"/>
    </row>
    <row r="338" spans="1:26" ht="15.75">
      <c r="A338" s="1194"/>
      <c r="B338" s="89"/>
      <c r="C338" s="213">
        <v>2025</v>
      </c>
      <c r="D338" s="287"/>
      <c r="E338" s="133">
        <v>9100</v>
      </c>
      <c r="F338" s="133"/>
      <c r="G338" s="134">
        <v>7300</v>
      </c>
      <c r="H338" s="133">
        <f t="shared" ref="H338:H339" si="367">G338+F338+E338</f>
        <v>16400</v>
      </c>
      <c r="I338" s="1194"/>
      <c r="J338" s="133"/>
      <c r="K338" s="134"/>
      <c r="L338" s="133"/>
      <c r="M338" s="133">
        <f t="shared" ref="M338:M339" si="368">J338+K338+L338</f>
        <v>0</v>
      </c>
      <c r="N338" s="1246"/>
      <c r="O338" s="134">
        <f>J338+E338</f>
        <v>9100</v>
      </c>
      <c r="P338" s="133">
        <f t="shared" si="366"/>
        <v>0</v>
      </c>
      <c r="Q338" s="133">
        <f t="shared" si="366"/>
        <v>7300</v>
      </c>
      <c r="R338" s="133">
        <f t="shared" ref="R338:R339" si="369">M338+H338</f>
        <v>16400</v>
      </c>
      <c r="S338" s="1191"/>
    </row>
    <row r="339" spans="1:26" ht="16.5" thickBot="1">
      <c r="A339" s="1195"/>
      <c r="B339" s="90"/>
      <c r="C339" s="16">
        <v>2026</v>
      </c>
      <c r="D339" s="291"/>
      <c r="E339" s="364">
        <v>9100</v>
      </c>
      <c r="F339" s="364"/>
      <c r="G339" s="280"/>
      <c r="H339" s="364">
        <f t="shared" si="367"/>
        <v>9100</v>
      </c>
      <c r="I339" s="1195"/>
      <c r="J339" s="364"/>
      <c r="K339" s="280"/>
      <c r="L339" s="364"/>
      <c r="M339" s="364">
        <f t="shared" si="368"/>
        <v>0</v>
      </c>
      <c r="N339" s="1247"/>
      <c r="O339" s="280">
        <f>J339+E339</f>
        <v>9100</v>
      </c>
      <c r="P339" s="364">
        <f t="shared" si="366"/>
        <v>0</v>
      </c>
      <c r="Q339" s="364">
        <f t="shared" si="366"/>
        <v>0</v>
      </c>
      <c r="R339" s="364">
        <f t="shared" si="369"/>
        <v>9100</v>
      </c>
      <c r="S339" s="1192"/>
    </row>
    <row r="340" spans="1:26" ht="16.5" thickBot="1">
      <c r="A340" s="48">
        <v>91</v>
      </c>
      <c r="B340" s="17" t="s">
        <v>130</v>
      </c>
      <c r="C340" s="17"/>
      <c r="D340" s="910" t="str">
        <f>D341</f>
        <v>2</v>
      </c>
      <c r="E340" s="177">
        <f>E341</f>
        <v>0</v>
      </c>
      <c r="F340" s="177">
        <f t="shared" ref="F340:H340" si="370">F341</f>
        <v>0</v>
      </c>
      <c r="G340" s="177">
        <f t="shared" si="370"/>
        <v>0</v>
      </c>
      <c r="H340" s="177">
        <f t="shared" si="370"/>
        <v>0</v>
      </c>
      <c r="I340" s="198"/>
      <c r="J340" s="161">
        <f>J341</f>
        <v>2223</v>
      </c>
      <c r="K340" s="161">
        <f t="shared" ref="K340:M340" si="371">K341</f>
        <v>0</v>
      </c>
      <c r="L340" s="161">
        <f t="shared" si="371"/>
        <v>0</v>
      </c>
      <c r="M340" s="161">
        <f t="shared" si="371"/>
        <v>2223</v>
      </c>
      <c r="N340" s="192"/>
      <c r="O340" s="161">
        <f>J340+E340</f>
        <v>2223</v>
      </c>
      <c r="P340" s="161">
        <f t="shared" ref="P340:R340" si="372">K340+F340</f>
        <v>0</v>
      </c>
      <c r="Q340" s="161">
        <f t="shared" si="372"/>
        <v>0</v>
      </c>
      <c r="R340" s="161">
        <f t="shared" si="372"/>
        <v>2223</v>
      </c>
      <c r="S340" s="192"/>
    </row>
    <row r="341" spans="1:26" ht="15.75">
      <c r="A341" s="19">
        <v>1110</v>
      </c>
      <c r="B341" s="54" t="s">
        <v>18</v>
      </c>
      <c r="C341" s="212">
        <v>2024</v>
      </c>
      <c r="D341" s="49" t="s">
        <v>411</v>
      </c>
      <c r="E341" s="19"/>
      <c r="F341" s="54"/>
      <c r="G341" s="103"/>
      <c r="H341" s="49"/>
      <c r="I341" s="19"/>
      <c r="J341" s="54">
        <v>2223</v>
      </c>
      <c r="K341" s="31"/>
      <c r="L341" s="357"/>
      <c r="M341" s="343">
        <f>SUM(J341:L341)</f>
        <v>2223</v>
      </c>
      <c r="N341" s="1335" t="s">
        <v>412</v>
      </c>
      <c r="O341" s="103">
        <f>J341</f>
        <v>2223</v>
      </c>
      <c r="P341" s="103">
        <f t="shared" ref="P341" si="373">K341</f>
        <v>0</v>
      </c>
      <c r="Q341" s="103">
        <f>L341+G341</f>
        <v>0</v>
      </c>
      <c r="R341" s="103">
        <f>M341</f>
        <v>2223</v>
      </c>
      <c r="S341" s="31"/>
    </row>
    <row r="342" spans="1:26" ht="35.25" customHeight="1">
      <c r="A342" s="91">
        <v>1110</v>
      </c>
      <c r="B342" s="69"/>
      <c r="C342" s="213">
        <v>2025</v>
      </c>
      <c r="D342" s="49"/>
      <c r="E342" s="91"/>
      <c r="F342" s="69"/>
      <c r="G342" s="105"/>
      <c r="H342" s="49"/>
      <c r="I342" s="91"/>
      <c r="J342" s="69">
        <v>2223</v>
      </c>
      <c r="K342" s="34"/>
      <c r="L342" s="49"/>
      <c r="M342" s="354">
        <f t="shared" ref="M342:M343" si="374">SUM(J342:L342)</f>
        <v>2223</v>
      </c>
      <c r="N342" s="1336"/>
      <c r="O342" s="103">
        <f t="shared" ref="O342:O343" si="375">J342</f>
        <v>2223</v>
      </c>
      <c r="P342" s="128">
        <v>0</v>
      </c>
      <c r="Q342" s="368">
        <v>0</v>
      </c>
      <c r="R342" s="103">
        <f t="shared" ref="R342:R343" si="376">M342</f>
        <v>2223</v>
      </c>
      <c r="S342" s="34"/>
    </row>
    <row r="343" spans="1:26" ht="63" customHeight="1" thickBot="1">
      <c r="A343" s="92">
        <v>1110</v>
      </c>
      <c r="B343" s="70"/>
      <c r="C343" s="16">
        <v>2026</v>
      </c>
      <c r="D343" s="93"/>
      <c r="E343" s="92"/>
      <c r="F343" s="70"/>
      <c r="G343" s="109"/>
      <c r="H343" s="93"/>
      <c r="I343" s="92"/>
      <c r="J343" s="70">
        <v>2223</v>
      </c>
      <c r="K343" s="38"/>
      <c r="L343" s="93"/>
      <c r="M343" s="358">
        <f t="shared" si="374"/>
        <v>2223</v>
      </c>
      <c r="N343" s="1337"/>
      <c r="O343" s="103">
        <f t="shared" si="375"/>
        <v>2223</v>
      </c>
      <c r="P343" s="140">
        <v>0</v>
      </c>
      <c r="Q343" s="369">
        <v>0</v>
      </c>
      <c r="R343" s="103">
        <f t="shared" si="376"/>
        <v>2223</v>
      </c>
      <c r="S343" s="38"/>
    </row>
    <row r="344" spans="1:26" ht="16.5" thickBot="1">
      <c r="A344" s="48">
        <v>92</v>
      </c>
      <c r="B344" s="17" t="s">
        <v>131</v>
      </c>
      <c r="C344" s="94"/>
      <c r="D344" s="910" t="str">
        <f>D345</f>
        <v>3</v>
      </c>
      <c r="E344" s="177">
        <f>E345</f>
        <v>3750</v>
      </c>
      <c r="F344" s="177">
        <f t="shared" ref="F344:H344" si="377">F345</f>
        <v>3000</v>
      </c>
      <c r="G344" s="177">
        <f t="shared" si="377"/>
        <v>0</v>
      </c>
      <c r="H344" s="177">
        <f t="shared" si="377"/>
        <v>6750</v>
      </c>
      <c r="I344" s="198"/>
      <c r="J344" s="161"/>
      <c r="K344" s="141"/>
      <c r="L344" s="181"/>
      <c r="M344" s="127"/>
      <c r="N344" s="192"/>
      <c r="O344" s="141">
        <f>E344+J344</f>
        <v>3750</v>
      </c>
      <c r="P344" s="141">
        <f t="shared" ref="P344:R344" si="378">F344+K344</f>
        <v>3000</v>
      </c>
      <c r="Q344" s="141">
        <f t="shared" si="378"/>
        <v>0</v>
      </c>
      <c r="R344" s="141">
        <f t="shared" si="378"/>
        <v>6750</v>
      </c>
      <c r="S344" s="94"/>
    </row>
    <row r="345" spans="1:26" ht="15.75">
      <c r="A345" s="19">
        <v>1110</v>
      </c>
      <c r="B345" s="54" t="s">
        <v>18</v>
      </c>
      <c r="C345" s="212">
        <v>2024</v>
      </c>
      <c r="D345" s="49" t="s">
        <v>398</v>
      </c>
      <c r="E345" s="897">
        <v>3750</v>
      </c>
      <c r="F345" s="897">
        <v>3000</v>
      </c>
      <c r="G345" s="103"/>
      <c r="H345" s="994">
        <f>E345+F345+G345</f>
        <v>6750</v>
      </c>
      <c r="I345" s="1365" t="s">
        <v>399</v>
      </c>
      <c r="J345" s="603"/>
      <c r="K345" s="606"/>
      <c r="L345" s="49"/>
      <c r="M345" s="340">
        <f>SUM(J345:L345)</f>
        <v>0</v>
      </c>
      <c r="N345" s="1335"/>
      <c r="O345" s="103">
        <f t="shared" ref="O345:O347" si="379">E345+J345</f>
        <v>3750</v>
      </c>
      <c r="P345" s="128">
        <f t="shared" ref="P345:P348" si="380">F345+K345</f>
        <v>3000</v>
      </c>
      <c r="Q345" s="128">
        <f>G345+L345</f>
        <v>0</v>
      </c>
      <c r="R345" s="128">
        <f t="shared" ref="R345:R348" si="381">H345+M345</f>
        <v>6750</v>
      </c>
      <c r="S345" s="31"/>
    </row>
    <row r="346" spans="1:26" ht="15.75">
      <c r="A346" s="91">
        <v>1110</v>
      </c>
      <c r="B346" s="95"/>
      <c r="C346" s="213">
        <v>2025</v>
      </c>
      <c r="D346" s="30"/>
      <c r="E346" s="897">
        <v>3750</v>
      </c>
      <c r="F346" s="897">
        <v>3000</v>
      </c>
      <c r="G346" s="105"/>
      <c r="H346" s="903">
        <f t="shared" ref="H346:H347" si="382">E346+F346+G346</f>
        <v>6750</v>
      </c>
      <c r="I346" s="1366"/>
      <c r="J346" s="604"/>
      <c r="K346" s="607"/>
      <c r="L346" s="30"/>
      <c r="M346" s="359">
        <f>SUM(J346:L346)</f>
        <v>0</v>
      </c>
      <c r="N346" s="1336"/>
      <c r="O346" s="103">
        <f t="shared" si="379"/>
        <v>3750</v>
      </c>
      <c r="P346" s="128">
        <f t="shared" si="380"/>
        <v>3000</v>
      </c>
      <c r="Q346" s="128">
        <f t="shared" ref="Q346:Q348" si="383">G346+L346</f>
        <v>0</v>
      </c>
      <c r="R346" s="128">
        <f t="shared" si="381"/>
        <v>6750</v>
      </c>
      <c r="S346" s="34"/>
    </row>
    <row r="347" spans="1:26" ht="16.5" thickBot="1">
      <c r="A347" s="92">
        <v>1110</v>
      </c>
      <c r="B347" s="96"/>
      <c r="C347" s="16">
        <v>2026</v>
      </c>
      <c r="D347" s="37"/>
      <c r="E347" s="897">
        <v>3750</v>
      </c>
      <c r="F347" s="897">
        <v>3000</v>
      </c>
      <c r="G347" s="109"/>
      <c r="H347" s="904">
        <f t="shared" si="382"/>
        <v>6750</v>
      </c>
      <c r="I347" s="1367"/>
      <c r="J347" s="605"/>
      <c r="K347" s="608"/>
      <c r="L347" s="37"/>
      <c r="M347" s="360">
        <f>SUM(J346:L346)</f>
        <v>0</v>
      </c>
      <c r="N347" s="1337"/>
      <c r="O347" s="103">
        <f t="shared" si="379"/>
        <v>3750</v>
      </c>
      <c r="P347" s="128">
        <f t="shared" si="380"/>
        <v>3000</v>
      </c>
      <c r="Q347" s="128">
        <f t="shared" si="383"/>
        <v>0</v>
      </c>
      <c r="R347" s="128">
        <f t="shared" si="381"/>
        <v>6750</v>
      </c>
      <c r="S347" s="38"/>
    </row>
    <row r="348" spans="1:26" ht="32.25" thickBot="1">
      <c r="A348" s="48">
        <v>95</v>
      </c>
      <c r="B348" s="900" t="s">
        <v>132</v>
      </c>
      <c r="C348" s="17"/>
      <c r="D348" s="181">
        <f>D349</f>
        <v>0</v>
      </c>
      <c r="E348" s="177">
        <f>E349</f>
        <v>25489</v>
      </c>
      <c r="F348" s="161">
        <f t="shared" ref="F348" si="384">F349</f>
        <v>30000</v>
      </c>
      <c r="G348" s="161">
        <f t="shared" ref="G348" si="385">G349</f>
        <v>21428</v>
      </c>
      <c r="H348" s="61">
        <f t="shared" ref="H348" si="386">H349</f>
        <v>76917</v>
      </c>
      <c r="I348" s="198"/>
      <c r="J348" s="161"/>
      <c r="K348" s="161"/>
      <c r="L348" s="181"/>
      <c r="M348" s="127"/>
      <c r="N348" s="192"/>
      <c r="O348" s="161">
        <f>E348+J348</f>
        <v>25489</v>
      </c>
      <c r="P348" s="161">
        <f t="shared" si="380"/>
        <v>30000</v>
      </c>
      <c r="Q348" s="161">
        <f t="shared" si="383"/>
        <v>21428</v>
      </c>
      <c r="R348" s="161">
        <f t="shared" si="381"/>
        <v>76917</v>
      </c>
      <c r="S348" s="192"/>
    </row>
    <row r="349" spans="1:26" ht="52.5" customHeight="1">
      <c r="A349" s="28">
        <v>1110</v>
      </c>
      <c r="B349" s="29" t="s">
        <v>18</v>
      </c>
      <c r="C349" s="212">
        <v>2024</v>
      </c>
      <c r="D349" s="49"/>
      <c r="E349" s="340">
        <v>25489</v>
      </c>
      <c r="F349" s="334">
        <v>30000</v>
      </c>
      <c r="G349" s="334">
        <v>21428</v>
      </c>
      <c r="H349" s="334">
        <v>76917</v>
      </c>
      <c r="I349" s="1365" t="s">
        <v>400</v>
      </c>
      <c r="J349" s="340"/>
      <c r="K349" s="334"/>
      <c r="L349" s="343"/>
      <c r="M349" s="343">
        <f>SUM(J349:L349)</f>
        <v>0</v>
      </c>
      <c r="N349" s="1335"/>
      <c r="O349" s="103">
        <f t="shared" ref="O349:O351" si="387">E349+J349</f>
        <v>25489</v>
      </c>
      <c r="P349" s="103">
        <f t="shared" ref="P349:P351" si="388">F349+K349</f>
        <v>30000</v>
      </c>
      <c r="Q349" s="103">
        <f>G349+L349</f>
        <v>21428</v>
      </c>
      <c r="R349" s="103">
        <f>H349+M349</f>
        <v>76917</v>
      </c>
      <c r="S349" s="31"/>
    </row>
    <row r="350" spans="1:26" ht="30.75" customHeight="1">
      <c r="A350" s="32">
        <v>1110</v>
      </c>
      <c r="B350" s="33"/>
      <c r="C350" s="213">
        <v>2025</v>
      </c>
      <c r="D350" s="49"/>
      <c r="E350" s="361">
        <v>25489</v>
      </c>
      <c r="F350" s="335">
        <v>30000</v>
      </c>
      <c r="G350" s="335">
        <v>6957</v>
      </c>
      <c r="H350" s="347" t="s">
        <v>401</v>
      </c>
      <c r="I350" s="1368"/>
      <c r="J350" s="361"/>
      <c r="K350" s="335"/>
      <c r="L350" s="344"/>
      <c r="M350" s="344">
        <f>SUM(J350:L350)</f>
        <v>0</v>
      </c>
      <c r="N350" s="1336"/>
      <c r="O350" s="103">
        <f t="shared" si="387"/>
        <v>25489</v>
      </c>
      <c r="P350" s="103">
        <f t="shared" si="388"/>
        <v>30000</v>
      </c>
      <c r="Q350" s="103">
        <f>G350+L350</f>
        <v>6957</v>
      </c>
      <c r="R350" s="103">
        <f>H350+M350</f>
        <v>62446</v>
      </c>
      <c r="S350" s="34"/>
      <c r="Y350" s="332">
        <f>Y352-R352</f>
        <v>0</v>
      </c>
    </row>
    <row r="351" spans="1:26" ht="57.75" customHeight="1" thickBot="1">
      <c r="A351" s="35">
        <v>1110</v>
      </c>
      <c r="B351" s="36"/>
      <c r="C351" s="16">
        <v>2026</v>
      </c>
      <c r="D351" s="93"/>
      <c r="E351" s="362">
        <v>25489</v>
      </c>
      <c r="F351" s="336">
        <v>25000</v>
      </c>
      <c r="G351" s="336">
        <v>7215</v>
      </c>
      <c r="H351" s="347" t="s">
        <v>402</v>
      </c>
      <c r="I351" s="1369"/>
      <c r="J351" s="362"/>
      <c r="K351" s="336"/>
      <c r="L351" s="346"/>
      <c r="M351" s="346">
        <f>SUM(J351:L351)</f>
        <v>0</v>
      </c>
      <c r="N351" s="1337"/>
      <c r="O351" s="103">
        <f t="shared" si="387"/>
        <v>25489</v>
      </c>
      <c r="P351" s="103">
        <f t="shared" si="388"/>
        <v>25000</v>
      </c>
      <c r="Q351" s="103">
        <f>G351+L351</f>
        <v>7215</v>
      </c>
      <c r="R351" s="103">
        <f t="shared" ref="R351" si="389">H351+M351</f>
        <v>57704</v>
      </c>
      <c r="S351" s="38"/>
    </row>
    <row r="352" spans="1:26" s="402" customFormat="1" ht="20.25" customHeight="1">
      <c r="A352" s="1320" t="s">
        <v>133</v>
      </c>
      <c r="B352" s="1321"/>
      <c r="C352" s="328">
        <v>2024</v>
      </c>
      <c r="D352" s="401">
        <f>D349+D345+D341+D337+D333+D329+D322+D318++D284+D280+D276+D262+D258+D254+D250+D247+D244+D241+D229+D224+D220+D216+D213+D210+D207+D204+D201+D198+D194+D191+D188+D185+D182+D178+D175+D172+D168+D165+D162+D159+D156+D153+D150+D147+D144+D140+D137+D134+D131+D128+D124+D121+D118+D114+D111+D108+D105+D102+D98+D83+D80+D77+D73+D67+D70+D61+D58+D55+D52+D49+D46+D43+D39+D36+D33+D30+D27+D24+D21+D17+D13+D10+D6+D327+D326+D307+D306+D305+D304+D303+D299+D295+D291+D288+D237+D233+D95+D92+D89+D86+D265</f>
        <v>643</v>
      </c>
      <c r="E352" s="401">
        <f>E349+E345+E341+E337+E333+E329+E327+E326+E322+E318+E307+E306+E305+E304+E303+E299+E295+E291+E288+E284+E280+E276+E266+E262+E258+E254+E250+E247+E244+E241+E237+E233+E229+E227+E226+E225+E224+E220+E216+E213+E210+E207+E204+E201+E198+E194+E191+E188+E185+E182+E178+E175+E172+E168+E165+E162+E159+E156+E153+E150+E147+E144+E140+E137+E134+E131+E128+E124+E121+E118+E114+E111+E108+E105+E102+E98+E83+E80+E77+E73+E70+E67+E64+E61+E58+E55+E52+E49+E46+E43+E39+E36+E33+E30+E27+E24+E21+E17+E13+E10+E6+E95+E92+E89+E269+E272</f>
        <v>7861651.5999999996</v>
      </c>
      <c r="F352" s="401">
        <f>F349+F345+F341+F337+F333+F329+F327+F326+F322+F318+F307+F306+F305+F304+F303+F299+F295+F291+F288+F284+F280+F276+F266+F262+F258+F254+F250+F247+F244+F241+F237+F233+F229+F227+F226+F225+F224+F220+F216+F213+F210+F207+F204+F201+F198+F194+F191+F188+F185+F182+F178+F175+F172+F168+F165+F162+F159+F156+F153+F150+F147+F144+F140+F137+F134+F131+F128+F124+F121+F118+F114+F111+F108+F105+F102+F98+F83+F80+F77+F73+F70+F67+F64+F61+F58+F55+F52+F49+F46+F43+F39+F36+F33+F30+F27+F24+F21+F17+F13+F10+F6+F95+F92+F89+F269+F272</f>
        <v>24801984.866</v>
      </c>
      <c r="G352" s="401">
        <f>G349+G345+G341+G337+G333+G329+G327+G326+G322+G318+G307+G306+G305+G304+G303+G299+G295+G291+G288+G284+G280+G276+G266+G262+G258+G254+G250+G247+G244+G241+G237+G233+G229+G227+G226+G225+G224+G220+G216+G213+G210+G207+G204+G201+G198+G194+G191+G188+G185+G182+G178+G175+G172+G168+G165+G162+G159+G156+G153+G150+G147+G144+G140+G137+G134+G131+G128+G124+G121+G118+G114+G111+G108+G105+G102+G98+G83+G80+G77+G73+G70+G67+G64+G61+G58+G55+G52+G49+G46+G43+G39+G36+G33+G30+G27+G24+G21+G17+G13+G10+G6+G95+G92+G89+G86+G269+G272</f>
        <v>129546966.31</v>
      </c>
      <c r="H352" s="401">
        <f>H349+H345+H341+H337+H333+H329+H327+H326+H322+H318+H307+H306+H305+H304+H303+H299+H295+H269+H272+H291+H288+H284+H280+H276+H266+H262+H258+H254+H250+H247+H244+H241+H237+H233+H229+H227+H226+H225+H224+H220+H216+H213+H210+H207+H204+H201+H198+H194+H191+H188+H185+H182+H178+H175+H172+H168+H165+H162+H159+H156+H153+H150+H147+H144+H140+H137+H134+H131+H128+H124+H121+H118+H114+H111+H108+H105+H102+H98+H83+H80+H77+H73+H70+H67+H64+H61+H58+H55+H52+H49+H46+H43+H39+H36+H33+H30+H27+H24+H21+H17+H13+H10+H6+H95+H92+H89+H86</f>
        <v>162210602.77600002</v>
      </c>
      <c r="I352" s="401"/>
      <c r="J352" s="401">
        <f>J349+J345+J341+J337+J333+J329+J327+J326+J322+J318+J307+J306+J305+J304+J303+J299+J295+J291+J288+J284+J280+J276+J266+J262+J258+J254+J250+J247+J244+J241+J237+J233+J229+J227+J226+J225+J224+J220+J216+J213+J210+J207+J204+J201+J198+J194+J191+J188+J185+J182+J178+J175+J172+J168+J165+J162+J159+J156+J153+J150+J147+J144+J140+J137+J134+J131+J128+J124+J121+J118+J114+J111+J108+J105+J102+J98+J83+J80+J77+J73+J70+J67+J64+J61+J58+J55+J52+J49+J46+J43+J39+J36+J33+J30+J27+J24+J21+J17+J13+J10+J6+J95+J92+J89+J269+J272</f>
        <v>398073</v>
      </c>
      <c r="K352" s="401">
        <f>K349+K345+K341+K337+K333+K329+K327+K326+K322+K318+K307+K306+K305+K304+K303+K299+K295+K291+K288+K284+K280+K276+K266+K262+K258+K254+K250+K247+K244+K241+K237+K233+K229+K227+K226+K225+K224+K220+K216+K213+K210+K207+K204+K201+K198+K194+K191+K188+K185+K182+K178+K175+K172+K168+K165+K162+K159+K156+K153+K150+K147+K144+K140+K137+K134+K131+K128+K124+K121+K118+K114+K111+K108+K105+K102+K98+K83+K80+K77+K73+K70+K67+K64+K61+K58+K55+K52+K49+K46+K43+K39+K36+K33+K30+K27+K24+K21+K17+K13+K10+K6+K95+K92+K89+K269+K272</f>
        <v>18077940</v>
      </c>
      <c r="L352" s="401">
        <f>L349+L345+L341+L337+L333+L329+L327+L326+L322+L318+L307+L306+L305+L304+L303+L299+L295+L291+L288+L284+L280+L276+L266+L262+L258+L254+L250+L247+L244+L241+L237+L233+L229+L227+L226+L225+L224+L220+L216+L213+L210+L207+L204+L201+L198+L194+L191+L188+L185+L182+L178+L175+L172+L168+L165+L162+L159+L156+L153+L150+L147+L144+L140+L137+L134+L131+L128+L124+L121+L118+L114+L111+L108+L105+L102+L98+L83+L80+L77+L73+L70+L67+L64+L61+L58+L55+L52+L49+L46+L43+L39+L36+L33+L30+L27+L24+L21+L17+L13+L10+L6+L95+L92+L89+L86+L269+L272</f>
        <v>31639958.909000002</v>
      </c>
      <c r="M352" s="401">
        <f>M349+M345+M341+M337+M333+M329+M327+M326+M322+M318+M307+M306+M305+M304+M303+M299+M295+M269+M272+M291+M288+M284+M280+M276+M266+M262+M258+M254+M250+M247+M244+M241+M237+M233+M229+M227+M226+M225+M224+M220+M216+M213+M210+M207+M204+M201+M198+M194+M191+M188+M185+M182+M178+M175+M172+M168+M165+M162+M159+M156+M153+M150+M147+M144+M140+M137+M134+M131+M128+M124+M121+M118+M114+M111+M108+M105+M102+M98+M83+M80+M77+M73+M70+M67+M64+M61+M58+M55+M52+M49+M46+M43+M39+M36+M33+M30+M27+M24+M21+M17+M13+M10+M6+M95+M92+M89+M86</f>
        <v>50115971.909000002</v>
      </c>
      <c r="N352" s="401"/>
      <c r="O352" s="401">
        <f>O349+O345+O341+O337+O333+O329+O327+O326+O322+O318+O307+O306+O305+O304+O303+O299+O295+O291+O288+O284+O280+O276+O266+O262+O258+O254+O250+O247+O244+O241+O237+O233+O229+O227+O226+O225+O224+O220+O216+O213+O210+O207+O204+O201+O198+O194+O191+O188+O185+O182+O178+O175+O172+O168+O165+O162+O159+O156+O153+O150+O147+O144+O140+O137+O134+O131+O128+O124+O121+O118+O114+O111+O108+O105+O102+O98+O83+O80+O77+O73+O70+O67+O64+O61+O58+O55+O52+O49+O46+O43+O39+O36+O33+O30+O27+O24+O21+O17+O13+O10+O6+O95+O92+O89+O269+O272</f>
        <v>8259724.5999999996</v>
      </c>
      <c r="P352" s="401">
        <f>P349+P345+P341+P337+P333+P329+P327+P326+P322+P318+P307+P306+P305+P304+P303+P299+P295+P291+P288+P284+P280+P276+P266+P262+P258+P254+P250+P247+P244+P241+P237+P233+P229+P227+P226+P225+P224+P220+P216+P213+P210+P207+P204+P201+P198+P194+P191+P188+P185+P182+P178+P175+P172+P168+P165+P162+P159+P156+P153+P150+P147+P144+P140+P137+P134+P131+P128+P124+P121+P118+P114+P111+P108+P105+P102+P98+P83+P80+P77+P73+P70+P67+P64+P61+P58+P55+P52+P49+P46+P43+P39+P36+P33+P30+P27+P24+P21+P17+P13+P10+P6+P95+P92+P89+P269+P272</f>
        <v>42879924.865999997</v>
      </c>
      <c r="Q352" s="401">
        <f>Q349+Q345+Q341+Q337+Q333+Q329+Q327+Q326+Q322+Q318+Q307+Q306+Q305+Q304+Q303+Q299+Q295+Q291+Q288+Q284+Q280+Q276+Q266+Q262+Q258+Q254+Q250+Q247+Q244+Q241+Q237+Q233+Q229+Q227+Q226+Q225+Q224+Q220+Q216+Q213+Q210+Q207+Q204+Q201+Q198+Q194+Q191+Q188+Q185+Q182+Q178+Q175+Q172+Q168+Q165+Q162+Q159+Q156+Q153+Q150+Q147+Q144+Q140+Q137+Q134+Q131+Q128+Q124+Q121+Q118+Q114+Q111+Q108+Q105+Q102+Q98+Q83+Q80+Q77+Q73+Q70+Q67+Q64+Q61+Q58+Q55+Q52+Q49+Q46+Q43+Q39+Q36+Q33+Q30+Q27+Q24+Q21+Q17+Q13+Q10+Q6+Q95+Q92+Q89+Q86+Q269+Q272</f>
        <v>161186925.21899998</v>
      </c>
      <c r="R352" s="401">
        <f>R349+R345+R341+R337+R333+R329+R327+R326+R322+R318+R307+R306+R305+R304+R303+R299+R295+R269+R272+R291+R288+R284+R280+R276+R266+R262+R258+R254+R250+R247+R244+R241+R237+R233+R229+R227+R226+R225+R224+R220+R216+R213+R210+R207+R204+R201+R198+R194+R191+R188+R185+R182+R178+R175+R172+R168+R165+R162+R159+R156+R153+R150+R147+R144+R140+R137+R134+R131+R128+R124+R121+R118+R114+R111+R108+R105+R102+R98+R83+R80+R77+R73+R70+R67+R64+R61+R58+R55+R52+R49+R46+R43+R39+R36+R33+R30+R27+R24+R21+R17+R13+R10+R6+R95+R92+R89+R86</f>
        <v>212326574.685</v>
      </c>
      <c r="S352" s="328"/>
      <c r="V352" s="403">
        <f>E352+J352</f>
        <v>8259724.5999999996</v>
      </c>
      <c r="W352" s="403">
        <f t="shared" ref="W352:Y354" si="390">F352+K352</f>
        <v>42879924.865999997</v>
      </c>
      <c r="X352" s="403">
        <f t="shared" si="390"/>
        <v>161186925.21900001</v>
      </c>
      <c r="Y352" s="403">
        <f>H352+M352</f>
        <v>212326574.68500003</v>
      </c>
      <c r="Z352" s="403">
        <f t="shared" ref="Z352" si="391">I352+N352</f>
        <v>0</v>
      </c>
    </row>
    <row r="353" spans="1:25" s="402" customFormat="1" ht="20.25" customHeight="1">
      <c r="A353" s="1322"/>
      <c r="B353" s="1323"/>
      <c r="C353" s="329">
        <v>2025</v>
      </c>
      <c r="D353" s="401">
        <f>D350+D346+D342+D338+D334+D330+D323+D319++D285+D281+D277+D263+D259+D255+D251+D248+D245+D242+D230+D225+D221+D217+D214+D211+D208+D205+D202+D199+D195+D192+D189+D186+D183+D179+D176+D173+D169+D166+D163+D160+D157+D154+D151+D148+D145+D141+D138+D135+D132+D129+D125+D122+D119+D115+D112+D109+D106+D103+D99+D84+D81+D78+D74+D68+D71+D62+D59+D56+D53+D50+D47+D44+D40+D37+D34+D31+D28+D25+D22+D18+D14+D11+D7+D328+D327+D308+D307+D306+D305+D304+D300+D296+D292+D289+D238+D234+D96+D93+D90+D87+D267+D270+D273</f>
        <v>36</v>
      </c>
      <c r="E353" s="401">
        <f t="shared" ref="E353:H354" si="392">E350+E346+E342+E338+E334+E330+E300+E296+E292+E289+E285+E281+E277+E267+E263+E259+E255+E251+E248+E245+E242+E238+E234+E230+E221+E217+E214+E211+E208+E205+E202+E199+E195+E192+E189+E186+E183+E179+E176+E173+E169+E166+E163+E160+E157+E154+E151+E148+E145+E141+E138+E135+E132+E129+E125+E122+E119+E115+E112+E109+E106+E103+E99+E84+E81+E78+E74+E71+E68+E65+E62+E59+E56+E53+E50+E47+E44+E40+E37+E34+E31+E28+E25+E22+E18+E14+E11+E96+E93+E90+E87+E270+E273</f>
        <v>6583487.5999999996</v>
      </c>
      <c r="F353" s="401">
        <f t="shared" si="392"/>
        <v>20252064.156999998</v>
      </c>
      <c r="G353" s="401">
        <f t="shared" si="392"/>
        <v>63185547</v>
      </c>
      <c r="H353" s="401">
        <f t="shared" si="392"/>
        <v>90021098.756999999</v>
      </c>
      <c r="I353" s="401"/>
      <c r="J353" s="401">
        <f t="shared" ref="J353:M354" si="393">J350+J346+J342+J338+J334+J330+J300+J296+J292+J289+J285+J281+J277+J267+J263+J259+J255+J251+J248+J245+J242+J238+J234+J230+J221+J217+J214+J211+J208+J205+J202+J199+J195+J192+J189+J186+J183+J179+J176+J173+J169+J166+J163+J160+J157+J154+J151+J148+J145+J141+J138+J135+J132+J129+J125+J122+J119+J115+J112+J109+J106+J103+J99+J84+J81+J78+J74+J71+J68+J65+J62+J59+J56+J53+J50+J47+J44+J40+J37+J34+J31+J28+J25+J22+J18+J14+J11+J96+J93+J90+J87+J270+J273</f>
        <v>634081</v>
      </c>
      <c r="K353" s="401">
        <f t="shared" si="393"/>
        <v>2972422</v>
      </c>
      <c r="L353" s="401">
        <f t="shared" si="393"/>
        <v>20426323</v>
      </c>
      <c r="M353" s="401">
        <f t="shared" si="393"/>
        <v>24032826</v>
      </c>
      <c r="N353" s="401"/>
      <c r="O353" s="401">
        <f t="shared" ref="O353:R354" si="394">O350+O346+O342+O338+O334+O330+O300+O296+O292+O289+O285+O281+O277+O267+O263+O259+O255+O251+O248+O245+O242+O238+O234+O230+O221+O217+O214+O211+O208+O205+O202+O199+O195+O192+O189+O186+O183+O179+O176+O173+O169+O166+O163+O160+O157+O154+O151+O148+O145+O141+O138+O135+O132+O129+O125+O122+O119+O115+O112+O109+O106+O103+O99+O84+O81+O78+O74+O71+O68+O65+O62+O59+O56+O53+O50+O47+O44+O40+O37+O34+O31+O28+O25+O22+O18+O14+O11+O96+O93+O90+O87+O270+O273</f>
        <v>7217568.5999999996</v>
      </c>
      <c r="P353" s="401">
        <f t="shared" si="394"/>
        <v>23224486.156999998</v>
      </c>
      <c r="Q353" s="401">
        <f t="shared" si="394"/>
        <v>83611870</v>
      </c>
      <c r="R353" s="401">
        <f t="shared" si="394"/>
        <v>114053924.757</v>
      </c>
      <c r="S353" s="329"/>
      <c r="V353" s="403">
        <f t="shared" ref="V353:V354" si="395">E353+J353</f>
        <v>7217568.5999999996</v>
      </c>
      <c r="W353" s="403">
        <f t="shared" si="390"/>
        <v>23224486.156999998</v>
      </c>
      <c r="X353" s="403">
        <f t="shared" si="390"/>
        <v>83611870</v>
      </c>
      <c r="Y353" s="403">
        <f t="shared" si="390"/>
        <v>114053924.757</v>
      </c>
    </row>
    <row r="354" spans="1:25" s="402" customFormat="1" ht="21" customHeight="1" thickBot="1">
      <c r="A354" s="1324"/>
      <c r="B354" s="1325"/>
      <c r="C354" s="330">
        <v>2026</v>
      </c>
      <c r="D354" s="401">
        <f>D351+D347+D343+D339+D335+D331+D324+D320++D286+D282+D278+D264+D260+D256+D252+D249+D246+D243+D231+D226+D222+D218+D215+D212+D209+D206+D203+D200+D196+D193+D190+D187+D184+D180+D177+D174+D170+D167+D164+D161+D158+D155+D152+D149+D146+D142+D139+D136+D133+D130+D126+D123+D120+D116+D113+D110+D107+D104+D100+D85+D82+D79+D75+D69+D72+D63+D60+D57+D54+D51+D48+D45+D41+D38+D35+D32+D29+D26+D23+D19+D15+D12+D8+D329+D328+D309+D308+D307+D306+D305+D301+D297+D293+D290+D239+D235+D97+D94+D91+D88+D274+D271+D268</f>
        <v>23</v>
      </c>
      <c r="E354" s="401">
        <f t="shared" si="392"/>
        <v>6614122.5999999996</v>
      </c>
      <c r="F354" s="401">
        <f t="shared" si="392"/>
        <v>22727356.357000001</v>
      </c>
      <c r="G354" s="401">
        <f t="shared" si="392"/>
        <v>50799012</v>
      </c>
      <c r="H354" s="401">
        <f t="shared" si="392"/>
        <v>80140490.957000002</v>
      </c>
      <c r="I354" s="401"/>
      <c r="J354" s="401">
        <f t="shared" si="393"/>
        <v>303340</v>
      </c>
      <c r="K354" s="401">
        <f t="shared" si="393"/>
        <v>1436367</v>
      </c>
      <c r="L354" s="401">
        <f t="shared" si="393"/>
        <v>22307659</v>
      </c>
      <c r="M354" s="401">
        <f t="shared" si="393"/>
        <v>24027366</v>
      </c>
      <c r="N354" s="401"/>
      <c r="O354" s="401">
        <f t="shared" si="394"/>
        <v>6917462.5999999996</v>
      </c>
      <c r="P354" s="401">
        <f t="shared" si="394"/>
        <v>24163723.357000001</v>
      </c>
      <c r="Q354" s="401">
        <f t="shared" si="394"/>
        <v>73106671</v>
      </c>
      <c r="R354" s="401">
        <f t="shared" si="394"/>
        <v>104187856.957</v>
      </c>
      <c r="S354" s="330"/>
      <c r="V354" s="403">
        <f t="shared" si="395"/>
        <v>6917462.5999999996</v>
      </c>
      <c r="W354" s="403">
        <f t="shared" si="390"/>
        <v>24163723.357000001</v>
      </c>
      <c r="X354" s="403">
        <f t="shared" si="390"/>
        <v>73106671</v>
      </c>
      <c r="Y354" s="403">
        <f t="shared" si="390"/>
        <v>104167856.957</v>
      </c>
    </row>
    <row r="355" spans="1:25" ht="38.25" customHeight="1">
      <c r="H355" s="208"/>
      <c r="I355" s="206"/>
      <c r="N355" s="617"/>
      <c r="S355" s="206"/>
    </row>
    <row r="356" spans="1:25" ht="15.75" thickBot="1">
      <c r="H356" s="208"/>
      <c r="I356" s="206"/>
      <c r="N356" s="206"/>
      <c r="S356" s="206"/>
    </row>
    <row r="357" spans="1:25" ht="24" thickBot="1">
      <c r="A357" s="1348" t="s">
        <v>134</v>
      </c>
      <c r="B357" s="1349"/>
      <c r="C357" s="1349"/>
      <c r="D357" s="1349"/>
      <c r="E357" s="1349"/>
      <c r="F357" s="1349"/>
      <c r="G357" s="1349"/>
      <c r="H357" s="1349"/>
      <c r="I357" s="1349"/>
      <c r="J357" s="1349"/>
      <c r="K357" s="1349"/>
      <c r="L357" s="1349"/>
      <c r="M357" s="1349"/>
      <c r="N357" s="1349"/>
      <c r="O357" s="1349"/>
      <c r="P357" s="1349"/>
      <c r="Q357" s="1479"/>
      <c r="R357" s="1348"/>
      <c r="S357" s="1349"/>
    </row>
    <row r="358" spans="1:25" ht="15.75" thickBot="1"/>
    <row r="359" spans="1:25" ht="16.5" thickBot="1">
      <c r="A359" s="71">
        <v>28</v>
      </c>
      <c r="B359" s="6" t="s">
        <v>135</v>
      </c>
      <c r="C359" s="6"/>
      <c r="D359" s="7"/>
      <c r="E359" s="71"/>
      <c r="F359" s="6"/>
      <c r="G359" s="130"/>
      <c r="H359" s="7"/>
      <c r="I359" s="202"/>
      <c r="J359" s="178"/>
      <c r="K359" s="178"/>
      <c r="L359" s="207"/>
      <c r="M359" s="111"/>
      <c r="N359" s="190"/>
      <c r="O359" s="178"/>
      <c r="P359" s="207"/>
      <c r="Q359" s="160"/>
      <c r="R359" s="130"/>
      <c r="S359" s="190"/>
    </row>
    <row r="360" spans="1:25" ht="21.75" customHeight="1">
      <c r="A360" s="1193" t="s">
        <v>48</v>
      </c>
      <c r="B360" s="74" t="s">
        <v>18</v>
      </c>
      <c r="C360" s="51">
        <v>2024</v>
      </c>
      <c r="D360" s="139"/>
      <c r="E360" s="139">
        <v>743800</v>
      </c>
      <c r="F360" s="751">
        <v>90000</v>
      </c>
      <c r="G360" s="139"/>
      <c r="H360" s="286">
        <f>SUM(E360:G360)</f>
        <v>833800</v>
      </c>
      <c r="I360" s="1329" t="s">
        <v>295</v>
      </c>
      <c r="J360" s="132"/>
      <c r="K360" s="10"/>
      <c r="L360" s="10"/>
      <c r="M360" s="74">
        <f t="shared" ref="M360:M399" si="396">SUM(J360:L360)</f>
        <v>0</v>
      </c>
      <c r="N360" s="51"/>
      <c r="O360" s="139">
        <f>J360+E360</f>
        <v>743800</v>
      </c>
      <c r="P360" s="132">
        <f t="shared" ref="P360:P362" si="397">K360+F360</f>
        <v>90000</v>
      </c>
      <c r="Q360" s="324">
        <f t="shared" ref="Q360:Q362" si="398">L360+G360</f>
        <v>0</v>
      </c>
      <c r="R360" s="324">
        <f t="shared" ref="R360:R362" si="399">M360+H360</f>
        <v>833800</v>
      </c>
      <c r="S360" s="74"/>
      <c r="T360" s="51"/>
    </row>
    <row r="361" spans="1:25" ht="42.75" customHeight="1">
      <c r="A361" s="1194"/>
      <c r="B361" s="52"/>
      <c r="C361" s="52">
        <v>2025</v>
      </c>
      <c r="D361" s="180"/>
      <c r="E361" s="752"/>
      <c r="F361" s="752"/>
      <c r="G361" s="180"/>
      <c r="H361" s="290">
        <f t="shared" ref="H361:H362" si="400">SUM(E361:G361)</f>
        <v>0</v>
      </c>
      <c r="I361" s="1330"/>
      <c r="J361" s="134"/>
      <c r="K361" s="13"/>
      <c r="L361" s="13"/>
      <c r="M361" s="52">
        <f t="shared" si="396"/>
        <v>0</v>
      </c>
      <c r="N361" s="52"/>
      <c r="O361" s="134">
        <f t="shared" ref="O361:O362" si="401">J361+E361</f>
        <v>0</v>
      </c>
      <c r="P361" s="134">
        <f t="shared" si="397"/>
        <v>0</v>
      </c>
      <c r="Q361" s="113">
        <f t="shared" si="398"/>
        <v>0</v>
      </c>
      <c r="R361" s="113">
        <f t="shared" si="399"/>
        <v>0</v>
      </c>
      <c r="S361" s="52"/>
      <c r="T361" s="52"/>
    </row>
    <row r="362" spans="1:25" ht="54.75" customHeight="1" thickBot="1">
      <c r="A362" s="1195"/>
      <c r="B362" s="53"/>
      <c r="C362" s="53">
        <v>2026</v>
      </c>
      <c r="D362" s="281"/>
      <c r="E362" s="752"/>
      <c r="F362" s="752"/>
      <c r="G362" s="281"/>
      <c r="H362" s="294">
        <f t="shared" si="400"/>
        <v>0</v>
      </c>
      <c r="I362" s="1331"/>
      <c r="J362" s="280"/>
      <c r="K362" s="13"/>
      <c r="L362" s="13"/>
      <c r="M362" s="318">
        <f t="shared" si="396"/>
        <v>0</v>
      </c>
      <c r="N362" s="53"/>
      <c r="O362" s="280">
        <f t="shared" si="401"/>
        <v>0</v>
      </c>
      <c r="P362" s="280">
        <f t="shared" si="397"/>
        <v>0</v>
      </c>
      <c r="Q362" s="113">
        <f t="shared" si="398"/>
        <v>0</v>
      </c>
      <c r="R362" s="113">
        <f t="shared" si="399"/>
        <v>0</v>
      </c>
      <c r="S362" s="53"/>
      <c r="T362" s="53"/>
    </row>
    <row r="363" spans="1:25" ht="16.5" thickBot="1">
      <c r="A363" s="71">
        <v>29</v>
      </c>
      <c r="B363" s="6" t="s">
        <v>270</v>
      </c>
      <c r="C363" s="6"/>
      <c r="D363" s="110"/>
      <c r="E363" s="733">
        <f>E364+E367+E370</f>
        <v>999200</v>
      </c>
      <c r="F363" s="6">
        <f t="shared" ref="F363:G363" si="402">F364+F367+F370</f>
        <v>0</v>
      </c>
      <c r="G363" s="130">
        <f t="shared" si="402"/>
        <v>0</v>
      </c>
      <c r="H363" s="733">
        <f>H364+H367+H370</f>
        <v>999200</v>
      </c>
      <c r="I363" s="202"/>
      <c r="J363" s="733">
        <f>J364+J367+J370</f>
        <v>72000</v>
      </c>
      <c r="K363" s="178">
        <f t="shared" ref="K363" si="403">K364+K367+K370</f>
        <v>2200</v>
      </c>
      <c r="L363" s="159">
        <f t="shared" ref="L363" si="404">L364+L367+L370</f>
        <v>1726400</v>
      </c>
      <c r="M363" s="111">
        <f>M364+M367+M370</f>
        <v>1800600</v>
      </c>
      <c r="N363" s="190"/>
      <c r="O363" s="178">
        <f>O364+O367+O370</f>
        <v>1071200</v>
      </c>
      <c r="P363" s="159">
        <f t="shared" ref="P363" si="405">P364+P367+P370</f>
        <v>2200</v>
      </c>
      <c r="Q363" s="160">
        <f t="shared" ref="Q363" si="406">Q364+Q367+Q370</f>
        <v>1726400</v>
      </c>
      <c r="R363" s="130">
        <f>R364+R367+R370</f>
        <v>2799800</v>
      </c>
      <c r="S363" s="190"/>
    </row>
    <row r="364" spans="1:25" ht="15.75" customHeight="1">
      <c r="A364" s="1193" t="s">
        <v>48</v>
      </c>
      <c r="B364" s="74" t="s">
        <v>18</v>
      </c>
      <c r="C364" s="51">
        <v>2024</v>
      </c>
      <c r="D364" s="753"/>
      <c r="E364" s="751">
        <v>24500</v>
      </c>
      <c r="F364" s="274"/>
      <c r="G364" s="274"/>
      <c r="H364" s="754">
        <f t="shared" ref="H364:H372" si="407">SUM(E364:G364)</f>
        <v>24500</v>
      </c>
      <c r="I364" s="1278" t="s">
        <v>296</v>
      </c>
      <c r="J364" s="764"/>
      <c r="K364" s="74"/>
      <c r="L364" s="139">
        <v>119300</v>
      </c>
      <c r="M364" s="754">
        <f t="shared" ref="M364:M372" si="408">SUM(J364:L364)</f>
        <v>119300</v>
      </c>
      <c r="N364" s="1245" t="s">
        <v>299</v>
      </c>
      <c r="O364" s="132">
        <f>J364+E364</f>
        <v>24500</v>
      </c>
      <c r="P364" s="324">
        <f t="shared" ref="P364:P372" si="409">K364+F364</f>
        <v>0</v>
      </c>
      <c r="Q364" s="324">
        <f t="shared" ref="Q364:Q372" si="410">L364+G364</f>
        <v>119300</v>
      </c>
      <c r="R364" s="139">
        <f t="shared" ref="R364:R372" si="411">M364+H364</f>
        <v>143800</v>
      </c>
      <c r="S364" s="51"/>
    </row>
    <row r="365" spans="1:25" ht="15.75">
      <c r="A365" s="1194"/>
      <c r="B365" s="52"/>
      <c r="C365" s="52">
        <v>2025</v>
      </c>
      <c r="D365" s="755"/>
      <c r="E365" s="756"/>
      <c r="F365" s="277"/>
      <c r="G365" s="277"/>
      <c r="H365" s="757">
        <f t="shared" si="407"/>
        <v>0</v>
      </c>
      <c r="I365" s="1279"/>
      <c r="J365" s="765"/>
      <c r="K365" s="52"/>
      <c r="L365" s="180"/>
      <c r="M365" s="757">
        <f t="shared" si="408"/>
        <v>0</v>
      </c>
      <c r="N365" s="1246"/>
      <c r="O365" s="134">
        <f t="shared" ref="O365:O372" si="412">J365+E365</f>
        <v>0</v>
      </c>
      <c r="P365" s="113">
        <f t="shared" si="409"/>
        <v>0</v>
      </c>
      <c r="Q365" s="113">
        <f t="shared" si="410"/>
        <v>0</v>
      </c>
      <c r="R365" s="134">
        <f t="shared" si="411"/>
        <v>0</v>
      </c>
      <c r="S365" s="52"/>
    </row>
    <row r="366" spans="1:25" ht="16.5" thickBot="1">
      <c r="A366" s="1195"/>
      <c r="B366" s="53"/>
      <c r="C366" s="53">
        <v>2026</v>
      </c>
      <c r="D366" s="758"/>
      <c r="E366" s="759"/>
      <c r="F366" s="279"/>
      <c r="G366" s="279"/>
      <c r="H366" s="760">
        <f t="shared" si="407"/>
        <v>0</v>
      </c>
      <c r="I366" s="1280"/>
      <c r="J366" s="766"/>
      <c r="K366" s="735"/>
      <c r="L366" s="281"/>
      <c r="M366" s="760">
        <f t="shared" si="408"/>
        <v>0</v>
      </c>
      <c r="N366" s="1247"/>
      <c r="O366" s="280">
        <f t="shared" si="412"/>
        <v>0</v>
      </c>
      <c r="P366" s="115">
        <f t="shared" si="409"/>
        <v>0</v>
      </c>
      <c r="Q366" s="120">
        <f t="shared" si="410"/>
        <v>0</v>
      </c>
      <c r="R366" s="280">
        <f t="shared" si="411"/>
        <v>0</v>
      </c>
      <c r="S366" s="53"/>
    </row>
    <row r="367" spans="1:25" ht="15.75">
      <c r="A367" s="1359" t="s">
        <v>271</v>
      </c>
      <c r="B367" s="1483" t="s">
        <v>272</v>
      </c>
      <c r="C367" s="51">
        <v>2024</v>
      </c>
      <c r="D367" s="753"/>
      <c r="E367" s="751">
        <v>-600</v>
      </c>
      <c r="F367" s="274"/>
      <c r="G367" s="274"/>
      <c r="H367" s="761">
        <f t="shared" si="407"/>
        <v>-600</v>
      </c>
      <c r="I367" s="1278" t="s">
        <v>297</v>
      </c>
      <c r="J367" s="753"/>
      <c r="K367" s="139">
        <v>2200</v>
      </c>
      <c r="L367" s="139"/>
      <c r="M367" s="761">
        <f>SUM(J367:L367)</f>
        <v>2200</v>
      </c>
      <c r="N367" s="1245" t="s">
        <v>300</v>
      </c>
      <c r="O367" s="134">
        <f t="shared" si="412"/>
        <v>-600</v>
      </c>
      <c r="P367" s="117">
        <f t="shared" si="409"/>
        <v>2200</v>
      </c>
      <c r="Q367" s="117">
        <f t="shared" si="410"/>
        <v>0</v>
      </c>
      <c r="R367" s="180">
        <f t="shared" si="411"/>
        <v>1600</v>
      </c>
      <c r="S367" s="52"/>
    </row>
    <row r="368" spans="1:25" ht="15.75">
      <c r="A368" s="1360"/>
      <c r="B368" s="1484"/>
      <c r="C368" s="52">
        <v>2025</v>
      </c>
      <c r="D368" s="755"/>
      <c r="E368" s="756"/>
      <c r="F368" s="277"/>
      <c r="G368" s="277"/>
      <c r="H368" s="762">
        <f t="shared" si="407"/>
        <v>0</v>
      </c>
      <c r="I368" s="1279"/>
      <c r="J368" s="755"/>
      <c r="K368" s="134"/>
      <c r="L368" s="180"/>
      <c r="M368" s="762">
        <f t="shared" si="408"/>
        <v>0</v>
      </c>
      <c r="N368" s="1246"/>
      <c r="O368" s="134">
        <f t="shared" si="412"/>
        <v>0</v>
      </c>
      <c r="P368" s="113">
        <f t="shared" si="409"/>
        <v>0</v>
      </c>
      <c r="Q368" s="113">
        <f t="shared" si="410"/>
        <v>0</v>
      </c>
      <c r="R368" s="134">
        <f t="shared" si="411"/>
        <v>0</v>
      </c>
      <c r="S368" s="52"/>
    </row>
    <row r="369" spans="1:19" ht="16.5" thickBot="1">
      <c r="A369" s="1361"/>
      <c r="B369" s="1485"/>
      <c r="C369" s="620">
        <v>2026</v>
      </c>
      <c r="D369" s="758"/>
      <c r="E369" s="759"/>
      <c r="F369" s="279"/>
      <c r="G369" s="279"/>
      <c r="H369" s="763">
        <f t="shared" si="407"/>
        <v>0</v>
      </c>
      <c r="I369" s="1280"/>
      <c r="J369" s="758"/>
      <c r="K369" s="280"/>
      <c r="L369" s="281"/>
      <c r="M369" s="763">
        <f t="shared" si="408"/>
        <v>0</v>
      </c>
      <c r="N369" s="1247"/>
      <c r="O369" s="280">
        <f t="shared" si="412"/>
        <v>0</v>
      </c>
      <c r="P369" s="120">
        <f t="shared" si="409"/>
        <v>0</v>
      </c>
      <c r="Q369" s="120">
        <f t="shared" si="410"/>
        <v>0</v>
      </c>
      <c r="R369" s="280">
        <f t="shared" si="411"/>
        <v>0</v>
      </c>
      <c r="S369" s="620"/>
    </row>
    <row r="370" spans="1:19" ht="15.75">
      <c r="A370" s="1308" t="s">
        <v>136</v>
      </c>
      <c r="B370" s="74" t="s">
        <v>137</v>
      </c>
      <c r="C370" s="51">
        <v>2024</v>
      </c>
      <c r="D370" s="753">
        <v>55</v>
      </c>
      <c r="E370" s="751">
        <v>975300</v>
      </c>
      <c r="F370" s="274"/>
      <c r="G370" s="274"/>
      <c r="H370" s="761">
        <f t="shared" si="407"/>
        <v>975300</v>
      </c>
      <c r="I370" s="1278" t="s">
        <v>298</v>
      </c>
      <c r="J370" s="767">
        <v>72000</v>
      </c>
      <c r="K370" s="139"/>
      <c r="L370" s="139">
        <v>1607100</v>
      </c>
      <c r="M370" s="761">
        <f t="shared" si="408"/>
        <v>1679100</v>
      </c>
      <c r="N370" s="1245" t="s">
        <v>301</v>
      </c>
      <c r="O370" s="134">
        <f t="shared" si="412"/>
        <v>1047300</v>
      </c>
      <c r="P370" s="117">
        <f t="shared" si="409"/>
        <v>0</v>
      </c>
      <c r="Q370" s="117">
        <f t="shared" si="410"/>
        <v>1607100</v>
      </c>
      <c r="R370" s="180">
        <f t="shared" si="411"/>
        <v>2654400</v>
      </c>
      <c r="S370" s="52"/>
    </row>
    <row r="371" spans="1:19" ht="15.75">
      <c r="A371" s="1309"/>
      <c r="B371" s="52"/>
      <c r="C371" s="52">
        <v>2025</v>
      </c>
      <c r="D371" s="755"/>
      <c r="E371" s="756">
        <v>975300</v>
      </c>
      <c r="F371" s="277"/>
      <c r="G371" s="277"/>
      <c r="H371" s="762">
        <f t="shared" si="407"/>
        <v>975300</v>
      </c>
      <c r="I371" s="1279"/>
      <c r="J371" s="768">
        <v>72000</v>
      </c>
      <c r="K371" s="134"/>
      <c r="L371" s="134"/>
      <c r="M371" s="762">
        <f t="shared" si="408"/>
        <v>72000</v>
      </c>
      <c r="N371" s="1246"/>
      <c r="O371" s="134">
        <f t="shared" si="412"/>
        <v>1047300</v>
      </c>
      <c r="P371" s="113">
        <f t="shared" si="409"/>
        <v>0</v>
      </c>
      <c r="Q371" s="113">
        <f t="shared" si="410"/>
        <v>0</v>
      </c>
      <c r="R371" s="134">
        <f t="shared" si="411"/>
        <v>1047300</v>
      </c>
      <c r="S371" s="52"/>
    </row>
    <row r="372" spans="1:19" ht="16.5" thickBot="1">
      <c r="A372" s="1310"/>
      <c r="B372" s="53"/>
      <c r="C372" s="620">
        <v>2026</v>
      </c>
      <c r="D372" s="758"/>
      <c r="E372" s="759">
        <v>975300</v>
      </c>
      <c r="F372" s="279"/>
      <c r="G372" s="279"/>
      <c r="H372" s="763">
        <f t="shared" si="407"/>
        <v>975300</v>
      </c>
      <c r="I372" s="1280"/>
      <c r="J372" s="769">
        <v>72000</v>
      </c>
      <c r="K372" s="280"/>
      <c r="L372" s="280"/>
      <c r="M372" s="763">
        <f t="shared" si="408"/>
        <v>72000</v>
      </c>
      <c r="N372" s="1247"/>
      <c r="O372" s="280">
        <f t="shared" si="412"/>
        <v>1047300</v>
      </c>
      <c r="P372" s="120">
        <f t="shared" si="409"/>
        <v>0</v>
      </c>
      <c r="Q372" s="120">
        <f t="shared" si="410"/>
        <v>0</v>
      </c>
      <c r="R372" s="280">
        <f t="shared" si="411"/>
        <v>1047300</v>
      </c>
      <c r="S372" s="53"/>
    </row>
    <row r="373" spans="1:19" ht="16.5" thickBot="1">
      <c r="A373" s="71">
        <v>30</v>
      </c>
      <c r="B373" s="6" t="s">
        <v>138</v>
      </c>
      <c r="C373" s="6"/>
      <c r="D373" s="122"/>
      <c r="E373" s="71"/>
      <c r="F373" s="6"/>
      <c r="G373" s="130"/>
      <c r="H373" s="24">
        <f t="shared" ref="H373:H400" si="413">SUM(E373:G373)</f>
        <v>0</v>
      </c>
      <c r="I373" s="202"/>
      <c r="J373" s="178"/>
      <c r="K373" s="178"/>
      <c r="L373" s="169"/>
      <c r="M373" s="111">
        <f t="shared" si="396"/>
        <v>0</v>
      </c>
      <c r="N373" s="190"/>
      <c r="O373" s="178"/>
      <c r="P373" s="169"/>
      <c r="Q373" s="160"/>
      <c r="R373" s="130"/>
      <c r="S373" s="190"/>
    </row>
    <row r="374" spans="1:19" ht="15.75" customHeight="1">
      <c r="A374" s="1193" t="s">
        <v>139</v>
      </c>
      <c r="B374" s="1308" t="s">
        <v>140</v>
      </c>
      <c r="C374" s="51">
        <v>2024</v>
      </c>
      <c r="D374" s="753">
        <v>10</v>
      </c>
      <c r="E374" s="304">
        <v>66162</v>
      </c>
      <c r="F374" s="274">
        <v>16850</v>
      </c>
      <c r="G374" s="139">
        <v>20000</v>
      </c>
      <c r="H374" s="305">
        <f t="shared" si="413"/>
        <v>103012</v>
      </c>
      <c r="I374" s="1350" t="s">
        <v>302</v>
      </c>
      <c r="J374" s="304"/>
      <c r="K374" s="304"/>
      <c r="L374" s="274">
        <v>38000</v>
      </c>
      <c r="M374" s="311">
        <f t="shared" si="396"/>
        <v>38000</v>
      </c>
      <c r="N374" s="1245" t="s">
        <v>303</v>
      </c>
      <c r="O374" s="134">
        <f>E374+J374</f>
        <v>66162</v>
      </c>
      <c r="P374" s="117">
        <f t="shared" ref="P374:R374" si="414">F374+K374</f>
        <v>16850</v>
      </c>
      <c r="Q374" s="117">
        <f t="shared" si="414"/>
        <v>58000</v>
      </c>
      <c r="R374" s="180">
        <f t="shared" si="414"/>
        <v>141012</v>
      </c>
      <c r="S374" s="51"/>
    </row>
    <row r="375" spans="1:19" ht="21.75" customHeight="1">
      <c r="A375" s="1194"/>
      <c r="B375" s="1309"/>
      <c r="C375" s="52">
        <v>2025</v>
      </c>
      <c r="D375" s="755"/>
      <c r="E375" s="306">
        <v>66162</v>
      </c>
      <c r="F375" s="277">
        <v>16500</v>
      </c>
      <c r="G375" s="134"/>
      <c r="H375" s="307">
        <f t="shared" si="413"/>
        <v>82662</v>
      </c>
      <c r="I375" s="1351"/>
      <c r="J375" s="306"/>
      <c r="K375" s="306"/>
      <c r="L375" s="277"/>
      <c r="M375" s="313">
        <f t="shared" si="396"/>
        <v>0</v>
      </c>
      <c r="N375" s="1246"/>
      <c r="O375" s="134">
        <f t="shared" ref="O375:O376" si="415">E375+J375</f>
        <v>66162</v>
      </c>
      <c r="P375" s="113">
        <f t="shared" ref="P375:P376" si="416">F375+K375</f>
        <v>16500</v>
      </c>
      <c r="Q375" s="113">
        <f t="shared" ref="Q375:Q376" si="417">G375+L375</f>
        <v>0</v>
      </c>
      <c r="R375" s="134">
        <f t="shared" ref="R375:R376" si="418">H375+M375</f>
        <v>82662</v>
      </c>
      <c r="S375" s="52"/>
    </row>
    <row r="376" spans="1:19" ht="27.75" customHeight="1" thickBot="1">
      <c r="A376" s="1195"/>
      <c r="B376" s="1310"/>
      <c r="C376" s="620">
        <v>2026</v>
      </c>
      <c r="D376" s="755"/>
      <c r="E376" s="308">
        <v>66162</v>
      </c>
      <c r="F376" s="279">
        <v>18700</v>
      </c>
      <c r="G376" s="280"/>
      <c r="H376" s="309">
        <f t="shared" si="413"/>
        <v>84862</v>
      </c>
      <c r="I376" s="1352"/>
      <c r="J376" s="308"/>
      <c r="K376" s="308"/>
      <c r="L376" s="279"/>
      <c r="M376" s="315">
        <f t="shared" si="396"/>
        <v>0</v>
      </c>
      <c r="N376" s="1247"/>
      <c r="O376" s="280">
        <f t="shared" si="415"/>
        <v>66162</v>
      </c>
      <c r="P376" s="120">
        <f t="shared" si="416"/>
        <v>18700</v>
      </c>
      <c r="Q376" s="120">
        <f t="shared" si="417"/>
        <v>0</v>
      </c>
      <c r="R376" s="280">
        <f t="shared" si="418"/>
        <v>84862</v>
      </c>
      <c r="S376" s="53"/>
    </row>
    <row r="377" spans="1:19" ht="16.5" thickBot="1">
      <c r="A377" s="71">
        <v>35</v>
      </c>
      <c r="B377" s="6" t="s">
        <v>273</v>
      </c>
      <c r="C377" s="6"/>
      <c r="D377" s="122"/>
      <c r="E377" s="71"/>
      <c r="F377" s="6"/>
      <c r="G377" s="130"/>
      <c r="H377" s="24">
        <f t="shared" ref="H377" si="419">SUM(E377:G377)</f>
        <v>0</v>
      </c>
      <c r="I377" s="202"/>
      <c r="J377" s="178"/>
      <c r="K377" s="178"/>
      <c r="L377" s="169"/>
      <c r="M377" s="111">
        <f t="shared" ref="M377:M380" si="420">SUM(J377:L377)</f>
        <v>0</v>
      </c>
      <c r="N377" s="190"/>
      <c r="O377" s="178"/>
      <c r="P377" s="169"/>
      <c r="Q377" s="160"/>
      <c r="R377" s="130"/>
      <c r="S377" s="190"/>
    </row>
    <row r="378" spans="1:19" ht="15.75" customHeight="1">
      <c r="A378" s="1359" t="s">
        <v>48</v>
      </c>
      <c r="B378" s="1362" t="s">
        <v>274</v>
      </c>
      <c r="C378" s="51">
        <v>2024</v>
      </c>
      <c r="D378" s="753"/>
      <c r="E378" s="304">
        <v>11890</v>
      </c>
      <c r="F378" s="274">
        <v>9517</v>
      </c>
      <c r="G378" s="132"/>
      <c r="H378" s="305">
        <f t="shared" ref="H378:H380" si="421">SUM(E378:G378)</f>
        <v>21407</v>
      </c>
      <c r="I378" s="1350" t="s">
        <v>304</v>
      </c>
      <c r="J378" s="304"/>
      <c r="K378" s="304"/>
      <c r="L378" s="274"/>
      <c r="M378" s="311">
        <f t="shared" si="420"/>
        <v>0</v>
      </c>
      <c r="N378" s="1245"/>
      <c r="O378" s="134">
        <f>E378+J378</f>
        <v>11890</v>
      </c>
      <c r="P378" s="117">
        <f t="shared" ref="P378:P380" si="422">F378+K378</f>
        <v>9517</v>
      </c>
      <c r="Q378" s="117">
        <f t="shared" ref="Q378:Q380" si="423">G378+L378</f>
        <v>0</v>
      </c>
      <c r="R378" s="180">
        <f t="shared" ref="R378:R380" si="424">H378+M378</f>
        <v>21407</v>
      </c>
      <c r="S378" s="51"/>
    </row>
    <row r="379" spans="1:19" ht="21.75" customHeight="1">
      <c r="A379" s="1360"/>
      <c r="B379" s="1363"/>
      <c r="C379" s="52">
        <v>2025</v>
      </c>
      <c r="D379" s="755"/>
      <c r="E379" s="306"/>
      <c r="F379" s="290"/>
      <c r="G379" s="134"/>
      <c r="H379" s="307">
        <f t="shared" si="421"/>
        <v>0</v>
      </c>
      <c r="I379" s="1351"/>
      <c r="J379" s="306"/>
      <c r="K379" s="306"/>
      <c r="L379" s="277"/>
      <c r="M379" s="313">
        <f t="shared" si="420"/>
        <v>0</v>
      </c>
      <c r="N379" s="1246"/>
      <c r="O379" s="134">
        <f t="shared" ref="O379:O380" si="425">E379+J379</f>
        <v>0</v>
      </c>
      <c r="P379" s="113">
        <f t="shared" si="422"/>
        <v>0</v>
      </c>
      <c r="Q379" s="113">
        <f t="shared" si="423"/>
        <v>0</v>
      </c>
      <c r="R379" s="134">
        <f t="shared" si="424"/>
        <v>0</v>
      </c>
      <c r="S379" s="52"/>
    </row>
    <row r="380" spans="1:19" ht="27.75" customHeight="1" thickBot="1">
      <c r="A380" s="1361"/>
      <c r="B380" s="1364"/>
      <c r="C380" s="620">
        <v>2026</v>
      </c>
      <c r="D380" s="755"/>
      <c r="E380" s="308"/>
      <c r="F380" s="294"/>
      <c r="G380" s="280"/>
      <c r="H380" s="309">
        <f t="shared" si="421"/>
        <v>0</v>
      </c>
      <c r="I380" s="1352"/>
      <c r="J380" s="308"/>
      <c r="K380" s="308"/>
      <c r="L380" s="279"/>
      <c r="M380" s="315">
        <f t="shared" si="420"/>
        <v>0</v>
      </c>
      <c r="N380" s="1247"/>
      <c r="O380" s="280">
        <f t="shared" si="425"/>
        <v>0</v>
      </c>
      <c r="P380" s="120">
        <f t="shared" si="422"/>
        <v>0</v>
      </c>
      <c r="Q380" s="120">
        <f t="shared" si="423"/>
        <v>0</v>
      </c>
      <c r="R380" s="280">
        <f t="shared" si="424"/>
        <v>0</v>
      </c>
      <c r="S380" s="620"/>
    </row>
    <row r="381" spans="1:19" ht="16.5" thickBot="1">
      <c r="A381" s="71">
        <v>41</v>
      </c>
      <c r="B381" s="6" t="s">
        <v>275</v>
      </c>
      <c r="C381" s="6"/>
      <c r="D381" s="122"/>
      <c r="E381" s="71"/>
      <c r="F381" s="6"/>
      <c r="G381" s="130"/>
      <c r="H381" s="24">
        <f t="shared" ref="H381:H384" si="426">SUM(E381:G381)</f>
        <v>0</v>
      </c>
      <c r="I381" s="202"/>
      <c r="J381" s="178"/>
      <c r="K381" s="178"/>
      <c r="L381" s="169"/>
      <c r="M381" s="111">
        <f t="shared" ref="M381:M384" si="427">SUM(J381:L381)</f>
        <v>0</v>
      </c>
      <c r="N381" s="190"/>
      <c r="O381" s="178"/>
      <c r="P381" s="169"/>
      <c r="Q381" s="160"/>
      <c r="R381" s="130"/>
      <c r="S381" s="190"/>
    </row>
    <row r="382" spans="1:19" ht="15.75" customHeight="1">
      <c r="A382" s="1353" t="s">
        <v>276</v>
      </c>
      <c r="B382" s="1356" t="s">
        <v>277</v>
      </c>
      <c r="C382" s="51">
        <v>2024</v>
      </c>
      <c r="D382" s="753"/>
      <c r="E382" s="304">
        <v>298600</v>
      </c>
      <c r="F382" s="274">
        <v>126700</v>
      </c>
      <c r="G382" s="132"/>
      <c r="H382" s="305">
        <f t="shared" si="426"/>
        <v>425300</v>
      </c>
      <c r="I382" s="1350" t="s">
        <v>305</v>
      </c>
      <c r="J382" s="304"/>
      <c r="K382" s="304"/>
      <c r="L382" s="274">
        <v>43000</v>
      </c>
      <c r="M382" s="311">
        <f t="shared" si="427"/>
        <v>43000</v>
      </c>
      <c r="N382" s="1332" t="s">
        <v>306</v>
      </c>
      <c r="O382" s="134">
        <f>E382+J382</f>
        <v>298600</v>
      </c>
      <c r="P382" s="117">
        <f t="shared" ref="P382:P384" si="428">F382+K382</f>
        <v>126700</v>
      </c>
      <c r="Q382" s="117">
        <f t="shared" ref="Q382:Q384" si="429">G382+L382</f>
        <v>43000</v>
      </c>
      <c r="R382" s="180">
        <f t="shared" ref="R382:R384" si="430">H382+M382</f>
        <v>468300</v>
      </c>
      <c r="S382" s="51"/>
    </row>
    <row r="383" spans="1:19" ht="21.75" customHeight="1">
      <c r="A383" s="1354"/>
      <c r="B383" s="1357"/>
      <c r="C383" s="52">
        <v>2025</v>
      </c>
      <c r="D383" s="755"/>
      <c r="E383" s="306"/>
      <c r="F383" s="290"/>
      <c r="G383" s="134"/>
      <c r="H383" s="307">
        <f t="shared" si="426"/>
        <v>0</v>
      </c>
      <c r="I383" s="1351"/>
      <c r="J383" s="306"/>
      <c r="K383" s="306"/>
      <c r="L383" s="277"/>
      <c r="M383" s="313">
        <f t="shared" si="427"/>
        <v>0</v>
      </c>
      <c r="N383" s="1333"/>
      <c r="O383" s="134">
        <f t="shared" ref="O383:O384" si="431">E383+J383</f>
        <v>0</v>
      </c>
      <c r="P383" s="113">
        <f t="shared" si="428"/>
        <v>0</v>
      </c>
      <c r="Q383" s="113">
        <f t="shared" si="429"/>
        <v>0</v>
      </c>
      <c r="R383" s="134">
        <f t="shared" si="430"/>
        <v>0</v>
      </c>
      <c r="S383" s="52"/>
    </row>
    <row r="384" spans="1:19" ht="27.75" customHeight="1" thickBot="1">
      <c r="A384" s="1355"/>
      <c r="B384" s="1358"/>
      <c r="C384" s="620">
        <v>2026</v>
      </c>
      <c r="D384" s="755"/>
      <c r="E384" s="308"/>
      <c r="F384" s="294"/>
      <c r="G384" s="280"/>
      <c r="H384" s="309">
        <f t="shared" si="426"/>
        <v>0</v>
      </c>
      <c r="I384" s="1352"/>
      <c r="J384" s="308"/>
      <c r="K384" s="308"/>
      <c r="L384" s="279"/>
      <c r="M384" s="315">
        <f t="shared" si="427"/>
        <v>0</v>
      </c>
      <c r="N384" s="1334"/>
      <c r="O384" s="280">
        <f t="shared" si="431"/>
        <v>0</v>
      </c>
      <c r="P384" s="120">
        <f t="shared" si="428"/>
        <v>0</v>
      </c>
      <c r="Q384" s="120">
        <f t="shared" si="429"/>
        <v>0</v>
      </c>
      <c r="R384" s="280">
        <f t="shared" si="430"/>
        <v>0</v>
      </c>
      <c r="S384" s="620"/>
    </row>
    <row r="385" spans="1:19" ht="16.5" thickBot="1">
      <c r="A385" s="71">
        <v>63</v>
      </c>
      <c r="B385" s="6" t="s">
        <v>307</v>
      </c>
      <c r="C385" s="6"/>
      <c r="D385" s="122"/>
      <c r="E385" s="71"/>
      <c r="F385" s="6"/>
      <c r="G385" s="130"/>
      <c r="H385" s="24">
        <f t="shared" si="413"/>
        <v>0</v>
      </c>
      <c r="I385" s="202"/>
      <c r="J385" s="178"/>
      <c r="K385" s="178"/>
      <c r="L385" s="169"/>
      <c r="M385" s="111">
        <f t="shared" si="396"/>
        <v>0</v>
      </c>
      <c r="N385" s="190"/>
      <c r="O385" s="178"/>
      <c r="P385" s="169"/>
      <c r="Q385" s="160"/>
      <c r="R385" s="130"/>
      <c r="S385" s="190"/>
    </row>
    <row r="386" spans="1:19" ht="15.75">
      <c r="A386" s="1193">
        <v>3320</v>
      </c>
      <c r="B386" s="1308" t="s">
        <v>308</v>
      </c>
      <c r="C386" s="51">
        <v>2024</v>
      </c>
      <c r="D386" s="325"/>
      <c r="E386" s="304"/>
      <c r="F386" s="304">
        <v>7000</v>
      </c>
      <c r="G386" s="496"/>
      <c r="H386" s="311">
        <f t="shared" si="413"/>
        <v>7000</v>
      </c>
      <c r="I386" s="1350" t="s">
        <v>309</v>
      </c>
      <c r="J386" s="310">
        <v>8900</v>
      </c>
      <c r="K386" s="726"/>
      <c r="L386" s="310">
        <v>29000</v>
      </c>
      <c r="M386" s="311">
        <f t="shared" si="396"/>
        <v>37900</v>
      </c>
      <c r="N386" s="1480" t="s">
        <v>310</v>
      </c>
      <c r="O386" s="132"/>
      <c r="P386" s="117">
        <f>J386</f>
        <v>8900</v>
      </c>
      <c r="Q386" s="117">
        <f>L386</f>
        <v>29000</v>
      </c>
      <c r="R386" s="132">
        <f>M386+H386</f>
        <v>44900</v>
      </c>
      <c r="S386" s="51"/>
    </row>
    <row r="387" spans="1:19" ht="15.75">
      <c r="A387" s="1194"/>
      <c r="B387" s="1309"/>
      <c r="C387" s="52">
        <v>2025</v>
      </c>
      <c r="D387" s="326"/>
      <c r="E387" s="306"/>
      <c r="F387" s="306"/>
      <c r="G387" s="484"/>
      <c r="H387" s="313">
        <f t="shared" si="413"/>
        <v>0</v>
      </c>
      <c r="I387" s="1351"/>
      <c r="J387" s="312"/>
      <c r="K387" s="727"/>
      <c r="L387" s="312"/>
      <c r="M387" s="313">
        <f t="shared" si="396"/>
        <v>0</v>
      </c>
      <c r="N387" s="1481"/>
      <c r="O387" s="134"/>
      <c r="P387" s="117">
        <f t="shared" ref="P387:P388" si="432">J387</f>
        <v>0</v>
      </c>
      <c r="Q387" s="117">
        <f t="shared" ref="Q387:Q388" si="433">L387</f>
        <v>0</v>
      </c>
      <c r="R387" s="134">
        <f t="shared" ref="R387:R388" si="434">M387+H387</f>
        <v>0</v>
      </c>
      <c r="S387" s="52"/>
    </row>
    <row r="388" spans="1:19" ht="16.5" thickBot="1">
      <c r="A388" s="1195"/>
      <c r="B388" s="1310"/>
      <c r="C388" s="53">
        <v>2026</v>
      </c>
      <c r="D388" s="327"/>
      <c r="E388" s="308"/>
      <c r="F388" s="308"/>
      <c r="G388" s="485"/>
      <c r="H388" s="315">
        <f t="shared" si="413"/>
        <v>0</v>
      </c>
      <c r="I388" s="1352"/>
      <c r="J388" s="314"/>
      <c r="K388" s="728"/>
      <c r="L388" s="314"/>
      <c r="M388" s="315">
        <f t="shared" si="396"/>
        <v>0</v>
      </c>
      <c r="N388" s="1482"/>
      <c r="O388" s="280"/>
      <c r="P388" s="117">
        <f t="shared" si="432"/>
        <v>0</v>
      </c>
      <c r="Q388" s="117">
        <f t="shared" si="433"/>
        <v>0</v>
      </c>
      <c r="R388" s="280">
        <f t="shared" si="434"/>
        <v>0</v>
      </c>
      <c r="S388" s="53"/>
    </row>
    <row r="389" spans="1:19" ht="16.5" thickBot="1">
      <c r="A389" s="71">
        <v>63</v>
      </c>
      <c r="B389" s="6" t="s">
        <v>141</v>
      </c>
      <c r="C389" s="6"/>
      <c r="D389" s="122"/>
      <c r="E389" s="770">
        <f>E390</f>
        <v>53330</v>
      </c>
      <c r="F389" s="770">
        <f t="shared" ref="F389:G389" si="435">F390</f>
        <v>0</v>
      </c>
      <c r="G389" s="770">
        <f t="shared" si="435"/>
        <v>0</v>
      </c>
      <c r="H389" s="771">
        <f t="shared" si="413"/>
        <v>53330</v>
      </c>
      <c r="I389" s="202"/>
      <c r="J389" s="178"/>
      <c r="K389" s="178"/>
      <c r="L389" s="169"/>
      <c r="M389" s="111">
        <f t="shared" si="396"/>
        <v>0</v>
      </c>
      <c r="N389" s="190"/>
      <c r="O389" s="178"/>
      <c r="P389" s="169"/>
      <c r="Q389" s="160"/>
      <c r="R389" s="130"/>
      <c r="S389" s="190"/>
    </row>
    <row r="390" spans="1:19" ht="24.75" customHeight="1">
      <c r="A390" s="1193" t="s">
        <v>142</v>
      </c>
      <c r="B390" s="74" t="s">
        <v>143</v>
      </c>
      <c r="C390" s="51">
        <v>2024</v>
      </c>
      <c r="D390" s="753"/>
      <c r="E390" s="304">
        <v>53330</v>
      </c>
      <c r="F390" s="304"/>
      <c r="G390" s="139"/>
      <c r="H390" s="311">
        <f t="shared" si="413"/>
        <v>53330</v>
      </c>
      <c r="I390" s="1338" t="s">
        <v>311</v>
      </c>
      <c r="J390" s="304"/>
      <c r="K390" s="304"/>
      <c r="L390" s="274"/>
      <c r="M390" s="311">
        <f t="shared" si="396"/>
        <v>0</v>
      </c>
      <c r="N390" s="1347"/>
      <c r="O390" s="132">
        <f>E390+J390</f>
        <v>53330</v>
      </c>
      <c r="P390" s="117">
        <f t="shared" ref="P390:Q390" si="436">F390+K390</f>
        <v>0</v>
      </c>
      <c r="Q390" s="117">
        <f t="shared" si="436"/>
        <v>0</v>
      </c>
      <c r="R390" s="132">
        <f>H390+M390</f>
        <v>53330</v>
      </c>
      <c r="S390" s="51"/>
    </row>
    <row r="391" spans="1:19" ht="26.25" customHeight="1">
      <c r="A391" s="1194"/>
      <c r="B391" s="52"/>
      <c r="C391" s="52">
        <v>2025</v>
      </c>
      <c r="D391" s="755"/>
      <c r="E391" s="306"/>
      <c r="F391" s="306"/>
      <c r="G391" s="180"/>
      <c r="H391" s="313">
        <f t="shared" si="413"/>
        <v>0</v>
      </c>
      <c r="I391" s="1339"/>
      <c r="J391" s="306"/>
      <c r="K391" s="306"/>
      <c r="L391" s="277"/>
      <c r="M391" s="313">
        <f t="shared" si="396"/>
        <v>0</v>
      </c>
      <c r="N391" s="1318"/>
      <c r="O391" s="134">
        <f t="shared" ref="O391:O392" si="437">E391+J391</f>
        <v>0</v>
      </c>
      <c r="P391" s="117">
        <f t="shared" ref="P391:P392" si="438">F391+K391</f>
        <v>0</v>
      </c>
      <c r="Q391" s="117">
        <f t="shared" ref="Q391:Q392" si="439">G391+L391</f>
        <v>0</v>
      </c>
      <c r="R391" s="134">
        <f t="shared" ref="R391:R392" si="440">H391+M391</f>
        <v>0</v>
      </c>
      <c r="S391" s="52"/>
    </row>
    <row r="392" spans="1:19" ht="21" customHeight="1" thickBot="1">
      <c r="A392" s="1195"/>
      <c r="B392" s="53"/>
      <c r="C392" s="620">
        <v>2026</v>
      </c>
      <c r="D392" s="758"/>
      <c r="E392" s="308"/>
      <c r="F392" s="308"/>
      <c r="G392" s="281"/>
      <c r="H392" s="315">
        <f t="shared" si="413"/>
        <v>0</v>
      </c>
      <c r="I392" s="1340"/>
      <c r="J392" s="308"/>
      <c r="K392" s="308"/>
      <c r="L392" s="279"/>
      <c r="M392" s="315">
        <f t="shared" si="396"/>
        <v>0</v>
      </c>
      <c r="N392" s="1319"/>
      <c r="O392" s="280">
        <f t="shared" si="437"/>
        <v>0</v>
      </c>
      <c r="P392" s="117">
        <f t="shared" si="438"/>
        <v>0</v>
      </c>
      <c r="Q392" s="117">
        <f t="shared" si="439"/>
        <v>0</v>
      </c>
      <c r="R392" s="280">
        <f t="shared" si="440"/>
        <v>0</v>
      </c>
      <c r="S392" s="53"/>
    </row>
    <row r="393" spans="1:19" ht="16.5" thickBot="1">
      <c r="A393" s="71">
        <v>63</v>
      </c>
      <c r="B393" s="6" t="s">
        <v>144</v>
      </c>
      <c r="C393" s="6"/>
      <c r="D393" s="122"/>
      <c r="E393" s="770">
        <f>E394</f>
        <v>53270</v>
      </c>
      <c r="F393" s="770">
        <f t="shared" ref="F393:G393" si="441">F394</f>
        <v>0</v>
      </c>
      <c r="G393" s="770">
        <f t="shared" si="441"/>
        <v>0</v>
      </c>
      <c r="H393" s="771">
        <f t="shared" si="413"/>
        <v>53270</v>
      </c>
      <c r="I393" s="202"/>
      <c r="J393" s="178"/>
      <c r="K393" s="178"/>
      <c r="L393" s="169"/>
      <c r="M393" s="111">
        <f>SUM(J393:L393)</f>
        <v>0</v>
      </c>
      <c r="N393" s="190"/>
      <c r="O393" s="178"/>
      <c r="P393" s="169"/>
      <c r="Q393" s="160"/>
      <c r="R393" s="130"/>
      <c r="S393" s="190"/>
    </row>
    <row r="394" spans="1:19" ht="25.5" customHeight="1">
      <c r="A394" s="614" t="s">
        <v>145</v>
      </c>
      <c r="B394" s="97" t="s">
        <v>146</v>
      </c>
      <c r="C394" s="51">
        <v>2024</v>
      </c>
      <c r="D394" s="753"/>
      <c r="E394" s="751">
        <v>53270</v>
      </c>
      <c r="F394" s="274"/>
      <c r="G394" s="274"/>
      <c r="H394" s="754">
        <f t="shared" si="413"/>
        <v>53270</v>
      </c>
      <c r="I394" s="1338" t="s">
        <v>312</v>
      </c>
      <c r="J394" s="304"/>
      <c r="K394" s="304"/>
      <c r="L394" s="274"/>
      <c r="M394" s="311">
        <f t="shared" si="396"/>
        <v>0</v>
      </c>
      <c r="N394" s="1347"/>
      <c r="O394" s="325">
        <f>J394+E394</f>
        <v>53270</v>
      </c>
      <c r="P394" s="325">
        <f t="shared" ref="P394:R396" si="442">K394+F394</f>
        <v>0</v>
      </c>
      <c r="Q394" s="139">
        <f t="shared" si="442"/>
        <v>0</v>
      </c>
      <c r="R394" s="132">
        <f>M394+H394</f>
        <v>53270</v>
      </c>
      <c r="S394" s="51"/>
    </row>
    <row r="395" spans="1:19" ht="29.25" customHeight="1">
      <c r="A395" s="615"/>
      <c r="B395" s="52"/>
      <c r="C395" s="52">
        <v>2025</v>
      </c>
      <c r="D395" s="755"/>
      <c r="E395" s="756"/>
      <c r="F395" s="277"/>
      <c r="G395" s="277"/>
      <c r="H395" s="772">
        <f t="shared" si="413"/>
        <v>0</v>
      </c>
      <c r="I395" s="1339"/>
      <c r="J395" s="306"/>
      <c r="K395" s="306"/>
      <c r="L395" s="277"/>
      <c r="M395" s="313">
        <f t="shared" si="396"/>
        <v>0</v>
      </c>
      <c r="N395" s="1318"/>
      <c r="O395" s="326">
        <f t="shared" ref="O395:O396" si="443">J395+E395</f>
        <v>0</v>
      </c>
      <c r="P395" s="326">
        <f t="shared" si="442"/>
        <v>0</v>
      </c>
      <c r="Q395" s="180">
        <f t="shared" si="442"/>
        <v>0</v>
      </c>
      <c r="R395" s="134">
        <f t="shared" si="442"/>
        <v>0</v>
      </c>
      <c r="S395" s="52"/>
    </row>
    <row r="396" spans="1:19" ht="28.5" customHeight="1" thickBot="1">
      <c r="A396" s="616"/>
      <c r="B396" s="53"/>
      <c r="C396" s="53">
        <v>2026</v>
      </c>
      <c r="D396" s="773"/>
      <c r="E396" s="774"/>
      <c r="F396" s="775"/>
      <c r="G396" s="775"/>
      <c r="H396" s="776">
        <f t="shared" si="413"/>
        <v>0</v>
      </c>
      <c r="I396" s="1340"/>
      <c r="J396" s="308"/>
      <c r="K396" s="308"/>
      <c r="L396" s="279"/>
      <c r="M396" s="315">
        <f t="shared" si="396"/>
        <v>0</v>
      </c>
      <c r="N396" s="1318"/>
      <c r="O396" s="370">
        <f t="shared" si="443"/>
        <v>0</v>
      </c>
      <c r="P396" s="370">
        <f t="shared" si="442"/>
        <v>0</v>
      </c>
      <c r="Q396" s="371">
        <f t="shared" si="442"/>
        <v>0</v>
      </c>
      <c r="R396" s="372">
        <f t="shared" si="442"/>
        <v>0</v>
      </c>
      <c r="S396" s="316"/>
    </row>
    <row r="397" spans="1:19" ht="16.5" thickBot="1">
      <c r="A397" s="71">
        <v>63</v>
      </c>
      <c r="B397" s="6" t="s">
        <v>147</v>
      </c>
      <c r="C397" s="6"/>
      <c r="D397" s="122"/>
      <c r="E397" s="71"/>
      <c r="F397" s="6"/>
      <c r="G397" s="130"/>
      <c r="H397" s="24">
        <f t="shared" si="413"/>
        <v>0</v>
      </c>
      <c r="I397" s="202"/>
      <c r="J397" s="178"/>
      <c r="K397" s="178"/>
      <c r="L397" s="169"/>
      <c r="M397" s="111">
        <f t="shared" si="396"/>
        <v>0</v>
      </c>
      <c r="N397" s="190"/>
      <c r="O397" s="178"/>
      <c r="P397" s="169"/>
      <c r="Q397" s="160"/>
      <c r="R397" s="130"/>
      <c r="S397" s="190"/>
    </row>
    <row r="398" spans="1:19" ht="25.5" customHeight="1">
      <c r="A398" s="1193" t="s">
        <v>148</v>
      </c>
      <c r="B398" s="97" t="s">
        <v>149</v>
      </c>
      <c r="C398" s="51">
        <v>2024</v>
      </c>
      <c r="D398" s="753"/>
      <c r="E398" s="764"/>
      <c r="F398" s="74"/>
      <c r="G398" s="132"/>
      <c r="H398" s="764">
        <f t="shared" si="413"/>
        <v>0</v>
      </c>
      <c r="I398" s="1239" t="s">
        <v>313</v>
      </c>
      <c r="J398" s="597"/>
      <c r="K398" s="726"/>
      <c r="L398" s="274"/>
      <c r="M398" s="274">
        <f t="shared" si="396"/>
        <v>0</v>
      </c>
      <c r="N398" s="1317"/>
      <c r="O398" s="777">
        <f>J398</f>
        <v>0</v>
      </c>
      <c r="P398" s="778">
        <v>0</v>
      </c>
      <c r="Q398" s="373">
        <f>L398</f>
        <v>0</v>
      </c>
      <c r="R398" s="139">
        <f>O398+Q398</f>
        <v>0</v>
      </c>
      <c r="S398" s="1190"/>
    </row>
    <row r="399" spans="1:19" ht="22.5" customHeight="1">
      <c r="A399" s="1194"/>
      <c r="B399" s="52"/>
      <c r="C399" s="52">
        <v>2025</v>
      </c>
      <c r="D399" s="755"/>
      <c r="E399" s="765"/>
      <c r="F399" s="52"/>
      <c r="G399" s="134"/>
      <c r="H399" s="765">
        <f t="shared" si="413"/>
        <v>0</v>
      </c>
      <c r="I399" s="1240"/>
      <c r="J399" s="755"/>
      <c r="K399" s="765"/>
      <c r="L399" s="52"/>
      <c r="M399" s="52">
        <f t="shared" si="396"/>
        <v>0</v>
      </c>
      <c r="N399" s="1318"/>
      <c r="O399" s="134"/>
      <c r="P399" s="113"/>
      <c r="Q399" s="113"/>
      <c r="R399" s="134"/>
      <c r="S399" s="1191"/>
    </row>
    <row r="400" spans="1:19" ht="16.5" thickBot="1">
      <c r="A400" s="1195"/>
      <c r="B400" s="53"/>
      <c r="C400" s="53">
        <v>2026</v>
      </c>
      <c r="D400" s="758"/>
      <c r="E400" s="766"/>
      <c r="F400" s="735"/>
      <c r="G400" s="280"/>
      <c r="H400" s="766">
        <f t="shared" si="413"/>
        <v>0</v>
      </c>
      <c r="I400" s="1241"/>
      <c r="J400" s="758"/>
      <c r="K400" s="766"/>
      <c r="L400" s="735"/>
      <c r="M400" s="735"/>
      <c r="N400" s="1319"/>
      <c r="O400" s="280"/>
      <c r="P400" s="120"/>
      <c r="Q400" s="120"/>
      <c r="R400" s="280"/>
      <c r="S400" s="1192"/>
    </row>
    <row r="401" spans="1:20" ht="20.25">
      <c r="A401" s="1320"/>
      <c r="B401" s="1321" t="s">
        <v>234</v>
      </c>
      <c r="C401" s="328">
        <v>2024</v>
      </c>
      <c r="D401" s="331">
        <f>+D360+D364+D370+D374+D386+D390+D394+D398+D367+D378+D382</f>
        <v>65</v>
      </c>
      <c r="E401" s="331">
        <f>+E360+E364+E370+E374+E386+E390+E394+E398+E367+E378+E382</f>
        <v>2226252</v>
      </c>
      <c r="F401" s="331">
        <f t="shared" ref="F401:H401" si="444">+F360+F364+F370+F374+F386+F390+F394+F398+F367+F378+F382</f>
        <v>250067</v>
      </c>
      <c r="G401" s="331">
        <f t="shared" si="444"/>
        <v>20000</v>
      </c>
      <c r="H401" s="331">
        <f t="shared" si="444"/>
        <v>2496319</v>
      </c>
      <c r="I401" s="331"/>
      <c r="J401" s="331">
        <f>+J360+J364+J370+J374+J386+J390+J394+J398+J367+J378+J382</f>
        <v>80900</v>
      </c>
      <c r="K401" s="331">
        <f t="shared" ref="K401:M401" si="445">+K360+K364+K370+K374+K386+K390+K394+K398+K367+K378+K382</f>
        <v>2200</v>
      </c>
      <c r="L401" s="331">
        <f t="shared" si="445"/>
        <v>1836400</v>
      </c>
      <c r="M401" s="331">
        <f t="shared" si="445"/>
        <v>1919500</v>
      </c>
      <c r="N401" s="331"/>
      <c r="O401" s="331">
        <f>+O360+O364+O370+O374+O386+O390+O394+O398+O367+O378+O382</f>
        <v>2298252</v>
      </c>
      <c r="P401" s="331">
        <f t="shared" ref="P401:Q401" si="446">+P360+P364+P370+P374+P386+P390+P394+P398+P367+P378+P382</f>
        <v>254167</v>
      </c>
      <c r="Q401" s="331">
        <f t="shared" si="446"/>
        <v>1856400</v>
      </c>
      <c r="R401" s="331">
        <f>+R360+R364+R370+R374+R386+R390+R394+R398+R367+R378+R382</f>
        <v>4415819</v>
      </c>
      <c r="S401" s="328"/>
    </row>
    <row r="402" spans="1:20" ht="20.25">
      <c r="A402" s="1322"/>
      <c r="B402" s="1323"/>
      <c r="C402" s="329">
        <v>2025</v>
      </c>
      <c r="D402" s="331">
        <f>+D361+D365+D371+D375+D387+D391+D395+D399</f>
        <v>0</v>
      </c>
      <c r="E402" s="331">
        <f t="shared" ref="E402:H402" si="447">+E361+E365+E371+E375+E387+E391+E395+E399+E368+E379+E383</f>
        <v>1041462</v>
      </c>
      <c r="F402" s="331">
        <f t="shared" si="447"/>
        <v>16500</v>
      </c>
      <c r="G402" s="331">
        <f t="shared" si="447"/>
        <v>0</v>
      </c>
      <c r="H402" s="331">
        <f t="shared" si="447"/>
        <v>1057962</v>
      </c>
      <c r="I402" s="331"/>
      <c r="J402" s="331">
        <f t="shared" ref="J402:M402" si="448">+J361+J365+J371+J375+J387+J391+J395+J399+J368+J379+J383</f>
        <v>72000</v>
      </c>
      <c r="K402" s="331">
        <f t="shared" si="448"/>
        <v>0</v>
      </c>
      <c r="L402" s="331">
        <f t="shared" si="448"/>
        <v>0</v>
      </c>
      <c r="M402" s="331">
        <f t="shared" si="448"/>
        <v>72000</v>
      </c>
      <c r="N402" s="331"/>
      <c r="O402" s="331">
        <f>+O361+O365+O371+O375+O387+O391+O395+O399+O368+O379+O383</f>
        <v>1113462</v>
      </c>
      <c r="P402" s="331">
        <f>+P361+P365+P371+P375+P387+P391+P395+P399+P368+P379+P383</f>
        <v>16500</v>
      </c>
      <c r="Q402" s="331">
        <f>+Q361+Q365+Q371+Q375+Q387+Q391+Q395+Q399+Q368+Q379+Q383</f>
        <v>0</v>
      </c>
      <c r="R402" s="331">
        <f t="shared" ref="R402" si="449">+R361+R365+R371+R375+R387+R391+R395+R399+R368+R379+R383</f>
        <v>1129962</v>
      </c>
      <c r="S402" s="329"/>
    </row>
    <row r="403" spans="1:20" ht="21" thickBot="1">
      <c r="A403" s="1324"/>
      <c r="B403" s="1325"/>
      <c r="C403" s="330">
        <v>2026</v>
      </c>
      <c r="D403" s="331">
        <f>+D362+D366+D372+D376+D388+D392+D396+D400</f>
        <v>0</v>
      </c>
      <c r="E403" s="331">
        <f t="shared" ref="E403:H403" si="450">+E362+E366+E372+E376+E388+E392+E396+E400+E369+E380+E384</f>
        <v>1041462</v>
      </c>
      <c r="F403" s="331">
        <f t="shared" si="450"/>
        <v>18700</v>
      </c>
      <c r="G403" s="331">
        <f t="shared" si="450"/>
        <v>0</v>
      </c>
      <c r="H403" s="331">
        <f t="shared" si="450"/>
        <v>1060162</v>
      </c>
      <c r="I403" s="331"/>
      <c r="J403" s="331">
        <f t="shared" ref="J403:M403" si="451">+J362+J366+J372+J376+J388+J392+J396+J400+J369+J380+J384</f>
        <v>72000</v>
      </c>
      <c r="K403" s="331">
        <f t="shared" si="451"/>
        <v>0</v>
      </c>
      <c r="L403" s="331">
        <f t="shared" si="451"/>
        <v>0</v>
      </c>
      <c r="M403" s="331">
        <f t="shared" si="451"/>
        <v>72000</v>
      </c>
      <c r="N403" s="331"/>
      <c r="O403" s="331">
        <f>+O362+O366+O372+O376+O388+O392+O396+O400+O369+O380+O384</f>
        <v>1113462</v>
      </c>
      <c r="P403" s="331">
        <f>+P362+P366+P372+P376+P388+P392+P396+P400+P369+P380+P384</f>
        <v>18700</v>
      </c>
      <c r="Q403" s="331">
        <f>+Q362+Q366+Q372+Q376+Q388+Q392+Q396+Q400+Q369+Q380+Q384</f>
        <v>0</v>
      </c>
      <c r="R403" s="331">
        <f t="shared" ref="R403" si="452">+R362+R366+R372+R376+R388+R392+R396+R400+R369+R380+R384</f>
        <v>1132162</v>
      </c>
      <c r="S403" s="330"/>
    </row>
    <row r="406" spans="1:20">
      <c r="B406" s="219"/>
      <c r="C406" s="219"/>
      <c r="D406" s="219"/>
      <c r="E406" s="219"/>
      <c r="F406" s="219"/>
      <c r="G406" s="1117"/>
      <c r="H406" s="1118"/>
      <c r="I406" s="1119"/>
      <c r="J406" s="1120"/>
      <c r="K406" s="1120"/>
      <c r="L406" s="1120"/>
      <c r="M406" s="1121"/>
    </row>
    <row r="407" spans="1:20">
      <c r="B407" s="219"/>
      <c r="C407" s="219"/>
      <c r="D407" s="219"/>
      <c r="E407" s="219"/>
      <c r="F407" s="219"/>
      <c r="G407" s="1117"/>
      <c r="H407" s="1118"/>
      <c r="I407" s="1119"/>
      <c r="J407" s="1120"/>
      <c r="K407" s="1120"/>
      <c r="L407" s="1120"/>
      <c r="M407" s="1121"/>
    </row>
    <row r="408" spans="1:20">
      <c r="B408" s="219"/>
      <c r="C408" s="219"/>
      <c r="D408" s="219"/>
      <c r="E408" s="219"/>
      <c r="F408" s="219"/>
      <c r="G408" s="1117"/>
      <c r="H408" s="1118"/>
      <c r="I408" s="1119"/>
      <c r="J408" s="1120"/>
      <c r="K408" s="1120"/>
      <c r="L408" s="1120"/>
      <c r="M408" s="1121"/>
      <c r="R408" s="206"/>
    </row>
    <row r="409" spans="1:20" ht="19.5" thickBot="1">
      <c r="B409" s="219"/>
      <c r="C409" s="219"/>
      <c r="D409" s="219"/>
      <c r="E409" s="219"/>
      <c r="F409" s="219"/>
      <c r="G409" s="1117"/>
      <c r="H409" s="1118"/>
      <c r="I409" s="1119"/>
      <c r="J409" s="1132" t="s">
        <v>282</v>
      </c>
      <c r="K409" s="1120"/>
      <c r="L409" s="1120"/>
      <c r="M409" s="1121"/>
      <c r="R409" s="206"/>
    </row>
    <row r="410" spans="1:20" ht="48" customHeight="1" thickTop="1" thickBot="1">
      <c r="B410" s="219"/>
      <c r="C410" s="1476" t="s">
        <v>448</v>
      </c>
      <c r="D410" s="1476"/>
      <c r="E410" s="1477" t="s">
        <v>279</v>
      </c>
      <c r="F410" s="1477" t="s">
        <v>283</v>
      </c>
      <c r="G410" s="1478" t="s">
        <v>7</v>
      </c>
      <c r="H410" s="1478" t="s">
        <v>8</v>
      </c>
      <c r="I410" s="1478" t="s">
        <v>9</v>
      </c>
      <c r="J410" s="1478" t="s">
        <v>10</v>
      </c>
      <c r="K410" s="1120"/>
      <c r="L410" s="1120"/>
      <c r="M410" s="1120"/>
      <c r="N410" s="208"/>
      <c r="O410" s="189"/>
      <c r="R410" s="206"/>
      <c r="S410" s="206"/>
      <c r="T410" s="189"/>
    </row>
    <row r="411" spans="1:20" ht="15.75" customHeight="1" thickTop="1" thickBot="1">
      <c r="B411" s="219"/>
      <c r="C411" s="1476"/>
      <c r="D411" s="1476"/>
      <c r="E411" s="1477"/>
      <c r="F411" s="1477"/>
      <c r="G411" s="1478"/>
      <c r="H411" s="1478"/>
      <c r="I411" s="1478"/>
      <c r="J411" s="1478"/>
      <c r="K411" s="1120"/>
      <c r="L411" s="1120"/>
      <c r="M411" s="1121"/>
      <c r="R411" s="206"/>
    </row>
    <row r="412" spans="1:20" ht="21.75" customHeight="1" thickTop="1" thickBot="1">
      <c r="B412" s="219"/>
      <c r="C412" s="1476" t="s">
        <v>278</v>
      </c>
      <c r="D412" s="1476"/>
      <c r="E412" s="1124">
        <v>2024</v>
      </c>
      <c r="F412" s="1127"/>
      <c r="G412" s="1127">
        <f>E401+E352</f>
        <v>10087903.6</v>
      </c>
      <c r="H412" s="1127">
        <f>F401+F352</f>
        <v>25052051.866</v>
      </c>
      <c r="I412" s="1127">
        <f t="shared" ref="H412:I414" si="453">G401+G352</f>
        <v>129566966.31</v>
      </c>
      <c r="J412" s="1127">
        <f t="shared" ref="J412:J420" si="454">SUM(G412:I412)</f>
        <v>164706921.77599999</v>
      </c>
      <c r="K412" s="1120"/>
      <c r="L412" s="1120"/>
      <c r="M412" s="1121"/>
      <c r="N412" s="206"/>
    </row>
    <row r="413" spans="1:20" ht="21.75" thickTop="1" thickBot="1">
      <c r="B413" s="219"/>
      <c r="C413" s="1476"/>
      <c r="D413" s="1476"/>
      <c r="E413" s="1125">
        <v>2025</v>
      </c>
      <c r="F413" s="1128"/>
      <c r="G413" s="1128">
        <f>E402+E353</f>
        <v>7624949.5999999996</v>
      </c>
      <c r="H413" s="1128">
        <f t="shared" si="453"/>
        <v>20268564.156999998</v>
      </c>
      <c r="I413" s="1128">
        <f t="shared" si="453"/>
        <v>63185547</v>
      </c>
      <c r="J413" s="1128">
        <f t="shared" si="454"/>
        <v>91079060.756999999</v>
      </c>
      <c r="K413" s="1120"/>
      <c r="L413" s="1120"/>
      <c r="M413" s="1121"/>
    </row>
    <row r="414" spans="1:20" ht="32.25" customHeight="1" thickTop="1" thickBot="1">
      <c r="B414" s="219"/>
      <c r="C414" s="1476"/>
      <c r="D414" s="1476"/>
      <c r="E414" s="1126">
        <v>2026</v>
      </c>
      <c r="F414" s="1129"/>
      <c r="G414" s="1129">
        <f>E403+E354</f>
        <v>7655584.5999999996</v>
      </c>
      <c r="H414" s="1129">
        <f t="shared" si="453"/>
        <v>22746056.357000001</v>
      </c>
      <c r="I414" s="1129">
        <f t="shared" si="453"/>
        <v>50799012</v>
      </c>
      <c r="J414" s="1129">
        <f t="shared" si="454"/>
        <v>81200652.957000002</v>
      </c>
      <c r="K414" s="1122"/>
      <c r="L414" s="1123"/>
      <c r="M414" s="1121"/>
    </row>
    <row r="415" spans="1:20" ht="21.75" thickTop="1" thickBot="1">
      <c r="B415" s="219"/>
      <c r="C415" s="1475" t="s">
        <v>280</v>
      </c>
      <c r="D415" s="1475"/>
      <c r="E415" s="1124">
        <v>2024</v>
      </c>
      <c r="F415" s="1127">
        <f>D401+D352</f>
        <v>708</v>
      </c>
      <c r="G415" s="1127">
        <f>J401+J352</f>
        <v>478973</v>
      </c>
      <c r="H415" s="1127">
        <f t="shared" ref="H415:I417" si="455">K401+K352</f>
        <v>18080140</v>
      </c>
      <c r="I415" s="1127">
        <f t="shared" si="455"/>
        <v>33476358.909000002</v>
      </c>
      <c r="J415" s="1127">
        <f t="shared" si="454"/>
        <v>52035471.909000002</v>
      </c>
      <c r="K415" s="1120"/>
      <c r="L415" s="1120"/>
      <c r="M415" s="1120"/>
      <c r="N415" s="208"/>
      <c r="O415" s="189"/>
      <c r="R415" s="206"/>
      <c r="S415" s="208"/>
      <c r="T415" s="189"/>
    </row>
    <row r="416" spans="1:20" ht="21.75" thickTop="1" thickBot="1">
      <c r="B416" s="219"/>
      <c r="C416" s="1476"/>
      <c r="D416" s="1476"/>
      <c r="E416" s="1125">
        <v>2025</v>
      </c>
      <c r="F416" s="1128">
        <f>D353</f>
        <v>36</v>
      </c>
      <c r="G416" s="1128">
        <f>J402+J353</f>
        <v>706081</v>
      </c>
      <c r="H416" s="1128">
        <f t="shared" si="455"/>
        <v>2972422</v>
      </c>
      <c r="I416" s="1128">
        <f t="shared" si="455"/>
        <v>20426323</v>
      </c>
      <c r="J416" s="1128">
        <f t="shared" si="454"/>
        <v>24104826</v>
      </c>
      <c r="K416" s="1120"/>
      <c r="L416" s="1120"/>
      <c r="M416" s="1120"/>
      <c r="N416" s="208"/>
      <c r="O416" s="189"/>
      <c r="R416" s="206"/>
      <c r="S416" s="208"/>
      <c r="T416" s="189"/>
    </row>
    <row r="417" spans="2:20" ht="30" customHeight="1" thickTop="1" thickBot="1">
      <c r="B417" s="219"/>
      <c r="C417" s="1476"/>
      <c r="D417" s="1476"/>
      <c r="E417" s="1126">
        <v>2026</v>
      </c>
      <c r="F417" s="1129">
        <f>D354</f>
        <v>23</v>
      </c>
      <c r="G417" s="1129">
        <f>J403+J354</f>
        <v>375340</v>
      </c>
      <c r="H417" s="1129">
        <f t="shared" si="455"/>
        <v>1436367</v>
      </c>
      <c r="I417" s="1129">
        <f t="shared" si="455"/>
        <v>22307659</v>
      </c>
      <c r="J417" s="1129">
        <f t="shared" si="454"/>
        <v>24119366</v>
      </c>
      <c r="K417" s="1120"/>
      <c r="L417" s="1120"/>
      <c r="M417" s="1120"/>
      <c r="N417" s="208"/>
      <c r="O417" s="189"/>
      <c r="R417" s="206"/>
      <c r="S417" s="208"/>
      <c r="T417" s="189"/>
    </row>
    <row r="418" spans="2:20" ht="24.75" thickTop="1" thickBot="1">
      <c r="B418" s="219"/>
      <c r="C418" s="1476" t="s">
        <v>281</v>
      </c>
      <c r="D418" s="1476"/>
      <c r="E418" s="1130">
        <v>2024</v>
      </c>
      <c r="F418" s="1131">
        <f>F412+F415</f>
        <v>708</v>
      </c>
      <c r="G418" s="1131">
        <f>G412+G415</f>
        <v>10566876.6</v>
      </c>
      <c r="H418" s="1131">
        <f>H412+H415</f>
        <v>43132191.865999997</v>
      </c>
      <c r="I418" s="1131">
        <f>I412+I415</f>
        <v>163043325.21900001</v>
      </c>
      <c r="J418" s="1131">
        <f t="shared" si="454"/>
        <v>216742393.685</v>
      </c>
      <c r="K418" s="1122"/>
      <c r="L418" s="1120"/>
      <c r="M418" s="1121"/>
    </row>
    <row r="419" spans="2:20" ht="21.75" thickTop="1" thickBot="1">
      <c r="B419" s="219"/>
      <c r="C419" s="1476"/>
      <c r="D419" s="1476"/>
      <c r="E419" s="1125">
        <v>2025</v>
      </c>
      <c r="F419" s="1128">
        <f t="shared" ref="F419:F420" si="456">F413+F416</f>
        <v>36</v>
      </c>
      <c r="G419" s="1128">
        <f t="shared" ref="G419:I420" si="457">G413+G416</f>
        <v>8331030.5999999996</v>
      </c>
      <c r="H419" s="1128">
        <f t="shared" si="457"/>
        <v>23240986.156999998</v>
      </c>
      <c r="I419" s="1128">
        <f t="shared" si="457"/>
        <v>83611870</v>
      </c>
      <c r="J419" s="1128">
        <f t="shared" si="454"/>
        <v>115183886.757</v>
      </c>
      <c r="K419" s="1120"/>
      <c r="L419" s="1120"/>
      <c r="M419" s="1121"/>
    </row>
    <row r="420" spans="2:20" ht="21.75" thickTop="1" thickBot="1">
      <c r="B420" s="219"/>
      <c r="C420" s="1476"/>
      <c r="D420" s="1476"/>
      <c r="E420" s="1126">
        <v>2026</v>
      </c>
      <c r="F420" s="1129">
        <f t="shared" si="456"/>
        <v>23</v>
      </c>
      <c r="G420" s="1129">
        <f t="shared" si="457"/>
        <v>8030924.5999999996</v>
      </c>
      <c r="H420" s="1129">
        <f t="shared" si="457"/>
        <v>24182423.357000001</v>
      </c>
      <c r="I420" s="1129">
        <f t="shared" si="457"/>
        <v>73106671</v>
      </c>
      <c r="J420" s="1129">
        <f t="shared" si="454"/>
        <v>105320018.957</v>
      </c>
      <c r="K420" s="1120"/>
      <c r="L420" s="1120"/>
      <c r="M420" s="1121"/>
    </row>
    <row r="421" spans="2:20" ht="15.75" thickTop="1">
      <c r="B421" s="219"/>
      <c r="C421" s="219"/>
      <c r="D421" s="219"/>
      <c r="E421" s="219"/>
      <c r="F421" s="219"/>
      <c r="G421" s="1117"/>
      <c r="H421" s="1118"/>
      <c r="I421" s="1119"/>
      <c r="J421" s="1120"/>
      <c r="K421" s="1120"/>
      <c r="L421" s="1120"/>
      <c r="M421" s="1121"/>
    </row>
    <row r="422" spans="2:20">
      <c r="B422" s="219"/>
      <c r="C422" s="219"/>
      <c r="D422" s="219"/>
      <c r="E422" s="219"/>
      <c r="F422" s="219"/>
      <c r="G422" s="1117"/>
      <c r="H422" s="1118"/>
      <c r="I422" s="1119"/>
      <c r="J422" s="1120"/>
      <c r="K422" s="1120"/>
      <c r="L422" s="1120"/>
      <c r="M422" s="1121"/>
    </row>
    <row r="423" spans="2:20">
      <c r="B423" s="219"/>
      <c r="C423" s="219"/>
      <c r="D423" s="219"/>
      <c r="E423" s="219"/>
      <c r="F423" s="219"/>
      <c r="G423" s="1117"/>
      <c r="H423" s="1118"/>
      <c r="I423" s="1119"/>
      <c r="J423" s="1120"/>
      <c r="K423" s="1120"/>
      <c r="L423" s="1120"/>
      <c r="M423" s="1121"/>
    </row>
    <row r="424" spans="2:20">
      <c r="B424" s="219"/>
      <c r="C424" s="219"/>
      <c r="D424" s="219"/>
      <c r="E424" s="219"/>
      <c r="F424" s="219"/>
      <c r="G424" s="1117"/>
      <c r="H424" s="1118"/>
      <c r="I424" s="1119"/>
      <c r="J424" s="1120"/>
      <c r="K424" s="1120"/>
      <c r="L424" s="1120"/>
      <c r="M424" s="1121"/>
    </row>
    <row r="425" spans="2:20">
      <c r="B425" s="219"/>
      <c r="C425" s="219"/>
      <c r="D425" s="219"/>
      <c r="E425" s="219"/>
      <c r="F425" s="219"/>
      <c r="G425" s="1117"/>
      <c r="H425" s="1118"/>
      <c r="I425" s="1119"/>
      <c r="J425" s="1120"/>
      <c r="K425" s="1120"/>
      <c r="L425" s="1120"/>
      <c r="M425" s="1121"/>
    </row>
    <row r="426" spans="2:20">
      <c r="B426" s="219"/>
      <c r="C426" s="219"/>
      <c r="D426" s="219"/>
      <c r="E426" s="219"/>
      <c r="F426" s="219"/>
      <c r="G426" s="1117"/>
      <c r="H426" s="1118"/>
      <c r="I426" s="1119"/>
      <c r="J426" s="1120"/>
      <c r="K426" s="1120"/>
      <c r="L426" s="1120"/>
      <c r="M426" s="1121"/>
    </row>
    <row r="427" spans="2:20">
      <c r="B427" s="219"/>
      <c r="C427" s="219"/>
      <c r="D427" s="219"/>
      <c r="E427" s="219"/>
      <c r="F427" s="219"/>
      <c r="G427" s="1117"/>
      <c r="H427" s="1118"/>
      <c r="I427" s="1119"/>
      <c r="J427" s="1120"/>
      <c r="K427" s="1120"/>
      <c r="L427" s="1120"/>
      <c r="M427" s="1121"/>
    </row>
    <row r="428" spans="2:20">
      <c r="B428" s="219"/>
      <c r="C428" s="219"/>
      <c r="D428" s="219"/>
      <c r="E428" s="219"/>
      <c r="F428" s="219"/>
      <c r="G428" s="1117"/>
      <c r="H428" s="1118"/>
      <c r="I428" s="1119"/>
      <c r="J428" s="1120"/>
      <c r="K428" s="1120"/>
      <c r="L428" s="1120"/>
      <c r="M428" s="1121"/>
    </row>
    <row r="429" spans="2:20">
      <c r="B429" s="219"/>
      <c r="C429" s="219"/>
      <c r="D429" s="219"/>
      <c r="E429" s="219"/>
      <c r="F429" s="219"/>
      <c r="G429" s="1117"/>
      <c r="H429" s="1118"/>
      <c r="I429" s="1119"/>
      <c r="J429" s="1120"/>
      <c r="K429" s="1120"/>
      <c r="L429" s="1120"/>
      <c r="M429" s="1121"/>
    </row>
    <row r="430" spans="2:20">
      <c r="B430" s="219"/>
      <c r="C430" s="219"/>
      <c r="D430" s="219"/>
      <c r="E430" s="219"/>
      <c r="F430" s="219"/>
      <c r="G430" s="1117"/>
      <c r="H430" s="1118"/>
      <c r="I430" s="1119"/>
      <c r="J430" s="1120"/>
      <c r="K430" s="1120"/>
      <c r="L430" s="1120"/>
      <c r="M430" s="1121"/>
    </row>
    <row r="431" spans="2:20">
      <c r="B431" s="219"/>
      <c r="C431" s="219"/>
      <c r="D431" s="219"/>
      <c r="E431" s="219"/>
      <c r="F431" s="219"/>
      <c r="G431" s="1117"/>
      <c r="H431" s="1118"/>
      <c r="I431" s="1119"/>
      <c r="J431" s="1120"/>
      <c r="K431" s="1120"/>
      <c r="L431" s="1120"/>
      <c r="M431" s="1121"/>
    </row>
    <row r="432" spans="2:20">
      <c r="B432" s="219"/>
      <c r="C432" s="219"/>
      <c r="D432" s="219"/>
      <c r="E432" s="219"/>
      <c r="F432" s="219"/>
      <c r="G432" s="1117"/>
      <c r="H432" s="1118"/>
      <c r="I432" s="1119"/>
      <c r="J432" s="1120"/>
      <c r="K432" s="1120"/>
      <c r="L432" s="1120"/>
      <c r="M432" s="1121"/>
    </row>
  </sheetData>
  <mergeCells count="325">
    <mergeCell ref="B266:B268"/>
    <mergeCell ref="N266:N268"/>
    <mergeCell ref="S299:S301"/>
    <mergeCell ref="A299:A301"/>
    <mergeCell ref="C415:D417"/>
    <mergeCell ref="E410:E411"/>
    <mergeCell ref="C418:D420"/>
    <mergeCell ref="C412:D414"/>
    <mergeCell ref="F410:F411"/>
    <mergeCell ref="G410:G411"/>
    <mergeCell ref="H410:H411"/>
    <mergeCell ref="I410:I411"/>
    <mergeCell ref="J410:J411"/>
    <mergeCell ref="N394:N396"/>
    <mergeCell ref="A370:A372"/>
    <mergeCell ref="A357:Q357"/>
    <mergeCell ref="N333:N335"/>
    <mergeCell ref="N386:N388"/>
    <mergeCell ref="N341:N343"/>
    <mergeCell ref="N382:N384"/>
    <mergeCell ref="N364:N366"/>
    <mergeCell ref="A367:A369"/>
    <mergeCell ref="B367:B369"/>
    <mergeCell ref="C410:D411"/>
    <mergeCell ref="S194:S196"/>
    <mergeCell ref="N182:N184"/>
    <mergeCell ref="N220:N222"/>
    <mergeCell ref="N194:N196"/>
    <mergeCell ref="S185:S187"/>
    <mergeCell ref="S204:S206"/>
    <mergeCell ref="I204:I206"/>
    <mergeCell ref="N204:N206"/>
    <mergeCell ref="S207:S209"/>
    <mergeCell ref="S10:S12"/>
    <mergeCell ref="S182:S184"/>
    <mergeCell ref="I185:I187"/>
    <mergeCell ref="N185:N187"/>
    <mergeCell ref="I80:I82"/>
    <mergeCell ref="I83:I85"/>
    <mergeCell ref="N83:N85"/>
    <mergeCell ref="N188:N190"/>
    <mergeCell ref="S188:S190"/>
    <mergeCell ref="S168:S170"/>
    <mergeCell ref="N67:N69"/>
    <mergeCell ref="I21:I23"/>
    <mergeCell ref="I24:I26"/>
    <mergeCell ref="N24:N26"/>
    <mergeCell ref="I27:I29"/>
    <mergeCell ref="N27:N29"/>
    <mergeCell ref="I30:I32"/>
    <mergeCell ref="N30:N32"/>
    <mergeCell ref="I33:I35"/>
    <mergeCell ref="S147:S149"/>
    <mergeCell ref="S150:S152"/>
    <mergeCell ref="S153:S155"/>
    <mergeCell ref="N92:N94"/>
    <mergeCell ref="I95:I97"/>
    <mergeCell ref="I3:I4"/>
    <mergeCell ref="J3:J4"/>
    <mergeCell ref="K3:K4"/>
    <mergeCell ref="L3:L4"/>
    <mergeCell ref="I98:I100"/>
    <mergeCell ref="N140:N142"/>
    <mergeCell ref="I36:I38"/>
    <mergeCell ref="N36:N38"/>
    <mergeCell ref="I39:I41"/>
    <mergeCell ref="N39:N41"/>
    <mergeCell ref="I118:I120"/>
    <mergeCell ref="N118:N120"/>
    <mergeCell ref="I121:I123"/>
    <mergeCell ref="N121:N123"/>
    <mergeCell ref="I89:I91"/>
    <mergeCell ref="N89:N91"/>
    <mergeCell ref="I77:I79"/>
    <mergeCell ref="I124:I126"/>
    <mergeCell ref="I6:I8"/>
    <mergeCell ref="I64:I66"/>
    <mergeCell ref="I70:I72"/>
    <mergeCell ref="I86:I88"/>
    <mergeCell ref="N86:N88"/>
    <mergeCell ref="I92:I94"/>
    <mergeCell ref="A144:A146"/>
    <mergeCell ref="B144:B146"/>
    <mergeCell ref="I144:I146"/>
    <mergeCell ref="E2:I2"/>
    <mergeCell ref="J2:N2"/>
    <mergeCell ref="O2:S2"/>
    <mergeCell ref="A3:A4"/>
    <mergeCell ref="C3:C4"/>
    <mergeCell ref="D3:D4"/>
    <mergeCell ref="E3:E4"/>
    <mergeCell ref="F3:F4"/>
    <mergeCell ref="G3:G4"/>
    <mergeCell ref="H3:H4"/>
    <mergeCell ref="O3:O4"/>
    <mergeCell ref="P3:P4"/>
    <mergeCell ref="Q3:Q4"/>
    <mergeCell ref="R3:R4"/>
    <mergeCell ref="S3:S4"/>
    <mergeCell ref="M3:M4"/>
    <mergeCell ref="N3:N4"/>
    <mergeCell ref="I43:I45"/>
    <mergeCell ref="N46:N48"/>
    <mergeCell ref="I49:I51"/>
    <mergeCell ref="N98:N100"/>
    <mergeCell ref="A147:A149"/>
    <mergeCell ref="B147:B149"/>
    <mergeCell ref="I147:I149"/>
    <mergeCell ref="N147:N149"/>
    <mergeCell ref="A156:A158"/>
    <mergeCell ref="B156:B158"/>
    <mergeCell ref="I156:I158"/>
    <mergeCell ref="N156:N158"/>
    <mergeCell ref="A165:A167"/>
    <mergeCell ref="B165:B167"/>
    <mergeCell ref="I165:I167"/>
    <mergeCell ref="N165:N167"/>
    <mergeCell ref="A150:A152"/>
    <mergeCell ref="B150:B152"/>
    <mergeCell ref="I150:I152"/>
    <mergeCell ref="N150:N152"/>
    <mergeCell ref="A153:A155"/>
    <mergeCell ref="B153:B155"/>
    <mergeCell ref="I153:I155"/>
    <mergeCell ref="N153:N155"/>
    <mergeCell ref="A159:A161"/>
    <mergeCell ref="B159:B161"/>
    <mergeCell ref="I159:I161"/>
    <mergeCell ref="N159:N161"/>
    <mergeCell ref="A288:A290"/>
    <mergeCell ref="B288:B290"/>
    <mergeCell ref="I288:I290"/>
    <mergeCell ref="N288:N290"/>
    <mergeCell ref="A250:A252"/>
    <mergeCell ref="B250:B252"/>
    <mergeCell ref="I250:I252"/>
    <mergeCell ref="N250:N252"/>
    <mergeCell ref="A295:A297"/>
    <mergeCell ref="I295:I297"/>
    <mergeCell ref="I276:I278"/>
    <mergeCell ref="A262:A264"/>
    <mergeCell ref="B262:B264"/>
    <mergeCell ref="I258:I260"/>
    <mergeCell ref="N258:N260"/>
    <mergeCell ref="I284:I286"/>
    <mergeCell ref="N284:N286"/>
    <mergeCell ref="N276:N278"/>
    <mergeCell ref="I280:I282"/>
    <mergeCell ref="A291:A293"/>
    <mergeCell ref="B291:B293"/>
    <mergeCell ref="I291:I293"/>
    <mergeCell ref="N291:N293"/>
    <mergeCell ref="A266:A268"/>
    <mergeCell ref="A360:A362"/>
    <mergeCell ref="A337:A339"/>
    <mergeCell ref="I337:I339"/>
    <mergeCell ref="A352:B354"/>
    <mergeCell ref="I364:I366"/>
    <mergeCell ref="N367:N369"/>
    <mergeCell ref="B329:B331"/>
    <mergeCell ref="N329:N331"/>
    <mergeCell ref="A364:A366"/>
    <mergeCell ref="I367:I369"/>
    <mergeCell ref="I345:I347"/>
    <mergeCell ref="I349:I351"/>
    <mergeCell ref="I390:I392"/>
    <mergeCell ref="I386:I388"/>
    <mergeCell ref="A374:A376"/>
    <mergeCell ref="B374:B376"/>
    <mergeCell ref="I374:I376"/>
    <mergeCell ref="A382:A384"/>
    <mergeCell ref="B382:B384"/>
    <mergeCell ref="I382:I384"/>
    <mergeCell ref="N370:N372"/>
    <mergeCell ref="A378:A380"/>
    <mergeCell ref="B378:B380"/>
    <mergeCell ref="I378:I380"/>
    <mergeCell ref="N378:N380"/>
    <mergeCell ref="N390:N392"/>
    <mergeCell ref="I370:I372"/>
    <mergeCell ref="A398:A400"/>
    <mergeCell ref="I398:I400"/>
    <mergeCell ref="N398:N400"/>
    <mergeCell ref="A401:B403"/>
    <mergeCell ref="S284:S286"/>
    <mergeCell ref="I254:I256"/>
    <mergeCell ref="N254:N256"/>
    <mergeCell ref="I262:I264"/>
    <mergeCell ref="N262:N264"/>
    <mergeCell ref="S398:S400"/>
    <mergeCell ref="I360:I362"/>
    <mergeCell ref="N345:N347"/>
    <mergeCell ref="N349:N351"/>
    <mergeCell ref="I394:I396"/>
    <mergeCell ref="N374:N376"/>
    <mergeCell ref="A386:A388"/>
    <mergeCell ref="B386:B388"/>
    <mergeCell ref="S276:S278"/>
    <mergeCell ref="N280:N282"/>
    <mergeCell ref="N295:N297"/>
    <mergeCell ref="N337:N339"/>
    <mergeCell ref="R357:S357"/>
    <mergeCell ref="S337:S339"/>
    <mergeCell ref="A390:A392"/>
    <mergeCell ref="A247:A249"/>
    <mergeCell ref="B247:B249"/>
    <mergeCell ref="A244:A246"/>
    <mergeCell ref="B244:B246"/>
    <mergeCell ref="A241:A243"/>
    <mergeCell ref="B241:B243"/>
    <mergeCell ref="N241:N243"/>
    <mergeCell ref="N247:N249"/>
    <mergeCell ref="I241:I243"/>
    <mergeCell ref="N244:N246"/>
    <mergeCell ref="I247:I249"/>
    <mergeCell ref="I244:I246"/>
    <mergeCell ref="N237:N239"/>
    <mergeCell ref="A210:A212"/>
    <mergeCell ref="B210:B212"/>
    <mergeCell ref="N210:N212"/>
    <mergeCell ref="S210:S212"/>
    <mergeCell ref="A213:A215"/>
    <mergeCell ref="B213:B215"/>
    <mergeCell ref="I213:I215"/>
    <mergeCell ref="N213:N215"/>
    <mergeCell ref="S213:S215"/>
    <mergeCell ref="A216:A218"/>
    <mergeCell ref="B216:B218"/>
    <mergeCell ref="I216:I218"/>
    <mergeCell ref="N216:N218"/>
    <mergeCell ref="S216:S218"/>
    <mergeCell ref="S220:S222"/>
    <mergeCell ref="I73:I75"/>
    <mergeCell ref="N144:N146"/>
    <mergeCell ref="N49:N51"/>
    <mergeCell ref="I58:I60"/>
    <mergeCell ref="I61:I63"/>
    <mergeCell ref="N70:N72"/>
    <mergeCell ref="N73:N75"/>
    <mergeCell ref="N64:N66"/>
    <mergeCell ref="N58:N60"/>
    <mergeCell ref="N61:N63"/>
    <mergeCell ref="N95:N97"/>
    <mergeCell ref="I140:I142"/>
    <mergeCell ref="N10:N12"/>
    <mergeCell ref="N13:N15"/>
    <mergeCell ref="N17:N19"/>
    <mergeCell ref="I52:I54"/>
    <mergeCell ref="I55:I57"/>
    <mergeCell ref="N43:N45"/>
    <mergeCell ref="N52:N54"/>
    <mergeCell ref="N55:N57"/>
    <mergeCell ref="I67:I69"/>
    <mergeCell ref="S156:S158"/>
    <mergeCell ref="S159:S161"/>
    <mergeCell ref="B198:B200"/>
    <mergeCell ref="I198:I200"/>
    <mergeCell ref="N198:N200"/>
    <mergeCell ref="S198:S200"/>
    <mergeCell ref="A201:A203"/>
    <mergeCell ref="B201:B203"/>
    <mergeCell ref="I201:I203"/>
    <mergeCell ref="N201:N203"/>
    <mergeCell ref="S201:S203"/>
    <mergeCell ref="I172:I174"/>
    <mergeCell ref="I175:I177"/>
    <mergeCell ref="A198:A200"/>
    <mergeCell ref="A162:A164"/>
    <mergeCell ref="B162:B164"/>
    <mergeCell ref="I162:I164"/>
    <mergeCell ref="N162:N164"/>
    <mergeCell ref="I178:I180"/>
    <mergeCell ref="B168:B170"/>
    <mergeCell ref="I168:I170"/>
    <mergeCell ref="N168:N170"/>
    <mergeCell ref="S191:S193"/>
    <mergeCell ref="I194:I196"/>
    <mergeCell ref="B204:B206"/>
    <mergeCell ref="A204:A206"/>
    <mergeCell ref="S162:S164"/>
    <mergeCell ref="S165:S167"/>
    <mergeCell ref="A168:A170"/>
    <mergeCell ref="I333:I335"/>
    <mergeCell ref="I102:I104"/>
    <mergeCell ref="I105:I107"/>
    <mergeCell ref="I108:I110"/>
    <mergeCell ref="I111:I113"/>
    <mergeCell ref="I114:I116"/>
    <mergeCell ref="I237:I239"/>
    <mergeCell ref="I220:I222"/>
    <mergeCell ref="I131:I133"/>
    <mergeCell ref="I210:I212"/>
    <mergeCell ref="N172:N174"/>
    <mergeCell ref="I233:I235"/>
    <mergeCell ref="N233:N235"/>
    <mergeCell ref="I299:I301"/>
    <mergeCell ref="I182:I184"/>
    <mergeCell ref="I188:I190"/>
    <mergeCell ref="I134:I136"/>
    <mergeCell ref="I137:I139"/>
    <mergeCell ref="I128:I130"/>
    <mergeCell ref="A272:A274"/>
    <mergeCell ref="B272:B274"/>
    <mergeCell ref="N272:N274"/>
    <mergeCell ref="A269:A271"/>
    <mergeCell ref="I266:I274"/>
    <mergeCell ref="N6:N8"/>
    <mergeCell ref="I10:I12"/>
    <mergeCell ref="I13:I15"/>
    <mergeCell ref="I17:I19"/>
    <mergeCell ref="I224:I227"/>
    <mergeCell ref="I229:I231"/>
    <mergeCell ref="I46:I48"/>
    <mergeCell ref="N33:N35"/>
    <mergeCell ref="B188:B190"/>
    <mergeCell ref="B191:B193"/>
    <mergeCell ref="B194:B196"/>
    <mergeCell ref="B182:B184"/>
    <mergeCell ref="B185:B187"/>
    <mergeCell ref="I191:I193"/>
    <mergeCell ref="N191:N193"/>
    <mergeCell ref="A207:A209"/>
    <mergeCell ref="B207:B209"/>
    <mergeCell ref="I207:I209"/>
    <mergeCell ref="N207:N209"/>
  </mergeCells>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0"/>
  <sheetViews>
    <sheetView topLeftCell="A73" workbookViewId="0">
      <selection activeCell="G98" sqref="G98"/>
    </sheetView>
  </sheetViews>
  <sheetFormatPr defaultRowHeight="15"/>
  <cols>
    <col min="2" max="2" width="21.5703125" customWidth="1"/>
    <col min="5" max="5" width="14.7109375" customWidth="1"/>
    <col min="6" max="7" width="11.42578125" bestFit="1" customWidth="1"/>
    <col min="8" max="8" width="11.42578125" customWidth="1"/>
    <col min="9" max="9" width="28.42578125" customWidth="1"/>
    <col min="10" max="10" width="11.42578125" bestFit="1" customWidth="1"/>
    <col min="11" max="11" width="9.5703125" bestFit="1" customWidth="1"/>
    <col min="12" max="13" width="11.42578125" bestFit="1" customWidth="1"/>
    <col min="14" max="14" width="27.7109375" customWidth="1"/>
    <col min="15" max="18" width="11.42578125" bestFit="1" customWidth="1"/>
    <col min="19" max="19" width="12.28515625" customWidth="1"/>
  </cols>
  <sheetData>
    <row r="1" spans="1:19" ht="15.75" thickBot="1"/>
    <row r="2" spans="1:19" ht="16.5" thickBot="1">
      <c r="A2" s="44">
        <v>16</v>
      </c>
      <c r="B2" s="210" t="s">
        <v>68</v>
      </c>
      <c r="C2" s="77"/>
      <c r="D2" s="77">
        <f>D3+D6+D9+D12+D15</f>
        <v>1051</v>
      </c>
      <c r="E2" s="77">
        <f t="shared" ref="E2:Q2" si="0">E3+E6+E9+E12+E15</f>
        <v>1314288</v>
      </c>
      <c r="F2" s="77">
        <f t="shared" si="0"/>
        <v>2208028</v>
      </c>
      <c r="G2" s="77">
        <f t="shared" si="0"/>
        <v>2116061</v>
      </c>
      <c r="H2" s="77">
        <f t="shared" si="0"/>
        <v>5638377</v>
      </c>
      <c r="I2" s="77">
        <v>0</v>
      </c>
      <c r="J2" s="77">
        <f t="shared" si="0"/>
        <v>1112460</v>
      </c>
      <c r="K2" s="77">
        <f t="shared" si="0"/>
        <v>793440</v>
      </c>
      <c r="L2" s="77">
        <f t="shared" si="0"/>
        <v>1206143</v>
      </c>
      <c r="M2" s="77">
        <f t="shared" si="0"/>
        <v>3112043</v>
      </c>
      <c r="N2" s="77">
        <v>0</v>
      </c>
      <c r="O2" s="77">
        <f t="shared" si="0"/>
        <v>2426748</v>
      </c>
      <c r="P2" s="77">
        <f t="shared" si="0"/>
        <v>3001468</v>
      </c>
      <c r="Q2" s="77">
        <f t="shared" si="0"/>
        <v>3322204</v>
      </c>
      <c r="R2" s="77">
        <f>R3+R6+R9+R12+R15</f>
        <v>8750420</v>
      </c>
      <c r="S2" s="77"/>
    </row>
    <row r="3" spans="1:19" ht="16.5" thickBot="1">
      <c r="A3" s="62" t="s">
        <v>48</v>
      </c>
      <c r="B3" s="1171" t="s">
        <v>69</v>
      </c>
      <c r="C3" s="212">
        <v>2020</v>
      </c>
      <c r="D3" s="100">
        <v>9</v>
      </c>
      <c r="E3" s="101">
        <v>146094</v>
      </c>
      <c r="F3" s="158">
        <f>20000+3070</f>
        <v>23070</v>
      </c>
      <c r="G3" s="103">
        <v>285057</v>
      </c>
      <c r="H3" s="128">
        <f>SUM(E3:G3)</f>
        <v>454221</v>
      </c>
      <c r="I3" s="1168" t="s">
        <v>150</v>
      </c>
      <c r="J3" s="100"/>
      <c r="K3" s="101"/>
      <c r="L3" s="158">
        <v>37550</v>
      </c>
      <c r="M3" s="142">
        <f>SUM(J3:L3)</f>
        <v>37550</v>
      </c>
      <c r="N3" s="1385" t="s">
        <v>151</v>
      </c>
      <c r="O3" s="103">
        <f>E3+J3</f>
        <v>146094</v>
      </c>
      <c r="P3" s="100">
        <f t="shared" ref="P3:R17" si="1">F3+K3</f>
        <v>23070</v>
      </c>
      <c r="Q3" s="114">
        <f t="shared" si="1"/>
        <v>322607</v>
      </c>
      <c r="R3" s="135">
        <f t="shared" si="1"/>
        <v>491771</v>
      </c>
      <c r="S3" s="1305" t="s">
        <v>152</v>
      </c>
    </row>
    <row r="4" spans="1:19" ht="16.5" thickBot="1">
      <c r="A4" s="62" t="s">
        <v>48</v>
      </c>
      <c r="B4" s="1172"/>
      <c r="C4" s="213">
        <v>2021</v>
      </c>
      <c r="D4" s="100"/>
      <c r="E4" s="104">
        <v>146094</v>
      </c>
      <c r="F4" s="158">
        <v>0</v>
      </c>
      <c r="G4" s="105">
        <v>0</v>
      </c>
      <c r="H4" s="128">
        <f t="shared" ref="H4:H8" si="2">SUM(E4:G4)</f>
        <v>146094</v>
      </c>
      <c r="I4" s="1169"/>
      <c r="J4" s="100"/>
      <c r="K4" s="104"/>
      <c r="L4" s="158">
        <v>8500</v>
      </c>
      <c r="M4" s="143">
        <f t="shared" ref="M4:M5" si="3">SUM(J4:L4)</f>
        <v>8500</v>
      </c>
      <c r="N4" s="1386"/>
      <c r="O4" s="105">
        <f t="shared" ref="O4:O5" si="4">E4+J4</f>
        <v>146094</v>
      </c>
      <c r="P4" s="100">
        <f t="shared" si="1"/>
        <v>0</v>
      </c>
      <c r="Q4" s="136">
        <f>G4+L4</f>
        <v>8500</v>
      </c>
      <c r="R4" s="152">
        <f t="shared" si="1"/>
        <v>154594</v>
      </c>
      <c r="S4" s="1306"/>
    </row>
    <row r="5" spans="1:19" ht="16.5" thickBot="1">
      <c r="A5" s="62" t="s">
        <v>48</v>
      </c>
      <c r="B5" s="1173"/>
      <c r="C5" s="16">
        <v>2022</v>
      </c>
      <c r="D5" s="106"/>
      <c r="E5" s="107">
        <v>146094</v>
      </c>
      <c r="F5" s="108">
        <v>0</v>
      </c>
      <c r="G5" s="109">
        <v>0</v>
      </c>
      <c r="H5" s="140">
        <f t="shared" si="2"/>
        <v>146094</v>
      </c>
      <c r="I5" s="1170"/>
      <c r="J5" s="106"/>
      <c r="K5" s="107"/>
      <c r="L5" s="108">
        <v>0</v>
      </c>
      <c r="M5" s="144">
        <f t="shared" si="3"/>
        <v>0</v>
      </c>
      <c r="N5" s="1387"/>
      <c r="O5" s="109">
        <f t="shared" si="4"/>
        <v>146094</v>
      </c>
      <c r="P5" s="106">
        <f t="shared" si="1"/>
        <v>0</v>
      </c>
      <c r="Q5" s="116">
        <f t="shared" si="1"/>
        <v>0</v>
      </c>
      <c r="R5" s="153">
        <f t="shared" si="1"/>
        <v>146094</v>
      </c>
      <c r="S5" s="1307"/>
    </row>
    <row r="6" spans="1:19" ht="16.5" thickBot="1">
      <c r="A6" s="62" t="s">
        <v>70</v>
      </c>
      <c r="B6" s="1165" t="s">
        <v>71</v>
      </c>
      <c r="C6" s="212">
        <v>2020</v>
      </c>
      <c r="D6" s="100">
        <v>1042</v>
      </c>
      <c r="E6" s="101">
        <v>1089410</v>
      </c>
      <c r="F6" s="158">
        <f>1439836+118954</f>
        <v>1558790</v>
      </c>
      <c r="G6" s="103">
        <f>1786361</f>
        <v>1786361</v>
      </c>
      <c r="H6" s="128">
        <f t="shared" si="2"/>
        <v>4434561</v>
      </c>
      <c r="I6" s="1168" t="s">
        <v>153</v>
      </c>
      <c r="J6" s="100">
        <v>1112460</v>
      </c>
      <c r="K6" s="101">
        <v>793440</v>
      </c>
      <c r="L6" s="158">
        <v>784585</v>
      </c>
      <c r="M6" s="142">
        <f>SUM(J6:L6)</f>
        <v>2690485</v>
      </c>
      <c r="N6" s="1168" t="s">
        <v>154</v>
      </c>
      <c r="O6" s="103">
        <f>E6+J6</f>
        <v>2201870</v>
      </c>
      <c r="P6" s="100">
        <f t="shared" si="1"/>
        <v>2352230</v>
      </c>
      <c r="Q6" s="114">
        <f t="shared" si="1"/>
        <v>2570946</v>
      </c>
      <c r="R6" s="135">
        <f t="shared" si="1"/>
        <v>7125046</v>
      </c>
      <c r="S6" s="209"/>
    </row>
    <row r="7" spans="1:19" ht="16.5" thickBot="1">
      <c r="A7" s="62" t="s">
        <v>70</v>
      </c>
      <c r="B7" s="1166"/>
      <c r="C7" s="213">
        <v>2021</v>
      </c>
      <c r="D7" s="100"/>
      <c r="E7" s="104">
        <v>1049493</v>
      </c>
      <c r="F7" s="158">
        <f>1339836+118954</f>
        <v>1458790</v>
      </c>
      <c r="G7" s="105">
        <v>1958517</v>
      </c>
      <c r="H7" s="128">
        <f t="shared" si="2"/>
        <v>4466800</v>
      </c>
      <c r="I7" s="1169"/>
      <c r="J7" s="100">
        <v>1112460</v>
      </c>
      <c r="K7" s="104">
        <v>793440</v>
      </c>
      <c r="L7" s="158">
        <v>1247841</v>
      </c>
      <c r="M7" s="143">
        <f t="shared" ref="M7:M8" si="5">SUM(J7:L7)</f>
        <v>3153741</v>
      </c>
      <c r="N7" s="1169"/>
      <c r="O7" s="105">
        <f t="shared" ref="O7:O8" si="6">E7+J7</f>
        <v>2161953</v>
      </c>
      <c r="P7" s="100">
        <f t="shared" si="1"/>
        <v>2252230</v>
      </c>
      <c r="Q7" s="136">
        <f t="shared" si="1"/>
        <v>3206358</v>
      </c>
      <c r="R7" s="152">
        <f t="shared" si="1"/>
        <v>7620541</v>
      </c>
      <c r="S7" s="209"/>
    </row>
    <row r="8" spans="1:19" ht="16.5" thickBot="1">
      <c r="A8" s="62" t="s">
        <v>70</v>
      </c>
      <c r="B8" s="1167"/>
      <c r="C8" s="16">
        <v>2022</v>
      </c>
      <c r="D8" s="106"/>
      <c r="E8" s="107">
        <v>989952</v>
      </c>
      <c r="F8" s="108">
        <f>1339836+118954</f>
        <v>1458790</v>
      </c>
      <c r="G8" s="109">
        <v>1726543</v>
      </c>
      <c r="H8" s="140">
        <f t="shared" si="2"/>
        <v>4175285</v>
      </c>
      <c r="I8" s="1170"/>
      <c r="J8" s="106">
        <v>1112460</v>
      </c>
      <c r="K8" s="107">
        <v>793440</v>
      </c>
      <c r="L8" s="108">
        <v>1462460</v>
      </c>
      <c r="M8" s="144">
        <f t="shared" si="5"/>
        <v>3368360</v>
      </c>
      <c r="N8" s="1170"/>
      <c r="O8" s="109">
        <f t="shared" si="6"/>
        <v>2102412</v>
      </c>
      <c r="P8" s="106">
        <f t="shared" si="1"/>
        <v>2252230</v>
      </c>
      <c r="Q8" s="116">
        <f t="shared" si="1"/>
        <v>3189003</v>
      </c>
      <c r="R8" s="153">
        <f t="shared" si="1"/>
        <v>7543645</v>
      </c>
      <c r="S8" s="209"/>
    </row>
    <row r="9" spans="1:19" ht="16.5" thickBot="1">
      <c r="A9" s="62" t="s">
        <v>72</v>
      </c>
      <c r="B9" s="1165" t="s">
        <v>73</v>
      </c>
      <c r="C9" s="212">
        <v>2020</v>
      </c>
      <c r="D9" s="100"/>
      <c r="E9" s="101"/>
      <c r="F9" s="158"/>
      <c r="G9" s="103"/>
      <c r="H9" s="128"/>
      <c r="I9" s="1385" t="s">
        <v>155</v>
      </c>
      <c r="J9" s="100"/>
      <c r="K9" s="101"/>
      <c r="L9" s="158">
        <v>330035</v>
      </c>
      <c r="M9" s="142">
        <f>SUM(J9:L9)</f>
        <v>330035</v>
      </c>
      <c r="N9" s="1385" t="s">
        <v>156</v>
      </c>
      <c r="O9" s="103">
        <f>E9+J9</f>
        <v>0</v>
      </c>
      <c r="P9" s="100">
        <f t="shared" si="1"/>
        <v>0</v>
      </c>
      <c r="Q9" s="114">
        <f t="shared" si="1"/>
        <v>330035</v>
      </c>
      <c r="R9" s="135">
        <f t="shared" si="1"/>
        <v>330035</v>
      </c>
      <c r="S9" s="1457" t="s">
        <v>157</v>
      </c>
    </row>
    <row r="10" spans="1:19" ht="16.5" thickBot="1">
      <c r="A10" s="62" t="s">
        <v>72</v>
      </c>
      <c r="B10" s="1166"/>
      <c r="C10" s="213">
        <v>2021</v>
      </c>
      <c r="D10" s="100"/>
      <c r="E10" s="104"/>
      <c r="F10" s="158"/>
      <c r="G10" s="105"/>
      <c r="H10" s="128"/>
      <c r="I10" s="1386"/>
      <c r="J10" s="100"/>
      <c r="K10" s="104"/>
      <c r="L10" s="158">
        <v>320573</v>
      </c>
      <c r="M10" s="143">
        <f t="shared" ref="M10:M11" si="7">SUM(J10:L10)</f>
        <v>320573</v>
      </c>
      <c r="N10" s="1386"/>
      <c r="O10" s="105">
        <f t="shared" ref="O10:O11" si="8">E10+J10</f>
        <v>0</v>
      </c>
      <c r="P10" s="100">
        <f t="shared" si="1"/>
        <v>0</v>
      </c>
      <c r="Q10" s="136">
        <f t="shared" si="1"/>
        <v>320573</v>
      </c>
      <c r="R10" s="154">
        <f t="shared" si="1"/>
        <v>320573</v>
      </c>
      <c r="S10" s="1458"/>
    </row>
    <row r="11" spans="1:19" ht="16.5" thickBot="1">
      <c r="A11" s="62" t="s">
        <v>72</v>
      </c>
      <c r="B11" s="1167"/>
      <c r="C11" s="16">
        <v>2022</v>
      </c>
      <c r="D11" s="106"/>
      <c r="E11" s="107"/>
      <c r="F11" s="108"/>
      <c r="G11" s="109"/>
      <c r="H11" s="140"/>
      <c r="I11" s="1387"/>
      <c r="J11" s="106"/>
      <c r="K11" s="107"/>
      <c r="L11" s="108">
        <v>271688</v>
      </c>
      <c r="M11" s="144">
        <f t="shared" si="7"/>
        <v>271688</v>
      </c>
      <c r="N11" s="1387"/>
      <c r="O11" s="109">
        <f t="shared" si="8"/>
        <v>0</v>
      </c>
      <c r="P11" s="106">
        <f t="shared" si="1"/>
        <v>0</v>
      </c>
      <c r="Q11" s="116">
        <f t="shared" si="1"/>
        <v>271688</v>
      </c>
      <c r="R11" s="155">
        <f t="shared" si="1"/>
        <v>271688</v>
      </c>
      <c r="S11" s="1459"/>
    </row>
    <row r="12" spans="1:19" ht="16.5" thickBot="1">
      <c r="A12" s="62" t="s">
        <v>74</v>
      </c>
      <c r="B12" s="1171" t="s">
        <v>75</v>
      </c>
      <c r="C12" s="212">
        <v>2020</v>
      </c>
      <c r="D12" s="100"/>
      <c r="E12" s="101">
        <v>45354</v>
      </c>
      <c r="F12" s="158">
        <v>0</v>
      </c>
      <c r="G12" s="103">
        <v>44643</v>
      </c>
      <c r="H12" s="128">
        <f>SUM(E12:G12)</f>
        <v>89997</v>
      </c>
      <c r="I12" s="1385" t="s">
        <v>158</v>
      </c>
      <c r="J12" s="100">
        <v>0</v>
      </c>
      <c r="K12" s="101">
        <v>0</v>
      </c>
      <c r="L12" s="158">
        <v>53973</v>
      </c>
      <c r="M12" s="142">
        <f>SUM(J12:L12)</f>
        <v>53973</v>
      </c>
      <c r="N12" s="1385" t="s">
        <v>159</v>
      </c>
      <c r="O12" s="103">
        <f>E12+J12</f>
        <v>45354</v>
      </c>
      <c r="P12" s="100">
        <f t="shared" si="1"/>
        <v>0</v>
      </c>
      <c r="Q12" s="114">
        <f t="shared" si="1"/>
        <v>98616</v>
      </c>
      <c r="R12" s="135">
        <f t="shared" si="1"/>
        <v>143970</v>
      </c>
      <c r="S12" s="1457" t="s">
        <v>160</v>
      </c>
    </row>
    <row r="13" spans="1:19" ht="16.5" thickBot="1">
      <c r="A13" s="62" t="s">
        <v>74</v>
      </c>
      <c r="B13" s="1172"/>
      <c r="C13" s="213">
        <v>2021</v>
      </c>
      <c r="D13" s="100"/>
      <c r="E13" s="104">
        <v>45354</v>
      </c>
      <c r="F13" s="158">
        <v>0</v>
      </c>
      <c r="G13" s="105"/>
      <c r="H13" s="128">
        <f t="shared" ref="H13:H14" si="9">SUM(E13:G13)</f>
        <v>45354</v>
      </c>
      <c r="I13" s="1386"/>
      <c r="J13" s="100">
        <v>0</v>
      </c>
      <c r="K13" s="104">
        <v>0</v>
      </c>
      <c r="L13" s="158">
        <v>0</v>
      </c>
      <c r="M13" s="143">
        <f t="shared" ref="M13:M14" si="10">SUM(J13:L13)</f>
        <v>0</v>
      </c>
      <c r="N13" s="1386"/>
      <c r="O13" s="105">
        <f t="shared" ref="O13:O14" si="11">E13+J13</f>
        <v>45354</v>
      </c>
      <c r="P13" s="100">
        <f t="shared" si="1"/>
        <v>0</v>
      </c>
      <c r="Q13" s="136">
        <f t="shared" si="1"/>
        <v>0</v>
      </c>
      <c r="R13" s="154">
        <f t="shared" si="1"/>
        <v>45354</v>
      </c>
      <c r="S13" s="1458"/>
    </row>
    <row r="14" spans="1:19" ht="16.5" thickBot="1">
      <c r="A14" s="62" t="s">
        <v>74</v>
      </c>
      <c r="B14" s="1173"/>
      <c r="C14" s="16">
        <v>2022</v>
      </c>
      <c r="D14" s="106"/>
      <c r="E14" s="107">
        <v>45354</v>
      </c>
      <c r="F14" s="108">
        <v>0</v>
      </c>
      <c r="G14" s="109"/>
      <c r="H14" s="140">
        <f t="shared" si="9"/>
        <v>45354</v>
      </c>
      <c r="I14" s="1387"/>
      <c r="J14" s="106">
        <v>0</v>
      </c>
      <c r="K14" s="107">
        <v>0</v>
      </c>
      <c r="L14" s="108">
        <v>0</v>
      </c>
      <c r="M14" s="144">
        <f t="shared" si="10"/>
        <v>0</v>
      </c>
      <c r="N14" s="1387"/>
      <c r="O14" s="109">
        <f t="shared" si="11"/>
        <v>45354</v>
      </c>
      <c r="P14" s="106">
        <f t="shared" si="1"/>
        <v>0</v>
      </c>
      <c r="Q14" s="116">
        <f t="shared" si="1"/>
        <v>0</v>
      </c>
      <c r="R14" s="155">
        <f t="shared" si="1"/>
        <v>45354</v>
      </c>
      <c r="S14" s="1459"/>
    </row>
    <row r="15" spans="1:19" ht="30.75" customHeight="1" thickBot="1">
      <c r="A15" s="47" t="s">
        <v>76</v>
      </c>
      <c r="B15" s="1165" t="s">
        <v>77</v>
      </c>
      <c r="C15" s="212">
        <v>2020</v>
      </c>
      <c r="D15" s="100"/>
      <c r="E15" s="101">
        <v>33430</v>
      </c>
      <c r="F15" s="158">
        <f>366308+259860</f>
        <v>626168</v>
      </c>
      <c r="G15" s="103">
        <v>0</v>
      </c>
      <c r="H15" s="128">
        <f>SUM(E15:G15)</f>
        <v>659598</v>
      </c>
      <c r="I15" s="1466" t="s">
        <v>161</v>
      </c>
      <c r="J15" s="100"/>
      <c r="K15" s="101"/>
      <c r="L15" s="158"/>
      <c r="M15" s="142"/>
      <c r="N15" s="1385" t="s">
        <v>162</v>
      </c>
      <c r="O15" s="103">
        <f>E15+J15</f>
        <v>33430</v>
      </c>
      <c r="P15" s="100">
        <f t="shared" si="1"/>
        <v>626168</v>
      </c>
      <c r="Q15" s="114">
        <f t="shared" si="1"/>
        <v>0</v>
      </c>
      <c r="R15" s="135">
        <f t="shared" si="1"/>
        <v>659598</v>
      </c>
      <c r="S15" s="1305" t="s">
        <v>163</v>
      </c>
    </row>
    <row r="16" spans="1:19" ht="16.5" thickBot="1">
      <c r="A16" s="62" t="s">
        <v>76</v>
      </c>
      <c r="B16" s="1166"/>
      <c r="C16" s="213">
        <v>2021</v>
      </c>
      <c r="D16" s="100"/>
      <c r="E16" s="104">
        <v>31430</v>
      </c>
      <c r="F16" s="158">
        <f>110237+30000</f>
        <v>140237</v>
      </c>
      <c r="G16" s="105">
        <v>0</v>
      </c>
      <c r="H16" s="128">
        <f t="shared" ref="H16:H17" si="12">SUM(E16:G16)</f>
        <v>171667</v>
      </c>
      <c r="I16" s="1467"/>
      <c r="J16" s="100"/>
      <c r="K16" s="104"/>
      <c r="L16" s="158"/>
      <c r="M16" s="143"/>
      <c r="N16" s="1386"/>
      <c r="O16" s="105">
        <f t="shared" ref="O16:O17" si="13">E16+J16</f>
        <v>31430</v>
      </c>
      <c r="P16" s="100">
        <f t="shared" si="1"/>
        <v>140237</v>
      </c>
      <c r="Q16" s="136">
        <f t="shared" si="1"/>
        <v>0</v>
      </c>
      <c r="R16" s="154">
        <f t="shared" si="1"/>
        <v>171667</v>
      </c>
      <c r="S16" s="1306"/>
    </row>
    <row r="17" spans="1:19" ht="16.5" thickBot="1">
      <c r="A17" s="62" t="s">
        <v>76</v>
      </c>
      <c r="B17" s="1167"/>
      <c r="C17" s="16">
        <v>2022</v>
      </c>
      <c r="D17" s="106"/>
      <c r="E17" s="107">
        <v>0</v>
      </c>
      <c r="F17" s="108">
        <f>110237+30000</f>
        <v>140237</v>
      </c>
      <c r="G17" s="109">
        <v>0</v>
      </c>
      <c r="H17" s="140">
        <f t="shared" si="12"/>
        <v>140237</v>
      </c>
      <c r="I17" s="1468"/>
      <c r="J17" s="106"/>
      <c r="K17" s="107"/>
      <c r="L17" s="108"/>
      <c r="M17" s="144"/>
      <c r="N17" s="1387"/>
      <c r="O17" s="109">
        <f t="shared" si="13"/>
        <v>0</v>
      </c>
      <c r="P17" s="106">
        <f t="shared" si="1"/>
        <v>140237</v>
      </c>
      <c r="Q17" s="116">
        <f t="shared" si="1"/>
        <v>0</v>
      </c>
      <c r="R17" s="155">
        <f t="shared" si="1"/>
        <v>140237</v>
      </c>
      <c r="S17" s="1307"/>
    </row>
    <row r="18" spans="1:19" ht="15.75" thickBot="1"/>
    <row r="19" spans="1:19" ht="29.25" customHeight="1" thickBot="1">
      <c r="A19" s="44">
        <v>18</v>
      </c>
      <c r="B19" s="592" t="s">
        <v>78</v>
      </c>
      <c r="C19" s="46"/>
      <c r="D19" s="181"/>
      <c r="E19" s="174"/>
      <c r="F19" s="182"/>
      <c r="G19" s="173"/>
      <c r="H19" s="61"/>
      <c r="I19" s="197"/>
      <c r="J19" s="182"/>
      <c r="K19" s="173"/>
      <c r="L19" s="181"/>
      <c r="M19" s="126"/>
      <c r="N19" s="182"/>
      <c r="O19" s="173"/>
      <c r="P19" s="181"/>
      <c r="Q19" s="174"/>
      <c r="R19" s="63"/>
      <c r="S19" s="196"/>
    </row>
    <row r="20" spans="1:19" ht="65.25" customHeight="1">
      <c r="A20" s="64"/>
      <c r="B20" s="591" t="s">
        <v>79</v>
      </c>
      <c r="C20" s="212">
        <v>2020</v>
      </c>
      <c r="D20" s="99">
        <v>4</v>
      </c>
      <c r="E20" s="101">
        <v>200000</v>
      </c>
      <c r="F20" s="158">
        <f>3000+20730</f>
        <v>23730</v>
      </c>
      <c r="G20" s="103">
        <v>26629</v>
      </c>
      <c r="H20" s="128">
        <f>SUM(E20:G20)</f>
        <v>250359</v>
      </c>
      <c r="I20" s="1385" t="s">
        <v>247</v>
      </c>
      <c r="J20" s="47">
        <v>960</v>
      </c>
      <c r="K20" s="47">
        <v>0</v>
      </c>
      <c r="L20" s="99">
        <f>22260</f>
        <v>22260</v>
      </c>
      <c r="M20" s="156">
        <f>SUM(J20:L20)</f>
        <v>23220</v>
      </c>
      <c r="N20" s="1341" t="s">
        <v>248</v>
      </c>
      <c r="O20" s="103">
        <f>E20+J20</f>
        <v>200960</v>
      </c>
      <c r="P20" s="100">
        <f t="shared" ref="P20:R22" si="14">F20+K20</f>
        <v>23730</v>
      </c>
      <c r="Q20" s="114">
        <f t="shared" si="14"/>
        <v>48889</v>
      </c>
      <c r="R20" s="135">
        <f>H20+M20</f>
        <v>273579</v>
      </c>
      <c r="S20" s="1305" t="s">
        <v>164</v>
      </c>
    </row>
    <row r="21" spans="1:19" ht="31.5" customHeight="1">
      <c r="A21" s="64"/>
      <c r="B21" s="47"/>
      <c r="C21" s="213">
        <v>2021</v>
      </c>
      <c r="D21" s="99"/>
      <c r="E21" s="104">
        <v>200000</v>
      </c>
      <c r="F21" s="158">
        <v>0</v>
      </c>
      <c r="G21" s="105">
        <v>0</v>
      </c>
      <c r="H21" s="128">
        <f t="shared" ref="H21:H22" si="15">SUM(E21:G21)</f>
        <v>200000</v>
      </c>
      <c r="I21" s="1386"/>
      <c r="J21" s="47">
        <v>0</v>
      </c>
      <c r="K21" s="47">
        <v>0</v>
      </c>
      <c r="L21" s="99">
        <v>60670</v>
      </c>
      <c r="M21" s="156">
        <f t="shared" ref="M21:M22" si="16">SUM(J21:L21)</f>
        <v>60670</v>
      </c>
      <c r="N21" s="1342"/>
      <c r="O21" s="105">
        <f t="shared" ref="O21:O22" si="17">E21+J21</f>
        <v>200000</v>
      </c>
      <c r="P21" s="100">
        <f t="shared" si="14"/>
        <v>0</v>
      </c>
      <c r="Q21" s="136">
        <f t="shared" si="14"/>
        <v>60670</v>
      </c>
      <c r="R21" s="154">
        <f t="shared" si="14"/>
        <v>260670</v>
      </c>
      <c r="S21" s="1306"/>
    </row>
    <row r="22" spans="1:19" ht="37.5" customHeight="1" thickBot="1">
      <c r="A22" s="65"/>
      <c r="B22" s="66"/>
      <c r="C22" s="16">
        <v>2022</v>
      </c>
      <c r="D22" s="99"/>
      <c r="E22" s="107">
        <v>200000</v>
      </c>
      <c r="F22" s="108">
        <v>0</v>
      </c>
      <c r="G22" s="109">
        <v>0</v>
      </c>
      <c r="H22" s="140">
        <f t="shared" si="15"/>
        <v>200000</v>
      </c>
      <c r="I22" s="1387"/>
      <c r="J22" s="47">
        <v>0</v>
      </c>
      <c r="K22" s="47">
        <v>0</v>
      </c>
      <c r="L22" s="99">
        <v>33250</v>
      </c>
      <c r="M22" s="156">
        <f t="shared" si="16"/>
        <v>33250</v>
      </c>
      <c r="N22" s="1343"/>
      <c r="O22" s="109">
        <f t="shared" si="17"/>
        <v>200000</v>
      </c>
      <c r="P22" s="106">
        <f t="shared" si="14"/>
        <v>0</v>
      </c>
      <c r="Q22" s="116">
        <f t="shared" si="14"/>
        <v>33250</v>
      </c>
      <c r="R22" s="155">
        <f t="shared" si="14"/>
        <v>233250</v>
      </c>
      <c r="S22" s="1307"/>
    </row>
    <row r="23" spans="1:19" ht="15.75" thickBot="1"/>
    <row r="24" spans="1:19" ht="16.5" thickBot="1">
      <c r="A24" s="44">
        <v>24</v>
      </c>
      <c r="B24" s="46" t="s">
        <v>91</v>
      </c>
      <c r="C24" s="46"/>
      <c r="D24" s="468"/>
      <c r="E24" s="469"/>
      <c r="F24" s="470"/>
      <c r="G24" s="470"/>
      <c r="H24" s="471"/>
      <c r="I24" s="472"/>
      <c r="J24" s="470"/>
      <c r="K24" s="470"/>
      <c r="L24" s="468"/>
      <c r="M24" s="473"/>
      <c r="N24" s="474"/>
      <c r="O24" s="173"/>
      <c r="P24" s="181"/>
      <c r="Q24" s="174"/>
      <c r="R24" s="125"/>
      <c r="S24" s="196"/>
    </row>
    <row r="25" spans="1:19" ht="15.75">
      <c r="A25" s="64"/>
      <c r="B25" s="47" t="s">
        <v>92</v>
      </c>
      <c r="C25" s="212">
        <v>2020</v>
      </c>
      <c r="D25" s="99"/>
      <c r="E25" s="67"/>
      <c r="F25" s="183"/>
      <c r="G25" s="176">
        <v>-3364</v>
      </c>
      <c r="H25" s="64">
        <f>G25</f>
        <v>-3364</v>
      </c>
      <c r="I25" s="1385" t="s">
        <v>182</v>
      </c>
      <c r="J25" s="64"/>
      <c r="K25" s="67"/>
      <c r="L25" s="183">
        <f>1836+16200</f>
        <v>18036</v>
      </c>
      <c r="M25" s="64">
        <f>L25</f>
        <v>18036</v>
      </c>
      <c r="N25" s="1341" t="s">
        <v>251</v>
      </c>
      <c r="O25" s="103"/>
      <c r="P25" s="100"/>
      <c r="Q25" s="114">
        <f>G25+L25</f>
        <v>14672</v>
      </c>
      <c r="R25" s="135">
        <f>H25+M25</f>
        <v>14672</v>
      </c>
      <c r="S25" s="200"/>
    </row>
    <row r="26" spans="1:19" ht="15.75">
      <c r="A26" s="64"/>
      <c r="B26" s="47"/>
      <c r="C26" s="213">
        <v>2021</v>
      </c>
      <c r="D26" s="99"/>
      <c r="E26" s="68"/>
      <c r="F26" s="184"/>
      <c r="G26" s="99">
        <v>-11647</v>
      </c>
      <c r="H26" s="64">
        <f t="shared" ref="H26:H27" si="18">G26</f>
        <v>-11647</v>
      </c>
      <c r="I26" s="1386"/>
      <c r="J26" s="64"/>
      <c r="K26" s="68"/>
      <c r="L26" s="184">
        <f>853+8003</f>
        <v>8856</v>
      </c>
      <c r="M26" s="64">
        <f>L26</f>
        <v>8856</v>
      </c>
      <c r="N26" s="1342"/>
      <c r="O26" s="105"/>
      <c r="P26" s="100"/>
      <c r="Q26" s="136">
        <f>G26+L26</f>
        <v>-2791</v>
      </c>
      <c r="R26" s="154">
        <f t="shared" ref="R26:R27" si="19">H26+M26</f>
        <v>-2791</v>
      </c>
      <c r="S26" s="200"/>
    </row>
    <row r="27" spans="1:19" ht="16.5" thickBot="1">
      <c r="A27" s="65"/>
      <c r="B27" s="66"/>
      <c r="C27" s="16">
        <v>2022</v>
      </c>
      <c r="D27" s="99"/>
      <c r="E27" s="68"/>
      <c r="F27" s="184"/>
      <c r="G27" s="99">
        <v>-12800</v>
      </c>
      <c r="H27" s="64">
        <f t="shared" si="18"/>
        <v>-12800</v>
      </c>
      <c r="I27" s="1387"/>
      <c r="J27" s="64"/>
      <c r="K27" s="68"/>
      <c r="L27" s="184"/>
      <c r="M27" s="64"/>
      <c r="N27" s="1343"/>
      <c r="O27" s="109"/>
      <c r="P27" s="106"/>
      <c r="Q27" s="116">
        <f>G27</f>
        <v>-12800</v>
      </c>
      <c r="R27" s="155">
        <f t="shared" si="19"/>
        <v>-12800</v>
      </c>
      <c r="S27" s="201"/>
    </row>
    <row r="28" spans="1:19" ht="15.75" thickBot="1"/>
    <row r="29" spans="1:19" ht="16.5" thickBot="1">
      <c r="A29" s="44">
        <v>31</v>
      </c>
      <c r="B29" s="46" t="s">
        <v>204</v>
      </c>
      <c r="C29" s="46"/>
      <c r="D29" s="181"/>
      <c r="E29" s="174"/>
      <c r="F29" s="173"/>
      <c r="G29" s="173"/>
      <c r="H29" s="61"/>
      <c r="I29" s="197"/>
      <c r="J29" s="173"/>
      <c r="K29" s="173"/>
      <c r="L29" s="181"/>
      <c r="M29" s="126"/>
      <c r="N29" s="196"/>
      <c r="O29" s="173"/>
      <c r="P29" s="181"/>
      <c r="Q29" s="174"/>
      <c r="R29" s="125"/>
      <c r="S29" s="196"/>
    </row>
    <row r="30" spans="1:19" ht="15.75">
      <c r="A30" s="64"/>
      <c r="B30" s="47" t="s">
        <v>205</v>
      </c>
      <c r="C30" s="212">
        <v>2020</v>
      </c>
      <c r="D30" s="99"/>
      <c r="E30" s="64"/>
      <c r="F30" s="67"/>
      <c r="G30" s="183">
        <v>3000</v>
      </c>
      <c r="H30" s="64">
        <f>G30</f>
        <v>3000</v>
      </c>
      <c r="I30" s="1385" t="s">
        <v>229</v>
      </c>
      <c r="J30" s="64"/>
      <c r="K30" s="67"/>
      <c r="L30" s="183">
        <v>0</v>
      </c>
      <c r="M30" s="64">
        <f>L30</f>
        <v>0</v>
      </c>
      <c r="N30" s="1341" t="s">
        <v>230</v>
      </c>
      <c r="O30" s="103"/>
      <c r="P30" s="100">
        <f>F30+K30</f>
        <v>0</v>
      </c>
      <c r="Q30" s="114">
        <f>G30+L30</f>
        <v>3000</v>
      </c>
      <c r="R30" s="135">
        <f>Q30</f>
        <v>3000</v>
      </c>
      <c r="S30" s="200"/>
    </row>
    <row r="31" spans="1:19" ht="15.75">
      <c r="A31" s="64"/>
      <c r="B31" s="47"/>
      <c r="C31" s="213">
        <v>2021</v>
      </c>
      <c r="D31" s="99"/>
      <c r="E31" s="64"/>
      <c r="F31" s="68"/>
      <c r="G31" s="183">
        <v>3000</v>
      </c>
      <c r="H31" s="64">
        <f t="shared" ref="H31" si="20">G31</f>
        <v>3000</v>
      </c>
      <c r="I31" s="1386"/>
      <c r="J31" s="64"/>
      <c r="K31" s="68"/>
      <c r="L31" s="184">
        <v>0</v>
      </c>
      <c r="M31" s="64">
        <f>L31</f>
        <v>0</v>
      </c>
      <c r="N31" s="1342"/>
      <c r="O31" s="105"/>
      <c r="P31" s="100">
        <f t="shared" ref="P31:P32" si="21">F31+K31</f>
        <v>0</v>
      </c>
      <c r="Q31" s="136">
        <f>G31+L31</f>
        <v>3000</v>
      </c>
      <c r="R31" s="154">
        <f t="shared" ref="R31" si="22">Q31</f>
        <v>3000</v>
      </c>
      <c r="S31" s="200"/>
    </row>
    <row r="32" spans="1:19" ht="16.5" thickBot="1">
      <c r="A32" s="65"/>
      <c r="B32" s="66"/>
      <c r="C32" s="16">
        <v>2022</v>
      </c>
      <c r="D32" s="99"/>
      <c r="E32" s="64"/>
      <c r="F32" s="282">
        <v>500</v>
      </c>
      <c r="G32" s="183">
        <v>3000</v>
      </c>
      <c r="H32" s="64">
        <f>G32+F32</f>
        <v>3500</v>
      </c>
      <c r="I32" s="1387"/>
      <c r="J32" s="64"/>
      <c r="K32" s="68"/>
      <c r="L32" s="184"/>
      <c r="M32" s="64"/>
      <c r="N32" s="1343"/>
      <c r="O32" s="109"/>
      <c r="P32" s="106">
        <f t="shared" si="21"/>
        <v>500</v>
      </c>
      <c r="Q32" s="116">
        <f>G32</f>
        <v>3000</v>
      </c>
      <c r="R32" s="155">
        <f>Q32+F32</f>
        <v>3500</v>
      </c>
      <c r="S32" s="201"/>
    </row>
    <row r="33" spans="1:23" ht="15.75" thickBot="1"/>
    <row r="34" spans="1:23" ht="16.5" thickBot="1">
      <c r="A34" s="44">
        <v>57</v>
      </c>
      <c r="B34" s="46" t="s">
        <v>103</v>
      </c>
      <c r="C34" s="46"/>
      <c r="D34" s="181"/>
      <c r="E34" s="174"/>
      <c r="F34" s="173"/>
      <c r="G34" s="173"/>
      <c r="H34" s="61"/>
      <c r="I34" s="197"/>
      <c r="J34" s="173"/>
      <c r="K34" s="173"/>
      <c r="L34" s="181"/>
      <c r="M34" s="126"/>
      <c r="N34" s="196"/>
      <c r="O34" s="173"/>
      <c r="P34" s="181"/>
      <c r="Q34" s="174"/>
      <c r="R34" s="125"/>
      <c r="S34" s="196"/>
    </row>
    <row r="35" spans="1:23" ht="72" customHeight="1">
      <c r="A35" s="64"/>
      <c r="B35" s="47" t="s">
        <v>104</v>
      </c>
      <c r="C35" s="212">
        <v>2020</v>
      </c>
      <c r="D35" s="99"/>
      <c r="E35" s="64"/>
      <c r="F35" s="47">
        <v>40000</v>
      </c>
      <c r="G35" s="99"/>
      <c r="H35" s="98">
        <f>SUM(E35:G35)</f>
        <v>40000</v>
      </c>
      <c r="I35" s="1385" t="s">
        <v>257</v>
      </c>
      <c r="J35" s="64"/>
      <c r="K35" s="47">
        <v>13000</v>
      </c>
      <c r="L35" s="99">
        <v>2000</v>
      </c>
      <c r="M35" s="98">
        <f>SUM(J35:L35)</f>
        <v>15000</v>
      </c>
      <c r="N35" s="1385" t="s">
        <v>183</v>
      </c>
      <c r="O35" s="103">
        <f>E35+J35</f>
        <v>0</v>
      </c>
      <c r="P35" s="100">
        <f>F35+K35</f>
        <v>53000</v>
      </c>
      <c r="Q35" s="114">
        <f t="shared" ref="P35:R37" si="23">G35+L35</f>
        <v>2000</v>
      </c>
      <c r="R35" s="135">
        <f t="shared" si="23"/>
        <v>55000</v>
      </c>
      <c r="S35" s="1341" t="s">
        <v>184</v>
      </c>
    </row>
    <row r="36" spans="1:23" ht="15.75">
      <c r="A36" s="64"/>
      <c r="B36" s="47"/>
      <c r="C36" s="213">
        <v>2021</v>
      </c>
      <c r="D36" s="99"/>
      <c r="E36" s="64"/>
      <c r="F36" s="47">
        <v>40000</v>
      </c>
      <c r="G36" s="99"/>
      <c r="H36" s="98">
        <f t="shared" ref="H36:H37" si="24">SUM(E36:G36)</f>
        <v>40000</v>
      </c>
      <c r="I36" s="1386"/>
      <c r="J36" s="64"/>
      <c r="K36" s="47"/>
      <c r="L36" s="99"/>
      <c r="M36" s="98"/>
      <c r="N36" s="1386"/>
      <c r="O36" s="105">
        <f t="shared" ref="O36:O37" si="25">E36+J36</f>
        <v>0</v>
      </c>
      <c r="P36" s="100">
        <f t="shared" si="23"/>
        <v>40000</v>
      </c>
      <c r="Q36" s="136">
        <f t="shared" si="23"/>
        <v>0</v>
      </c>
      <c r="R36" s="154">
        <f t="shared" si="23"/>
        <v>40000</v>
      </c>
      <c r="S36" s="1342"/>
    </row>
    <row r="37" spans="1:23" ht="16.5" thickBot="1">
      <c r="A37" s="65"/>
      <c r="B37" s="66"/>
      <c r="C37" s="16">
        <v>2022</v>
      </c>
      <c r="D37" s="99"/>
      <c r="E37" s="65"/>
      <c r="F37" s="47">
        <v>40000</v>
      </c>
      <c r="G37" s="99"/>
      <c r="H37" s="98">
        <f t="shared" si="24"/>
        <v>40000</v>
      </c>
      <c r="I37" s="1387"/>
      <c r="J37" s="65"/>
      <c r="K37" s="66"/>
      <c r="L37" s="99"/>
      <c r="M37" s="98"/>
      <c r="N37" s="1387"/>
      <c r="O37" s="109">
        <f t="shared" si="25"/>
        <v>0</v>
      </c>
      <c r="P37" s="106">
        <f t="shared" si="23"/>
        <v>40000</v>
      </c>
      <c r="Q37" s="116">
        <f t="shared" si="23"/>
        <v>0</v>
      </c>
      <c r="R37" s="155">
        <f t="shared" si="23"/>
        <v>40000</v>
      </c>
      <c r="S37" s="1343"/>
    </row>
    <row r="38" spans="1:23" ht="15.75" thickBot="1"/>
    <row r="39" spans="1:23" ht="16.5" thickBot="1">
      <c r="A39" s="44">
        <v>67</v>
      </c>
      <c r="B39" s="46" t="s">
        <v>107</v>
      </c>
      <c r="C39" s="46"/>
      <c r="D39" s="181"/>
      <c r="E39" s="174"/>
      <c r="F39" s="173"/>
      <c r="G39" s="173"/>
      <c r="H39" s="61"/>
      <c r="I39" s="197"/>
      <c r="J39" s="173"/>
      <c r="K39" s="173"/>
      <c r="L39" s="181"/>
      <c r="M39" s="126"/>
      <c r="N39" s="196"/>
      <c r="O39" s="173"/>
      <c r="P39" s="181"/>
      <c r="Q39" s="174"/>
      <c r="R39" s="125"/>
      <c r="S39" s="196"/>
    </row>
    <row r="40" spans="1:23" ht="69" customHeight="1">
      <c r="A40" s="64"/>
      <c r="B40" s="47" t="s">
        <v>49</v>
      </c>
      <c r="C40" s="212">
        <v>2020</v>
      </c>
      <c r="D40" s="99">
        <v>4</v>
      </c>
      <c r="E40" s="64">
        <v>2000</v>
      </c>
      <c r="F40" s="47"/>
      <c r="G40" s="99"/>
      <c r="H40" s="98">
        <f>SUM(E40:G40)</f>
        <v>2000</v>
      </c>
      <c r="I40" s="1171" t="s">
        <v>185</v>
      </c>
      <c r="J40" s="64">
        <v>6000</v>
      </c>
      <c r="K40" s="47">
        <v>3000</v>
      </c>
      <c r="L40" s="99">
        <v>3000</v>
      </c>
      <c r="M40" s="98">
        <f>SUM(J40:L40)</f>
        <v>12000</v>
      </c>
      <c r="N40" s="1486" t="s">
        <v>186</v>
      </c>
      <c r="O40" s="103">
        <f>E40+J40</f>
        <v>8000</v>
      </c>
      <c r="P40" s="100">
        <f t="shared" ref="P40:R42" si="26">F40+K40</f>
        <v>3000</v>
      </c>
      <c r="Q40" s="114">
        <f t="shared" si="26"/>
        <v>3000</v>
      </c>
      <c r="R40" s="135">
        <f t="shared" si="26"/>
        <v>14000</v>
      </c>
      <c r="S40" s="1489" t="s">
        <v>187</v>
      </c>
    </row>
    <row r="41" spans="1:23" ht="21.75" customHeight="1">
      <c r="A41" s="64"/>
      <c r="B41" s="47"/>
      <c r="C41" s="213">
        <v>2021</v>
      </c>
      <c r="D41" s="99"/>
      <c r="E41" s="64">
        <v>2000</v>
      </c>
      <c r="F41" s="47">
        <v>2000</v>
      </c>
      <c r="G41" s="99"/>
      <c r="H41" s="98">
        <f t="shared" ref="H41:H42" si="27">SUM(E41:G41)</f>
        <v>4000</v>
      </c>
      <c r="I41" s="1172"/>
      <c r="J41" s="64">
        <v>6000</v>
      </c>
      <c r="K41" s="47">
        <v>3000</v>
      </c>
      <c r="L41" s="99">
        <v>0</v>
      </c>
      <c r="M41" s="98">
        <f t="shared" ref="M41:M42" si="28">SUM(J41:L41)</f>
        <v>9000</v>
      </c>
      <c r="N41" s="1487"/>
      <c r="O41" s="105">
        <f t="shared" ref="O41:O42" si="29">E41+J41</f>
        <v>8000</v>
      </c>
      <c r="P41" s="100">
        <f t="shared" si="26"/>
        <v>5000</v>
      </c>
      <c r="Q41" s="136">
        <f t="shared" si="26"/>
        <v>0</v>
      </c>
      <c r="R41" s="154">
        <f t="shared" si="26"/>
        <v>13000</v>
      </c>
      <c r="S41" s="1490"/>
    </row>
    <row r="42" spans="1:23" ht="25.5" customHeight="1" thickBot="1">
      <c r="A42" s="65"/>
      <c r="B42" s="66"/>
      <c r="C42" s="16">
        <v>2022</v>
      </c>
      <c r="D42" s="99"/>
      <c r="E42" s="65">
        <v>2000</v>
      </c>
      <c r="F42" s="66"/>
      <c r="G42" s="99"/>
      <c r="H42" s="98">
        <f t="shared" si="27"/>
        <v>2000</v>
      </c>
      <c r="I42" s="1173"/>
      <c r="J42" s="64">
        <v>6000</v>
      </c>
      <c r="K42" s="47">
        <v>3000</v>
      </c>
      <c r="L42" s="99">
        <v>0</v>
      </c>
      <c r="M42" s="98">
        <f t="shared" si="28"/>
        <v>9000</v>
      </c>
      <c r="N42" s="1488"/>
      <c r="O42" s="109">
        <f t="shared" si="29"/>
        <v>8000</v>
      </c>
      <c r="P42" s="106">
        <f t="shared" si="26"/>
        <v>3000</v>
      </c>
      <c r="Q42" s="116">
        <f t="shared" si="26"/>
        <v>0</v>
      </c>
      <c r="R42" s="155">
        <f>H42+M42</f>
        <v>11000</v>
      </c>
      <c r="S42" s="1491"/>
    </row>
    <row r="43" spans="1:23" ht="15.75" thickBot="1"/>
    <row r="44" spans="1:23" ht="42" customHeight="1" thickBot="1">
      <c r="A44" s="75">
        <v>87</v>
      </c>
      <c r="B44" s="76" t="s">
        <v>114</v>
      </c>
      <c r="C44" s="18"/>
      <c r="D44" s="272">
        <f>D45+D46+D47+D51+D52+D53+D63+D67+D71</f>
        <v>53</v>
      </c>
      <c r="E44" s="272">
        <f t="shared" ref="E44:R44" si="30">E45+E46+E47+E51+E52+E53+E63+E67+E71</f>
        <v>120098</v>
      </c>
      <c r="F44" s="272">
        <f t="shared" si="30"/>
        <v>447296</v>
      </c>
      <c r="G44" s="272">
        <f>G45+G46+G47+G51+G52+G53+G63+G67+G71</f>
        <v>77420</v>
      </c>
      <c r="H44" s="272">
        <f t="shared" si="30"/>
        <v>644814</v>
      </c>
      <c r="I44" s="272"/>
      <c r="J44" s="272">
        <f t="shared" si="30"/>
        <v>68480</v>
      </c>
      <c r="K44" s="272">
        <f t="shared" si="30"/>
        <v>79670</v>
      </c>
      <c r="L44" s="272">
        <f t="shared" si="30"/>
        <v>1445774</v>
      </c>
      <c r="M44" s="272">
        <f t="shared" si="30"/>
        <v>1593924</v>
      </c>
      <c r="N44" s="272"/>
      <c r="O44" s="272">
        <f t="shared" si="30"/>
        <v>188578</v>
      </c>
      <c r="P44" s="272">
        <f t="shared" si="30"/>
        <v>526966</v>
      </c>
      <c r="Q44" s="272">
        <f t="shared" si="30"/>
        <v>1523194</v>
      </c>
      <c r="R44" s="272">
        <f t="shared" si="30"/>
        <v>2238738</v>
      </c>
      <c r="S44" s="272"/>
    </row>
    <row r="45" spans="1:23" ht="42" customHeight="1" thickBot="1">
      <c r="A45" s="78"/>
      <c r="B45" s="220" t="s">
        <v>165</v>
      </c>
      <c r="C45" s="225" t="s">
        <v>115</v>
      </c>
      <c r="D45" s="227"/>
      <c r="E45" s="227"/>
      <c r="F45" s="226">
        <v>30000</v>
      </c>
      <c r="G45" s="228"/>
      <c r="H45" s="234">
        <f>SUM(E45:G45)</f>
        <v>30000</v>
      </c>
      <c r="I45" s="244" t="s">
        <v>188</v>
      </c>
      <c r="J45" s="227"/>
      <c r="K45" s="226"/>
      <c r="L45" s="228">
        <v>243086</v>
      </c>
      <c r="M45" s="229">
        <f>SUM(J45:L45)</f>
        <v>243086</v>
      </c>
      <c r="N45" s="244" t="s">
        <v>189</v>
      </c>
      <c r="O45" s="227">
        <f>E45+J45</f>
        <v>0</v>
      </c>
      <c r="P45" s="227">
        <f t="shared" ref="P45:R46" si="31">F45+K45</f>
        <v>30000</v>
      </c>
      <c r="Q45" s="227">
        <f t="shared" si="31"/>
        <v>243086</v>
      </c>
      <c r="R45" s="227">
        <f t="shared" si="31"/>
        <v>273086</v>
      </c>
      <c r="S45" s="236"/>
      <c r="T45" s="332"/>
      <c r="U45" s="332"/>
      <c r="V45" s="332"/>
      <c r="W45" s="332"/>
    </row>
    <row r="46" spans="1:23" ht="42" customHeight="1" thickBot="1">
      <c r="A46" s="78"/>
      <c r="B46" s="220" t="s">
        <v>116</v>
      </c>
      <c r="C46" s="79" t="s">
        <v>115</v>
      </c>
      <c r="D46" s="227"/>
      <c r="E46" s="227"/>
      <c r="F46" s="226">
        <v>-27000</v>
      </c>
      <c r="G46" s="228"/>
      <c r="H46" s="234">
        <f>SUM(E46:G46)</f>
        <v>-27000</v>
      </c>
      <c r="I46" s="245" t="s">
        <v>190</v>
      </c>
      <c r="J46" s="227"/>
      <c r="K46" s="226"/>
      <c r="L46" s="228">
        <v>2000</v>
      </c>
      <c r="M46" s="229">
        <f>SUM(J46:L46)</f>
        <v>2000</v>
      </c>
      <c r="N46" s="245" t="s">
        <v>191</v>
      </c>
      <c r="O46" s="227">
        <f>E46+J46</f>
        <v>0</v>
      </c>
      <c r="P46" s="227">
        <f>F46+K46</f>
        <v>-27000</v>
      </c>
      <c r="Q46" s="227">
        <f t="shared" si="31"/>
        <v>2000</v>
      </c>
      <c r="R46" s="227">
        <f t="shared" si="31"/>
        <v>-25000</v>
      </c>
      <c r="S46" s="87"/>
      <c r="U46" s="332"/>
    </row>
    <row r="47" spans="1:23" ht="42" customHeight="1" thickBot="1">
      <c r="A47" s="252"/>
      <c r="B47" s="221" t="s">
        <v>166</v>
      </c>
      <c r="C47" s="86" t="s">
        <v>115</v>
      </c>
      <c r="D47" s="250">
        <f>D48+D49+D50</f>
        <v>7</v>
      </c>
      <c r="E47" s="250">
        <f t="shared" ref="E47:R47" si="32">E48+E49+E50</f>
        <v>0</v>
      </c>
      <c r="F47" s="250">
        <f t="shared" si="32"/>
        <v>0</v>
      </c>
      <c r="G47" s="250">
        <f>G48+G49+G50</f>
        <v>31594</v>
      </c>
      <c r="H47" s="250">
        <f>H48+H49+H50</f>
        <v>31594</v>
      </c>
      <c r="I47" s="250"/>
      <c r="J47" s="250">
        <f t="shared" si="32"/>
        <v>7500</v>
      </c>
      <c r="K47" s="250">
        <f t="shared" si="32"/>
        <v>0</v>
      </c>
      <c r="L47" s="250">
        <f t="shared" si="32"/>
        <v>0</v>
      </c>
      <c r="M47" s="250">
        <f t="shared" si="32"/>
        <v>7500</v>
      </c>
      <c r="N47" s="250"/>
      <c r="O47" s="250">
        <f t="shared" si="32"/>
        <v>7500</v>
      </c>
      <c r="P47" s="250">
        <f t="shared" si="32"/>
        <v>0</v>
      </c>
      <c r="Q47" s="250">
        <f t="shared" si="32"/>
        <v>31594</v>
      </c>
      <c r="R47" s="250">
        <f t="shared" si="32"/>
        <v>39094</v>
      </c>
      <c r="S47" s="251"/>
    </row>
    <row r="48" spans="1:23" s="219" customFormat="1" ht="42" customHeight="1" thickBot="1">
      <c r="A48" s="216"/>
      <c r="B48" s="217" t="s">
        <v>119</v>
      </c>
      <c r="C48" s="218" t="s">
        <v>115</v>
      </c>
      <c r="D48" s="227">
        <v>7</v>
      </c>
      <c r="E48" s="227"/>
      <c r="F48" s="226"/>
      <c r="G48" s="593">
        <v>3000</v>
      </c>
      <c r="H48" s="499">
        <v>3000</v>
      </c>
      <c r="I48" s="246" t="s">
        <v>255</v>
      </c>
      <c r="J48" s="227">
        <v>7500</v>
      </c>
      <c r="K48" s="226"/>
      <c r="L48" s="228"/>
      <c r="M48" s="229">
        <f>J48</f>
        <v>7500</v>
      </c>
      <c r="N48" s="247" t="s">
        <v>249</v>
      </c>
      <c r="O48" s="227">
        <f>J48+E48</f>
        <v>7500</v>
      </c>
      <c r="P48" s="227">
        <f t="shared" ref="P48:R48" si="33">K48+F48</f>
        <v>0</v>
      </c>
      <c r="Q48" s="227">
        <f t="shared" si="33"/>
        <v>3000</v>
      </c>
      <c r="R48" s="227">
        <f t="shared" si="33"/>
        <v>10500</v>
      </c>
      <c r="S48" s="242"/>
    </row>
    <row r="49" spans="1:19" s="219" customFormat="1" ht="42" customHeight="1" thickBot="1">
      <c r="A49" s="216"/>
      <c r="B49" s="217" t="s">
        <v>167</v>
      </c>
      <c r="C49" s="218" t="s">
        <v>115</v>
      </c>
      <c r="D49" s="227"/>
      <c r="E49" s="227"/>
      <c r="F49" s="226"/>
      <c r="G49" s="593">
        <v>9730</v>
      </c>
      <c r="H49" s="499">
        <f>G49</f>
        <v>9730</v>
      </c>
      <c r="I49" s="248" t="s">
        <v>254</v>
      </c>
      <c r="J49" s="227"/>
      <c r="K49" s="226"/>
      <c r="L49" s="228"/>
      <c r="M49" s="229"/>
      <c r="N49" s="238"/>
      <c r="O49" s="227">
        <f t="shared" ref="O49:R50" si="34">J49+E49</f>
        <v>0</v>
      </c>
      <c r="P49" s="227">
        <f t="shared" ref="P49" si="35">K49</f>
        <v>0</v>
      </c>
      <c r="Q49" s="227">
        <f>G49</f>
        <v>9730</v>
      </c>
      <c r="R49" s="227">
        <f>H49</f>
        <v>9730</v>
      </c>
      <c r="S49" s="238"/>
    </row>
    <row r="50" spans="1:19" s="219" customFormat="1" ht="42" customHeight="1" thickBot="1">
      <c r="A50" s="216"/>
      <c r="B50" s="217" t="s">
        <v>168</v>
      </c>
      <c r="C50" s="218" t="s">
        <v>115</v>
      </c>
      <c r="D50" s="227"/>
      <c r="E50" s="227"/>
      <c r="F50" s="226"/>
      <c r="G50" s="594">
        <v>18864</v>
      </c>
      <c r="H50" s="234">
        <f>G50</f>
        <v>18864</v>
      </c>
      <c r="I50" s="249" t="s">
        <v>192</v>
      </c>
      <c r="J50" s="227"/>
      <c r="K50" s="226"/>
      <c r="L50" s="228"/>
      <c r="M50" s="229"/>
      <c r="N50" s="243"/>
      <c r="O50" s="227">
        <f t="shared" si="34"/>
        <v>0</v>
      </c>
      <c r="P50" s="227">
        <f t="shared" si="34"/>
        <v>0</v>
      </c>
      <c r="Q50" s="227">
        <f t="shared" si="34"/>
        <v>18864</v>
      </c>
      <c r="R50" s="227">
        <f t="shared" si="34"/>
        <v>18864</v>
      </c>
      <c r="S50" s="243"/>
    </row>
    <row r="51" spans="1:19" s="188" customFormat="1" ht="42" customHeight="1" thickBot="1">
      <c r="A51" s="252"/>
      <c r="B51" s="221" t="s">
        <v>169</v>
      </c>
      <c r="C51" s="86" t="s">
        <v>115</v>
      </c>
      <c r="D51" s="250">
        <v>4</v>
      </c>
      <c r="E51" s="250"/>
      <c r="F51" s="256">
        <f>58800+359900</f>
        <v>418700</v>
      </c>
      <c r="G51" s="253"/>
      <c r="H51" s="262">
        <f>SUM(E51:G51)</f>
        <v>418700</v>
      </c>
      <c r="I51" s="255" t="s">
        <v>252</v>
      </c>
      <c r="J51" s="250">
        <v>2000</v>
      </c>
      <c r="K51" s="256">
        <v>58400</v>
      </c>
      <c r="L51" s="253">
        <v>218000</v>
      </c>
      <c r="M51" s="257">
        <f>SUM(J51:L51)</f>
        <v>278400</v>
      </c>
      <c r="N51" s="255" t="s">
        <v>193</v>
      </c>
      <c r="O51" s="250">
        <f>E51+J51</f>
        <v>2000</v>
      </c>
      <c r="P51" s="250">
        <f>F51+K51</f>
        <v>477100</v>
      </c>
      <c r="Q51" s="250">
        <f>G51+L51</f>
        <v>218000</v>
      </c>
      <c r="R51" s="250">
        <f>H51+M51</f>
        <v>697100</v>
      </c>
      <c r="S51" s="255" t="s">
        <v>195</v>
      </c>
    </row>
    <row r="52" spans="1:19" ht="42" customHeight="1" thickBot="1">
      <c r="A52" s="80"/>
      <c r="B52" s="222" t="s">
        <v>170</v>
      </c>
      <c r="C52" s="81" t="s">
        <v>115</v>
      </c>
      <c r="D52" s="227"/>
      <c r="E52" s="227">
        <v>61300</v>
      </c>
      <c r="F52" s="263"/>
      <c r="G52" s="228">
        <v>3000</v>
      </c>
      <c r="H52" s="264">
        <f>SUM(E52:G52)</f>
        <v>64300</v>
      </c>
      <c r="I52" s="259" t="s">
        <v>250</v>
      </c>
      <c r="J52" s="227"/>
      <c r="K52" s="263"/>
      <c r="L52" s="228">
        <v>20000</v>
      </c>
      <c r="M52" s="265">
        <f>L52</f>
        <v>20000</v>
      </c>
      <c r="N52" s="260" t="s">
        <v>194</v>
      </c>
      <c r="O52" s="227">
        <f>E52+J52</f>
        <v>61300</v>
      </c>
      <c r="P52" s="227">
        <f t="shared" ref="P52:R52" si="36">F52+K52</f>
        <v>0</v>
      </c>
      <c r="Q52" s="227">
        <f t="shared" si="36"/>
        <v>23000</v>
      </c>
      <c r="R52" s="227">
        <f t="shared" si="36"/>
        <v>84300</v>
      </c>
      <c r="S52" s="261" t="s">
        <v>195</v>
      </c>
    </row>
    <row r="53" spans="1:19" s="188" customFormat="1" ht="42" customHeight="1" thickBot="1">
      <c r="A53" s="252"/>
      <c r="B53" s="221" t="s">
        <v>171</v>
      </c>
      <c r="C53" s="86" t="s">
        <v>115</v>
      </c>
      <c r="D53" s="250">
        <f>D54+D55+D56+D57+D58+D59+D60+D61+D62</f>
        <v>5</v>
      </c>
      <c r="E53" s="250">
        <f>E54+E55+E56+E57+E58+E59+E60+E61+E62</f>
        <v>3185</v>
      </c>
      <c r="F53" s="250">
        <f t="shared" ref="F53:R53" si="37">F54+F55+F56+F57+F58+F59+F60+F61+F62</f>
        <v>6266</v>
      </c>
      <c r="G53" s="250">
        <f t="shared" si="37"/>
        <v>960</v>
      </c>
      <c r="H53" s="250">
        <f t="shared" si="37"/>
        <v>10411</v>
      </c>
      <c r="I53" s="250"/>
      <c r="J53" s="250">
        <f t="shared" si="37"/>
        <v>20219</v>
      </c>
      <c r="K53" s="250">
        <f t="shared" si="37"/>
        <v>5000</v>
      </c>
      <c r="L53" s="250">
        <f t="shared" si="37"/>
        <v>631500</v>
      </c>
      <c r="M53" s="250">
        <f t="shared" si="37"/>
        <v>656719</v>
      </c>
      <c r="N53" s="250"/>
      <c r="O53" s="250">
        <f t="shared" si="37"/>
        <v>23404</v>
      </c>
      <c r="P53" s="250">
        <f t="shared" si="37"/>
        <v>11266</v>
      </c>
      <c r="Q53" s="250">
        <f t="shared" si="37"/>
        <v>632460</v>
      </c>
      <c r="R53" s="250">
        <f t="shared" si="37"/>
        <v>667130</v>
      </c>
      <c r="S53" s="254"/>
    </row>
    <row r="54" spans="1:19" ht="42" customHeight="1" thickBot="1">
      <c r="A54" s="82"/>
      <c r="B54" s="83" t="s">
        <v>172</v>
      </c>
      <c r="C54" s="81" t="s">
        <v>115</v>
      </c>
      <c r="D54" s="227">
        <v>5</v>
      </c>
      <c r="E54" s="227"/>
      <c r="F54" s="226">
        <v>7811</v>
      </c>
      <c r="G54" s="228"/>
      <c r="H54" s="234">
        <f>F54</f>
        <v>7811</v>
      </c>
      <c r="I54" s="258" t="s">
        <v>196</v>
      </c>
      <c r="J54" s="227">
        <v>8719</v>
      </c>
      <c r="K54" s="226">
        <v>0</v>
      </c>
      <c r="L54" s="228">
        <v>1500</v>
      </c>
      <c r="M54" s="229">
        <f>SUM(J54:L54)</f>
        <v>10219</v>
      </c>
      <c r="N54" s="259" t="s">
        <v>197</v>
      </c>
      <c r="O54" s="227">
        <f>E54+J54</f>
        <v>8719</v>
      </c>
      <c r="P54" s="227">
        <f t="shared" ref="P54:Q54" si="38">F54+K54</f>
        <v>7811</v>
      </c>
      <c r="Q54" s="227">
        <f t="shared" si="38"/>
        <v>1500</v>
      </c>
      <c r="R54" s="227">
        <f>H54+M54</f>
        <v>18030</v>
      </c>
      <c r="S54" s="237"/>
    </row>
    <row r="55" spans="1:19" ht="42" customHeight="1" thickBot="1">
      <c r="A55" s="82"/>
      <c r="B55" s="224" t="s">
        <v>117</v>
      </c>
      <c r="C55" s="84" t="s">
        <v>115</v>
      </c>
      <c r="D55" s="227"/>
      <c r="E55" s="227"/>
      <c r="F55" s="226"/>
      <c r="G55" s="228"/>
      <c r="H55" s="234"/>
      <c r="I55" s="239" t="s">
        <v>198</v>
      </c>
      <c r="J55" s="227"/>
      <c r="K55" s="226"/>
      <c r="L55" s="228"/>
      <c r="M55" s="229"/>
      <c r="N55" s="239"/>
      <c r="O55" s="227"/>
      <c r="P55" s="226"/>
      <c r="Q55" s="228"/>
      <c r="R55" s="229"/>
      <c r="S55" s="239"/>
    </row>
    <row r="56" spans="1:19" ht="42" customHeight="1" thickBot="1">
      <c r="A56" s="82"/>
      <c r="B56" s="224" t="s">
        <v>118</v>
      </c>
      <c r="C56" s="81" t="s">
        <v>115</v>
      </c>
      <c r="D56" s="319"/>
      <c r="E56" s="319"/>
      <c r="F56" s="320">
        <v>650</v>
      </c>
      <c r="G56" s="321"/>
      <c r="H56" s="322">
        <f>SUM(E56:G56)</f>
        <v>650</v>
      </c>
      <c r="I56" s="266" t="s">
        <v>232</v>
      </c>
      <c r="J56" s="227">
        <f>10000+1500</f>
        <v>11500</v>
      </c>
      <c r="K56" s="263">
        <v>5000</v>
      </c>
      <c r="L56" s="228">
        <f>630000</f>
        <v>630000</v>
      </c>
      <c r="M56" s="265">
        <f>SUM(J56:L56)</f>
        <v>646500</v>
      </c>
      <c r="N56" s="266" t="s">
        <v>233</v>
      </c>
      <c r="O56" s="227">
        <f>E56+J56</f>
        <v>11500</v>
      </c>
      <c r="P56" s="227">
        <f t="shared" ref="P56:Q56" si="39">F56+K56</f>
        <v>5650</v>
      </c>
      <c r="Q56" s="227">
        <f t="shared" si="39"/>
        <v>630000</v>
      </c>
      <c r="R56" s="227">
        <f>H56+M56</f>
        <v>647150</v>
      </c>
      <c r="S56" s="266" t="s">
        <v>195</v>
      </c>
    </row>
    <row r="57" spans="1:19" ht="42" customHeight="1" thickBot="1">
      <c r="A57" s="82"/>
      <c r="B57" s="224" t="s">
        <v>173</v>
      </c>
      <c r="C57" s="81" t="s">
        <v>115</v>
      </c>
      <c r="D57" s="227"/>
      <c r="E57" s="227"/>
      <c r="F57" s="226"/>
      <c r="G57" s="228"/>
      <c r="H57" s="234"/>
      <c r="I57" s="239" t="s">
        <v>198</v>
      </c>
      <c r="J57" s="227"/>
      <c r="K57" s="226"/>
      <c r="L57" s="228"/>
      <c r="M57" s="229"/>
      <c r="N57" s="239"/>
      <c r="O57" s="227"/>
      <c r="P57" s="226"/>
      <c r="Q57" s="228"/>
      <c r="R57" s="229"/>
      <c r="S57" s="239"/>
    </row>
    <row r="58" spans="1:19" ht="42" customHeight="1" thickBot="1">
      <c r="A58" s="82"/>
      <c r="B58" s="83" t="s">
        <v>120</v>
      </c>
      <c r="C58" s="81" t="s">
        <v>115</v>
      </c>
      <c r="D58" s="227"/>
      <c r="E58" s="227"/>
      <c r="F58" s="226"/>
      <c r="G58" s="228"/>
      <c r="H58" s="234"/>
      <c r="I58" s="239" t="s">
        <v>198</v>
      </c>
      <c r="J58" s="227"/>
      <c r="K58" s="226"/>
      <c r="L58" s="228"/>
      <c r="M58" s="229"/>
      <c r="N58" s="239"/>
      <c r="O58" s="227"/>
      <c r="P58" s="226"/>
      <c r="Q58" s="228"/>
      <c r="R58" s="229"/>
      <c r="S58" s="239"/>
    </row>
    <row r="59" spans="1:19" ht="42" customHeight="1" thickBot="1">
      <c r="A59" s="82"/>
      <c r="B59" s="83" t="s">
        <v>121</v>
      </c>
      <c r="C59" s="84" t="s">
        <v>115</v>
      </c>
      <c r="D59" s="227"/>
      <c r="E59" s="227">
        <v>2195</v>
      </c>
      <c r="F59" s="263">
        <v>-2195</v>
      </c>
      <c r="G59" s="228"/>
      <c r="H59" s="264">
        <f>SUM(E59:G59)</f>
        <v>0</v>
      </c>
      <c r="I59" s="266" t="s">
        <v>199</v>
      </c>
      <c r="J59" s="227"/>
      <c r="K59" s="226"/>
      <c r="L59" s="228"/>
      <c r="M59" s="229"/>
      <c r="N59" s="239"/>
      <c r="O59" s="227">
        <f>E59</f>
        <v>2195</v>
      </c>
      <c r="P59" s="227">
        <f t="shared" ref="P59:R59" si="40">F59</f>
        <v>-2195</v>
      </c>
      <c r="Q59" s="227">
        <f t="shared" si="40"/>
        <v>0</v>
      </c>
      <c r="R59" s="227">
        <f t="shared" si="40"/>
        <v>0</v>
      </c>
      <c r="S59" s="239"/>
    </row>
    <row r="60" spans="1:19" ht="42" customHeight="1" thickBot="1">
      <c r="A60" s="82"/>
      <c r="B60" s="85" t="s">
        <v>122</v>
      </c>
      <c r="C60" s="81" t="s">
        <v>115</v>
      </c>
      <c r="D60" s="227"/>
      <c r="E60" s="227">
        <v>990</v>
      </c>
      <c r="F60" s="263"/>
      <c r="G60" s="228">
        <v>-500</v>
      </c>
      <c r="H60" s="264">
        <f>SUM(E60:G60)</f>
        <v>490</v>
      </c>
      <c r="I60" s="267" t="s">
        <v>200</v>
      </c>
      <c r="J60" s="227"/>
      <c r="K60" s="226"/>
      <c r="L60" s="228"/>
      <c r="M60" s="229"/>
      <c r="N60" s="267" t="s">
        <v>201</v>
      </c>
      <c r="O60" s="227">
        <f>E60+J60</f>
        <v>990</v>
      </c>
      <c r="P60" s="227">
        <f t="shared" ref="P60:R61" si="41">F60+K60</f>
        <v>0</v>
      </c>
      <c r="Q60" s="227">
        <f t="shared" si="41"/>
        <v>-500</v>
      </c>
      <c r="R60" s="227">
        <f t="shared" si="41"/>
        <v>490</v>
      </c>
      <c r="S60" s="239"/>
    </row>
    <row r="61" spans="1:19" ht="42" customHeight="1" thickBot="1">
      <c r="A61" s="82"/>
      <c r="B61" s="85" t="s">
        <v>174</v>
      </c>
      <c r="C61" s="81" t="s">
        <v>115</v>
      </c>
      <c r="D61" s="227"/>
      <c r="E61" s="227"/>
      <c r="F61" s="263"/>
      <c r="G61" s="228">
        <v>1460</v>
      </c>
      <c r="H61" s="264">
        <f>G61</f>
        <v>1460</v>
      </c>
      <c r="I61" s="267" t="s">
        <v>202</v>
      </c>
      <c r="J61" s="227"/>
      <c r="K61" s="226"/>
      <c r="L61" s="228"/>
      <c r="M61" s="229"/>
      <c r="N61" s="266" t="s">
        <v>203</v>
      </c>
      <c r="O61" s="227">
        <f>E61+J61</f>
        <v>0</v>
      </c>
      <c r="P61" s="227">
        <f t="shared" si="41"/>
        <v>0</v>
      </c>
      <c r="Q61" s="227">
        <f t="shared" si="41"/>
        <v>1460</v>
      </c>
      <c r="R61" s="227">
        <f t="shared" si="41"/>
        <v>1460</v>
      </c>
      <c r="S61" s="239"/>
    </row>
    <row r="62" spans="1:19" ht="42" customHeight="1" thickBot="1">
      <c r="A62" s="82"/>
      <c r="B62" s="223" t="s">
        <v>175</v>
      </c>
      <c r="C62" s="81" t="s">
        <v>115</v>
      </c>
      <c r="D62" s="227"/>
      <c r="E62" s="227"/>
      <c r="F62" s="226"/>
      <c r="G62" s="228"/>
      <c r="H62" s="234"/>
      <c r="I62" s="595" t="s">
        <v>256</v>
      </c>
      <c r="J62" s="227"/>
      <c r="K62" s="226"/>
      <c r="L62" s="228"/>
      <c r="M62" s="229"/>
      <c r="N62" s="240"/>
      <c r="O62" s="227"/>
      <c r="P62" s="226"/>
      <c r="Q62" s="228"/>
      <c r="R62" s="229"/>
      <c r="S62" s="240"/>
    </row>
    <row r="63" spans="1:19" s="188" customFormat="1" ht="42" customHeight="1" thickBot="1">
      <c r="A63" s="252"/>
      <c r="B63" s="221" t="s">
        <v>176</v>
      </c>
      <c r="C63" s="86" t="s">
        <v>115</v>
      </c>
      <c r="D63" s="250">
        <f>D64+D65+D66</f>
        <v>7</v>
      </c>
      <c r="E63" s="250">
        <f t="shared" ref="E63:R63" si="42">E64+E65+E66</f>
        <v>2900</v>
      </c>
      <c r="F63" s="250">
        <f t="shared" si="42"/>
        <v>0</v>
      </c>
      <c r="G63" s="250">
        <f t="shared" si="42"/>
        <v>10000</v>
      </c>
      <c r="H63" s="250">
        <f t="shared" si="42"/>
        <v>12900</v>
      </c>
      <c r="I63" s="250"/>
      <c r="J63" s="250">
        <f t="shared" si="42"/>
        <v>10355</v>
      </c>
      <c r="K63" s="250">
        <f t="shared" si="42"/>
        <v>0</v>
      </c>
      <c r="L63" s="250">
        <f t="shared" si="42"/>
        <v>220600</v>
      </c>
      <c r="M63" s="250">
        <f t="shared" si="42"/>
        <v>230955</v>
      </c>
      <c r="N63" s="250"/>
      <c r="O63" s="250">
        <f t="shared" si="42"/>
        <v>13255</v>
      </c>
      <c r="P63" s="250">
        <f t="shared" si="42"/>
        <v>0</v>
      </c>
      <c r="Q63" s="250">
        <f t="shared" si="42"/>
        <v>230600</v>
      </c>
      <c r="R63" s="250">
        <f t="shared" si="42"/>
        <v>243855</v>
      </c>
      <c r="S63" s="254"/>
    </row>
    <row r="64" spans="1:19" s="219" customFormat="1" ht="42" customHeight="1" thickBot="1">
      <c r="A64" s="82"/>
      <c r="B64" s="83" t="s">
        <v>123</v>
      </c>
      <c r="C64" s="218" t="s">
        <v>115</v>
      </c>
      <c r="D64" s="227"/>
      <c r="E64" s="227"/>
      <c r="F64" s="226"/>
      <c r="G64" s="228"/>
      <c r="H64" s="234"/>
      <c r="I64" s="242" t="s">
        <v>206</v>
      </c>
      <c r="J64" s="227"/>
      <c r="K64" s="226"/>
      <c r="L64" s="228"/>
      <c r="M64" s="229"/>
      <c r="N64" s="242"/>
      <c r="O64" s="227"/>
      <c r="P64" s="226"/>
      <c r="Q64" s="228"/>
      <c r="R64" s="229"/>
      <c r="S64" s="242"/>
    </row>
    <row r="65" spans="1:19" ht="42" customHeight="1" thickBot="1">
      <c r="A65" s="82"/>
      <c r="B65" s="83" t="s">
        <v>177</v>
      </c>
      <c r="C65" s="81" t="s">
        <v>115</v>
      </c>
      <c r="D65" s="227"/>
      <c r="E65" s="227">
        <v>2900</v>
      </c>
      <c r="F65" s="226"/>
      <c r="G65" s="228">
        <v>10000</v>
      </c>
      <c r="H65" s="234">
        <f>SUM(E65:G65)</f>
        <v>12900</v>
      </c>
      <c r="I65" s="267" t="s">
        <v>207</v>
      </c>
      <c r="J65" s="227"/>
      <c r="K65" s="226"/>
      <c r="L65" s="228">
        <v>180600</v>
      </c>
      <c r="M65" s="229">
        <f>L65</f>
        <v>180600</v>
      </c>
      <c r="N65" s="267" t="s">
        <v>208</v>
      </c>
      <c r="O65" s="227">
        <f>E65+J65</f>
        <v>2900</v>
      </c>
      <c r="P65" s="227">
        <f t="shared" ref="P65:Q65" si="43">F65+K65</f>
        <v>0</v>
      </c>
      <c r="Q65" s="227">
        <f t="shared" si="43"/>
        <v>190600</v>
      </c>
      <c r="R65" s="227">
        <f>H65+M65</f>
        <v>193500</v>
      </c>
      <c r="S65" s="239"/>
    </row>
    <row r="66" spans="1:19" ht="42" customHeight="1" thickBot="1">
      <c r="A66" s="82"/>
      <c r="B66" s="85" t="s">
        <v>178</v>
      </c>
      <c r="C66" s="81" t="s">
        <v>115</v>
      </c>
      <c r="D66" s="227">
        <v>7</v>
      </c>
      <c r="E66" s="227"/>
      <c r="F66" s="226"/>
      <c r="G66" s="228"/>
      <c r="H66" s="234"/>
      <c r="I66" s="240"/>
      <c r="J66" s="227">
        <v>10355</v>
      </c>
      <c r="K66" s="226"/>
      <c r="L66" s="228">
        <v>40000</v>
      </c>
      <c r="M66" s="229">
        <f>SUM(J66:L66)</f>
        <v>50355</v>
      </c>
      <c r="N66" s="268" t="s">
        <v>209</v>
      </c>
      <c r="O66" s="227">
        <f>J66+E66</f>
        <v>10355</v>
      </c>
      <c r="P66" s="227">
        <f t="shared" ref="P66:R66" si="44">K66+F66</f>
        <v>0</v>
      </c>
      <c r="Q66" s="227">
        <f t="shared" si="44"/>
        <v>40000</v>
      </c>
      <c r="R66" s="227">
        <f t="shared" si="44"/>
        <v>50355</v>
      </c>
      <c r="S66" s="240"/>
    </row>
    <row r="67" spans="1:19" s="188" customFormat="1" ht="42" customHeight="1" thickBot="1">
      <c r="A67" s="252"/>
      <c r="B67" s="221" t="s">
        <v>179</v>
      </c>
      <c r="C67" s="86" t="s">
        <v>115</v>
      </c>
      <c r="D67" s="250">
        <f>D68+D69+D70</f>
        <v>30</v>
      </c>
      <c r="E67" s="250">
        <f>E68+E69+E70</f>
        <v>52713</v>
      </c>
      <c r="F67" s="250">
        <f t="shared" ref="F67:R67" si="45">F68+F69+F70</f>
        <v>15330</v>
      </c>
      <c r="G67" s="250">
        <f t="shared" si="45"/>
        <v>32866</v>
      </c>
      <c r="H67" s="250">
        <f t="shared" si="45"/>
        <v>100909</v>
      </c>
      <c r="I67" s="250"/>
      <c r="J67" s="250">
        <f>J68+J69+J70</f>
        <v>28406</v>
      </c>
      <c r="K67" s="250">
        <f t="shared" si="45"/>
        <v>16270</v>
      </c>
      <c r="L67" s="250">
        <f t="shared" si="45"/>
        <v>110588</v>
      </c>
      <c r="M67" s="250">
        <f t="shared" si="45"/>
        <v>155264</v>
      </c>
      <c r="N67" s="250"/>
      <c r="O67" s="250">
        <f t="shared" si="45"/>
        <v>81119</v>
      </c>
      <c r="P67" s="250">
        <f t="shared" si="45"/>
        <v>31600</v>
      </c>
      <c r="Q67" s="250">
        <f t="shared" si="45"/>
        <v>143454</v>
      </c>
      <c r="R67" s="250">
        <f t="shared" si="45"/>
        <v>256173</v>
      </c>
      <c r="S67" s="254"/>
    </row>
    <row r="68" spans="1:19" ht="42" customHeight="1" thickBot="1">
      <c r="A68" s="82"/>
      <c r="B68" s="83" t="s">
        <v>124</v>
      </c>
      <c r="C68" s="84" t="s">
        <v>115</v>
      </c>
      <c r="D68" s="227"/>
      <c r="E68" s="227">
        <v>10731</v>
      </c>
      <c r="F68" s="263">
        <v>682</v>
      </c>
      <c r="G68" s="228">
        <v>32866</v>
      </c>
      <c r="H68" s="264">
        <f>SUM(E68:G68)</f>
        <v>44279</v>
      </c>
      <c r="I68" s="259" t="s">
        <v>214</v>
      </c>
      <c r="J68" s="227"/>
      <c r="K68" s="226"/>
      <c r="L68" s="228">
        <v>73800</v>
      </c>
      <c r="M68" s="229">
        <f>SUM(J68:L68)</f>
        <v>73800</v>
      </c>
      <c r="N68" s="259" t="s">
        <v>213</v>
      </c>
      <c r="O68" s="227">
        <f>E68+J68</f>
        <v>10731</v>
      </c>
      <c r="P68" s="227">
        <f t="shared" ref="P68:Q68" si="46">F68+K68</f>
        <v>682</v>
      </c>
      <c r="Q68" s="227">
        <f t="shared" si="46"/>
        <v>106666</v>
      </c>
      <c r="R68" s="227">
        <f>H68+M68</f>
        <v>118079</v>
      </c>
      <c r="S68" s="237"/>
    </row>
    <row r="69" spans="1:19" ht="42" customHeight="1" thickBot="1">
      <c r="A69" s="82"/>
      <c r="B69" s="83" t="s">
        <v>125</v>
      </c>
      <c r="C69" s="81" t="s">
        <v>115</v>
      </c>
      <c r="D69" s="227"/>
      <c r="E69" s="227"/>
      <c r="F69" s="226"/>
      <c r="G69" s="228"/>
      <c r="H69" s="234"/>
      <c r="I69" s="239"/>
      <c r="J69" s="227">
        <v>28406</v>
      </c>
      <c r="K69" s="226">
        <v>16270</v>
      </c>
      <c r="L69" s="228">
        <v>28288</v>
      </c>
      <c r="M69" s="229">
        <f>SUM(J69:L69)</f>
        <v>72964</v>
      </c>
      <c r="N69" s="267" t="s">
        <v>210</v>
      </c>
      <c r="O69" s="227">
        <f>J69+E69</f>
        <v>28406</v>
      </c>
      <c r="P69" s="227">
        <f t="shared" ref="P69:R69" si="47">K69+F69</f>
        <v>16270</v>
      </c>
      <c r="Q69" s="227">
        <f t="shared" si="47"/>
        <v>28288</v>
      </c>
      <c r="R69" s="227">
        <f t="shared" si="47"/>
        <v>72964</v>
      </c>
      <c r="S69" s="239"/>
    </row>
    <row r="70" spans="1:19" ht="42" customHeight="1" thickBot="1">
      <c r="A70" s="82"/>
      <c r="B70" s="83" t="s">
        <v>180</v>
      </c>
      <c r="C70" s="84" t="s">
        <v>115</v>
      </c>
      <c r="D70" s="227">
        <v>30</v>
      </c>
      <c r="E70" s="227">
        <v>41982</v>
      </c>
      <c r="F70" s="263">
        <v>14648</v>
      </c>
      <c r="G70" s="228"/>
      <c r="H70" s="264">
        <f>SUM(E70:G70)</f>
        <v>56630</v>
      </c>
      <c r="I70" s="269" t="s">
        <v>253</v>
      </c>
      <c r="J70" s="227"/>
      <c r="K70" s="263"/>
      <c r="L70" s="228">
        <v>8500</v>
      </c>
      <c r="M70" s="265">
        <f>L70</f>
        <v>8500</v>
      </c>
      <c r="N70" s="268" t="s">
        <v>211</v>
      </c>
      <c r="O70" s="227">
        <f>E70+J70</f>
        <v>41982</v>
      </c>
      <c r="P70" s="227">
        <f t="shared" ref="P70:R71" si="48">F70+K70</f>
        <v>14648</v>
      </c>
      <c r="Q70" s="227">
        <f t="shared" si="48"/>
        <v>8500</v>
      </c>
      <c r="R70" s="227">
        <f t="shared" si="48"/>
        <v>65130</v>
      </c>
      <c r="S70" s="240"/>
    </row>
    <row r="71" spans="1:19" ht="42" customHeight="1" thickBot="1">
      <c r="A71" s="215"/>
      <c r="B71" s="221" t="s">
        <v>181</v>
      </c>
      <c r="C71" s="86" t="s">
        <v>115</v>
      </c>
      <c r="D71" s="231"/>
      <c r="E71" s="231"/>
      <c r="F71" s="271">
        <f>-2000+6000</f>
        <v>4000</v>
      </c>
      <c r="G71" s="232">
        <v>-1000</v>
      </c>
      <c r="H71" s="235">
        <f>SUM(F71:G71)</f>
        <v>3000</v>
      </c>
      <c r="I71" s="270" t="s">
        <v>212</v>
      </c>
      <c r="J71" s="231"/>
      <c r="K71" s="230"/>
      <c r="L71" s="232"/>
      <c r="M71" s="233"/>
      <c r="N71" s="241"/>
      <c r="O71" s="231">
        <f>E71+J71</f>
        <v>0</v>
      </c>
      <c r="P71" s="231">
        <f>F71+K71</f>
        <v>4000</v>
      </c>
      <c r="Q71" s="231">
        <f t="shared" si="48"/>
        <v>-1000</v>
      </c>
      <c r="R71" s="231">
        <f t="shared" si="48"/>
        <v>3000</v>
      </c>
      <c r="S71" s="241"/>
    </row>
    <row r="85" spans="5:5">
      <c r="E85" s="1088"/>
    </row>
    <row r="86" spans="5:5">
      <c r="E86" s="332"/>
    </row>
    <row r="87" spans="5:5">
      <c r="E87" s="1089"/>
    </row>
    <row r="88" spans="5:5">
      <c r="E88" s="332"/>
    </row>
    <row r="89" spans="5:5">
      <c r="E89" s="1088"/>
    </row>
    <row r="90" spans="5:5">
      <c r="E90" s="332"/>
    </row>
  </sheetData>
  <mergeCells count="32">
    <mergeCell ref="B3:B5"/>
    <mergeCell ref="I3:I5"/>
    <mergeCell ref="N3:N5"/>
    <mergeCell ref="S3:S5"/>
    <mergeCell ref="B6:B8"/>
    <mergeCell ref="I6:I8"/>
    <mergeCell ref="N6:N8"/>
    <mergeCell ref="B9:B11"/>
    <mergeCell ref="I9:I11"/>
    <mergeCell ref="N9:N11"/>
    <mergeCell ref="S9:S11"/>
    <mergeCell ref="B12:B14"/>
    <mergeCell ref="I12:I14"/>
    <mergeCell ref="N12:N14"/>
    <mergeCell ref="S12:S14"/>
    <mergeCell ref="B15:B17"/>
    <mergeCell ref="I15:I17"/>
    <mergeCell ref="S15:S17"/>
    <mergeCell ref="I20:I22"/>
    <mergeCell ref="N20:N22"/>
    <mergeCell ref="S20:S22"/>
    <mergeCell ref="S35:S37"/>
    <mergeCell ref="I40:I42"/>
    <mergeCell ref="N40:N42"/>
    <mergeCell ref="S40:S42"/>
    <mergeCell ref="N15:N17"/>
    <mergeCell ref="I25:I27"/>
    <mergeCell ref="N25:N27"/>
    <mergeCell ref="I30:I32"/>
    <mergeCell ref="N30:N32"/>
    <mergeCell ref="I35:I37"/>
    <mergeCell ref="N35:N37"/>
  </mergeCells>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Permbledhja e Kerkesave shtese </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Esjola Mullaymeri</dc:creator>
  <cp:lastModifiedBy>Ina Dhaskali</cp:lastModifiedBy>
  <cp:lastPrinted>2022-06-10T07:52:35Z</cp:lastPrinted>
  <dcterms:created xsi:type="dcterms:W3CDTF">2019-05-29T12:55:15Z</dcterms:created>
  <dcterms:modified xsi:type="dcterms:W3CDTF">2023-06-29T09:39:06Z</dcterms:modified>
</cp:coreProperties>
</file>